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ink/ink1.xml" ContentType="application/inkml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1.xml" ContentType="application/vnd.openxmlformats-officedocument.drawing+xml"/>
  <Override PartName="/xl/charts/chart32.xml" ContentType="application/vnd.openxmlformats-officedocument.drawingml.chart+xml"/>
  <Override PartName="/xl/drawings/drawing12.xml" ContentType="application/vnd.openxmlformats-officedocument.drawing+xml"/>
  <Override PartName="/xl/charts/chart3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a2035\Desktop\Week-1\PredAnalBase2021\"/>
    </mc:Choice>
  </mc:AlternateContent>
  <xr:revisionPtr revIDLastSave="0" documentId="13_ncr:1_{A0388A69-AA0A-4229-8601-449147DDF150}" xr6:coauthVersionLast="46" xr6:coauthVersionMax="46" xr10:uidLastSave="{00000000-0000-0000-0000-000000000000}"/>
  <bookViews>
    <workbookView xWindow="-120" yWindow="-120" windowWidth="29040" windowHeight="15840" firstSheet="2" activeTab="12" xr2:uid="{00000000-000D-0000-FFFF-FFFF00000000}"/>
  </bookViews>
  <sheets>
    <sheet name="0.ArdiData28Fixed" sheetId="24" r:id="rId1"/>
    <sheet name="1.RegLineDataAnalyFormula" sheetId="47" r:id="rId2"/>
    <sheet name="2.R2&amp;R" sheetId="48" r:id="rId3"/>
    <sheet name="3.RegForAssociation" sheetId="49" r:id="rId4"/>
    <sheet name="4.MaxTrMaxTP" sheetId="51" r:id="rId5"/>
    <sheet name="5.RegreSSE&amp;SST" sheetId="11" r:id="rId6"/>
    <sheet name="6.AllRegFormula&amp;Solver" sheetId="50" r:id="rId7"/>
    <sheet name="1.Trend&amp;Season5P" sheetId="52" r:id="rId8"/>
    <sheet name="7pBase" sheetId="53" r:id="rId9"/>
    <sheet name="7.TrendAndSeasChopraMine4p" sheetId="37" r:id="rId10"/>
    <sheet name="7b.TrendAndSeasChopraBook" sheetId="39" r:id="rId11"/>
    <sheet name="7c.Trend&amp;Season" sheetId="17" r:id="rId12"/>
    <sheet name="9.MultiRefSeas" sheetId="35" r:id="rId13"/>
  </sheets>
  <externalReferences>
    <externalReference r:id="rId14"/>
    <externalReference r:id="rId15"/>
  </externalReferences>
  <definedNames>
    <definedName name="Page1" localSheetId="2">'2.R2&amp;R'!$G$35</definedName>
    <definedName name="Page1">#REF!</definedName>
    <definedName name="solver_adj" localSheetId="1" hidden="1">'1.RegLineDataAnalyFormula'!$J$1</definedName>
    <definedName name="solver_adj" localSheetId="2" hidden="1">'2.R2&amp;R'!$C$9:$C$12</definedName>
    <definedName name="solver_adj" localSheetId="4" hidden="1">'4.MaxTrMaxTP'!$A$15</definedName>
    <definedName name="solver_adj" localSheetId="5" hidden="1">'5.RegreSSE&amp;SST'!$L$20:$L$21</definedName>
    <definedName name="solver_adj" localSheetId="6" hidden="1">'6.AllRegFormula&amp;Solver'!$J$2:$J$3</definedName>
    <definedName name="solver_adj" localSheetId="9" hidden="1">'7.TrendAndSeasChopraMine4p'!$C$38:$C$40</definedName>
    <definedName name="solver_adj" localSheetId="10" hidden="1">'7b.TrendAndSeasChopraBook'!$C$38:$C$40</definedName>
    <definedName name="solver_adj" localSheetId="12" hidden="1">'9.MultiRefSeas'!$L$1,'9.MultiRefSeas'!$N$1,'9.MultiRefSeas'!$P$1</definedName>
    <definedName name="solver_cvg" localSheetId="1" hidden="1">0.0001</definedName>
    <definedName name="solver_cvg" localSheetId="2" hidden="1">0.0001</definedName>
    <definedName name="solver_cvg" localSheetId="4" hidden="1">0.0001</definedName>
    <definedName name="solver_cvg" localSheetId="5" hidden="1">0.0001</definedName>
    <definedName name="solver_cvg" localSheetId="6" hidden="1">0.0001</definedName>
    <definedName name="solver_cvg" localSheetId="9" hidden="1">0.0001</definedName>
    <definedName name="solver_cvg" localSheetId="10" hidden="1">0.0001</definedName>
    <definedName name="solver_cvg" localSheetId="12" hidden="1">0.0001</definedName>
    <definedName name="solver_drv" localSheetId="1" hidden="1">2</definedName>
    <definedName name="solver_drv" localSheetId="2" hidden="1">1</definedName>
    <definedName name="solver_drv" localSheetId="4" hidden="1">1</definedName>
    <definedName name="solver_drv" localSheetId="5" hidden="1">2</definedName>
    <definedName name="solver_drv" localSheetId="6" hidden="1">2</definedName>
    <definedName name="solver_drv" localSheetId="9" hidden="1">1</definedName>
    <definedName name="solver_drv" localSheetId="10" hidden="1">1</definedName>
    <definedName name="solver_drv" localSheetId="12" hidden="1">1</definedName>
    <definedName name="solver_eng" localSheetId="1" hidden="1">1</definedName>
    <definedName name="solver_eng" localSheetId="2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9" hidden="1">1</definedName>
    <definedName name="solver_eng" localSheetId="10" hidden="1">1</definedName>
    <definedName name="solver_eng" localSheetId="12" hidden="1">1</definedName>
    <definedName name="solver_est" localSheetId="1" hidden="1">1</definedName>
    <definedName name="solver_est" localSheetId="2" hidden="1">1</definedName>
    <definedName name="solver_est" localSheetId="4" hidden="1">1</definedName>
    <definedName name="solver_est" localSheetId="5" hidden="1">1</definedName>
    <definedName name="solver_est" localSheetId="6" hidden="1">1</definedName>
    <definedName name="solver_est" localSheetId="9" hidden="1">1</definedName>
    <definedName name="solver_est" localSheetId="10" hidden="1">1</definedName>
    <definedName name="solver_est" localSheetId="12" hidden="1">1</definedName>
    <definedName name="solver_itr" localSheetId="1" hidden="1">2147483647</definedName>
    <definedName name="solver_itr" localSheetId="2" hidden="1">2147483647</definedName>
    <definedName name="solver_itr" localSheetId="4" hidden="1">2147483647</definedName>
    <definedName name="solver_itr" localSheetId="5" hidden="1">2147483647</definedName>
    <definedName name="solver_itr" localSheetId="6" hidden="1">2147483647</definedName>
    <definedName name="solver_itr" localSheetId="9" hidden="1">2147483647</definedName>
    <definedName name="solver_itr" localSheetId="10" hidden="1">2147483647</definedName>
    <definedName name="solver_itr" localSheetId="12" hidden="1">2147483647</definedName>
    <definedName name="solver_lhs1" localSheetId="1" hidden="1">'1.RegLineDataAnalyFormula'!$J$1</definedName>
    <definedName name="solver_lhs1" localSheetId="2" hidden="1">'2.R2&amp;R'!$E$5</definedName>
    <definedName name="solver_lhs1" localSheetId="6" hidden="1">'6.AllRegFormula&amp;Solver'!$L$1</definedName>
    <definedName name="solver_lhs1" localSheetId="9" hidden="1">'7.TrendAndSeasChopraMine4p'!$C$38:$C$40</definedName>
    <definedName name="solver_lhs1" localSheetId="10" hidden="1">'7b.TrendAndSeasChopraBook'!$C$38:$C$40</definedName>
    <definedName name="solver_lhs1" localSheetId="12" hidden="1">'9.MultiRefSeas'!$L$1</definedName>
    <definedName name="solver_lhs2" localSheetId="9" hidden="1">'7.TrendAndSeasChopraMine4p'!$C$38:$C$40</definedName>
    <definedName name="solver_lhs2" localSheetId="10" hidden="1">'7b.TrendAndSeasChopraBook'!$C$38:$C$40</definedName>
    <definedName name="solver_lhs2" localSheetId="12" hidden="1">'9.MultiRefSeas'!$L$1</definedName>
    <definedName name="solver_lhs3" localSheetId="9" hidden="1">'7.TrendAndSeasChopraMine4p'!$C$40</definedName>
    <definedName name="solver_lhs3" localSheetId="10" hidden="1">'7b.TrendAndSeasChopraBook'!$C$40</definedName>
    <definedName name="solver_lhs3" localSheetId="12" hidden="1">'9.MultiRefSeas'!$N$1</definedName>
    <definedName name="solver_lhs4" localSheetId="9" hidden="1">'7.TrendAndSeasChopraMine4p'!$C$40</definedName>
    <definedName name="solver_lhs4" localSheetId="10" hidden="1">'7b.TrendAndSeasChopraBook'!$C$40</definedName>
    <definedName name="solver_lhs4" localSheetId="12" hidden="1">'9.MultiRefSeas'!$N$1</definedName>
    <definedName name="solver_lhs5" localSheetId="9" hidden="1">'7.TrendAndSeasChopraMine4p'!$C$40</definedName>
    <definedName name="solver_lhs5" localSheetId="10" hidden="1">'7b.TrendAndSeasChopraBook'!$C$40</definedName>
    <definedName name="solver_lhs5" localSheetId="12" hidden="1">'9.MultiRefSeas'!$P$1</definedName>
    <definedName name="solver_lhs6" localSheetId="9" hidden="1">'7.TrendAndSeasChopraMine4p'!$C$40</definedName>
    <definedName name="solver_lhs6" localSheetId="10" hidden="1">'7b.TrendAndSeasChopraBook'!$C$40</definedName>
    <definedName name="solver_lhs6" localSheetId="12" hidden="1">'9.MultiRefSeas'!$P$1</definedName>
    <definedName name="solver_mip" localSheetId="1" hidden="1">2147483647</definedName>
    <definedName name="solver_mip" localSheetId="2" hidden="1">2147483647</definedName>
    <definedName name="solver_mip" localSheetId="4" hidden="1">2147483647</definedName>
    <definedName name="solver_mip" localSheetId="5" hidden="1">2147483647</definedName>
    <definedName name="solver_mip" localSheetId="6" hidden="1">2147483647</definedName>
    <definedName name="solver_mip" localSheetId="9" hidden="1">2147483647</definedName>
    <definedName name="solver_mip" localSheetId="10" hidden="1">2147483647</definedName>
    <definedName name="solver_mip" localSheetId="12" hidden="1">2147483647</definedName>
    <definedName name="solver_mni" localSheetId="1" hidden="1">30</definedName>
    <definedName name="solver_mni" localSheetId="2" hidden="1">30</definedName>
    <definedName name="solver_mni" localSheetId="4" hidden="1">30</definedName>
    <definedName name="solver_mni" localSheetId="5" hidden="1">30</definedName>
    <definedName name="solver_mni" localSheetId="6" hidden="1">30</definedName>
    <definedName name="solver_mni" localSheetId="9" hidden="1">30</definedName>
    <definedName name="solver_mni" localSheetId="10" hidden="1">30</definedName>
    <definedName name="solver_mni" localSheetId="12" hidden="1">30</definedName>
    <definedName name="solver_mrt" localSheetId="1" hidden="1">0.075</definedName>
    <definedName name="solver_mrt" localSheetId="2" hidden="1">0.075</definedName>
    <definedName name="solver_mrt" localSheetId="4" hidden="1">0.075</definedName>
    <definedName name="solver_mrt" localSheetId="5" hidden="1">0.075</definedName>
    <definedName name="solver_mrt" localSheetId="6" hidden="1">0.075</definedName>
    <definedName name="solver_mrt" localSheetId="9" hidden="1">0.075</definedName>
    <definedName name="solver_mrt" localSheetId="10" hidden="1">0.075</definedName>
    <definedName name="solver_mrt" localSheetId="12" hidden="1">0.075</definedName>
    <definedName name="solver_msl" localSheetId="1" hidden="1">2</definedName>
    <definedName name="solver_msl" localSheetId="2" hidden="1">2</definedName>
    <definedName name="solver_msl" localSheetId="4" hidden="1">2</definedName>
    <definedName name="solver_msl" localSheetId="5" hidden="1">2</definedName>
    <definedName name="solver_msl" localSheetId="6" hidden="1">2</definedName>
    <definedName name="solver_msl" localSheetId="9" hidden="1">2</definedName>
    <definedName name="solver_msl" localSheetId="10" hidden="1">2</definedName>
    <definedName name="solver_msl" localSheetId="12" hidden="1">2</definedName>
    <definedName name="solver_neg" localSheetId="1" hidden="1">1</definedName>
    <definedName name="solver_neg" localSheetId="2" hidden="1">1</definedName>
    <definedName name="solver_neg" localSheetId="4" hidden="1">1</definedName>
    <definedName name="solver_neg" localSheetId="5" hidden="1">1</definedName>
    <definedName name="solver_neg" localSheetId="6" hidden="1">1</definedName>
    <definedName name="solver_neg" localSheetId="9" hidden="1">1</definedName>
    <definedName name="solver_neg" localSheetId="10" hidden="1">1</definedName>
    <definedName name="solver_neg" localSheetId="12" hidden="1">1</definedName>
    <definedName name="solver_nod" localSheetId="1" hidden="1">2147483647</definedName>
    <definedName name="solver_nod" localSheetId="2" hidden="1">2147483647</definedName>
    <definedName name="solver_nod" localSheetId="4" hidden="1">2147483647</definedName>
    <definedName name="solver_nod" localSheetId="5" hidden="1">2147483647</definedName>
    <definedName name="solver_nod" localSheetId="6" hidden="1">2147483647</definedName>
    <definedName name="solver_nod" localSheetId="9" hidden="1">2147483647</definedName>
    <definedName name="solver_nod" localSheetId="10" hidden="1">2147483647</definedName>
    <definedName name="solver_nod" localSheetId="12" hidden="1">2147483647</definedName>
    <definedName name="solver_num" localSheetId="1" hidden="1">1</definedName>
    <definedName name="solver_num" localSheetId="2" hidden="1">1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9" hidden="1">2</definedName>
    <definedName name="solver_num" localSheetId="10" hidden="1">2</definedName>
    <definedName name="solver_num" localSheetId="12" hidden="1">6</definedName>
    <definedName name="solver_nwt" localSheetId="1" hidden="1">1</definedName>
    <definedName name="solver_nwt" localSheetId="2" hidden="1">1</definedName>
    <definedName name="solver_nwt" localSheetId="4" hidden="1">1</definedName>
    <definedName name="solver_nwt" localSheetId="5" hidden="1">1</definedName>
    <definedName name="solver_nwt" localSheetId="6" hidden="1">1</definedName>
    <definedName name="solver_nwt" localSheetId="9" hidden="1">1</definedName>
    <definedName name="solver_nwt" localSheetId="10" hidden="1">1</definedName>
    <definedName name="solver_nwt" localSheetId="12" hidden="1">1</definedName>
    <definedName name="solver_opt" localSheetId="1" hidden="1">'1.RegLineDataAnalyFormula'!$I$27</definedName>
    <definedName name="solver_opt" localSheetId="2" hidden="1">'2.R2&amp;R'!$F$5</definedName>
    <definedName name="solver_opt" localSheetId="4" hidden="1">'4.MaxTrMaxTP'!$G$15</definedName>
    <definedName name="solver_opt" localSheetId="5" hidden="1">'5.RegreSSE&amp;SST'!$L$22</definedName>
    <definedName name="solver_opt" localSheetId="6" hidden="1">'6.AllRegFormula&amp;Solver'!$E$29</definedName>
    <definedName name="solver_opt" localSheetId="9" hidden="1">'7.TrendAndSeasChopraMine4p'!$U$30</definedName>
    <definedName name="solver_opt" localSheetId="10" hidden="1">'7b.TrendAndSeasChopraBook'!$U$30</definedName>
    <definedName name="solver_opt" localSheetId="12" hidden="1">'9.MultiRefSeas'!$K$31</definedName>
    <definedName name="solver_pre" localSheetId="1" hidden="1">0.000001</definedName>
    <definedName name="solver_pre" localSheetId="2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9" hidden="1">0.000001</definedName>
    <definedName name="solver_pre" localSheetId="10" hidden="1">0.000001</definedName>
    <definedName name="solver_pre" localSheetId="12" hidden="1">0.000001</definedName>
    <definedName name="solver_rbv" localSheetId="1" hidden="1">2</definedName>
    <definedName name="solver_rbv" localSheetId="2" hidden="1">1</definedName>
    <definedName name="solver_rbv" localSheetId="4" hidden="1">1</definedName>
    <definedName name="solver_rbv" localSheetId="5" hidden="1">2</definedName>
    <definedName name="solver_rbv" localSheetId="6" hidden="1">2</definedName>
    <definedName name="solver_rbv" localSheetId="9" hidden="1">1</definedName>
    <definedName name="solver_rbv" localSheetId="10" hidden="1">1</definedName>
    <definedName name="solver_rbv" localSheetId="12" hidden="1">1</definedName>
    <definedName name="solver_rel1" localSheetId="1" hidden="1">1</definedName>
    <definedName name="solver_rel1" localSheetId="2" hidden="1">2</definedName>
    <definedName name="solver_rel1" localSheetId="6" hidden="1">1</definedName>
    <definedName name="solver_rel1" localSheetId="9" hidden="1">1</definedName>
    <definedName name="solver_rel1" localSheetId="10" hidden="1">1</definedName>
    <definedName name="solver_rel1" localSheetId="12" hidden="1">1</definedName>
    <definedName name="solver_rel2" localSheetId="9" hidden="1">3</definedName>
    <definedName name="solver_rel2" localSheetId="10" hidden="1">3</definedName>
    <definedName name="solver_rel2" localSheetId="12" hidden="1">3</definedName>
    <definedName name="solver_rel3" localSheetId="9" hidden="1">3</definedName>
    <definedName name="solver_rel3" localSheetId="10" hidden="1">3</definedName>
    <definedName name="solver_rel3" localSheetId="12" hidden="1">1</definedName>
    <definedName name="solver_rel4" localSheetId="9" hidden="1">3</definedName>
    <definedName name="solver_rel4" localSheetId="10" hidden="1">3</definedName>
    <definedName name="solver_rel4" localSheetId="12" hidden="1">3</definedName>
    <definedName name="solver_rel5" localSheetId="9" hidden="1">3</definedName>
    <definedName name="solver_rel5" localSheetId="10" hidden="1">3</definedName>
    <definedName name="solver_rel5" localSheetId="12" hidden="1">1</definedName>
    <definedName name="solver_rel6" localSheetId="9" hidden="1">3</definedName>
    <definedName name="solver_rel6" localSheetId="10" hidden="1">3</definedName>
    <definedName name="solver_rel6" localSheetId="12" hidden="1">3</definedName>
    <definedName name="solver_rhs1" localSheetId="1" hidden="1">1</definedName>
    <definedName name="solver_rhs1" localSheetId="2" hidden="1">1200</definedName>
    <definedName name="solver_rhs1" localSheetId="6" hidden="1">1</definedName>
    <definedName name="solver_rhs1" localSheetId="9" hidden="1">1</definedName>
    <definedName name="solver_rhs1" localSheetId="10" hidden="1">1</definedName>
    <definedName name="solver_rhs1" localSheetId="12" hidden="1">1</definedName>
    <definedName name="solver_rhs2" localSheetId="9" hidden="1">0</definedName>
    <definedName name="solver_rhs2" localSheetId="10" hidden="1">0</definedName>
    <definedName name="solver_rhs2" localSheetId="12" hidden="1">0</definedName>
    <definedName name="solver_rhs3" localSheetId="9" hidden="1">0</definedName>
    <definedName name="solver_rhs3" localSheetId="10" hidden="1">0</definedName>
    <definedName name="solver_rhs3" localSheetId="12" hidden="1">1</definedName>
    <definedName name="solver_rhs4" localSheetId="9" hidden="1">0</definedName>
    <definedName name="solver_rhs4" localSheetId="10" hidden="1">0</definedName>
    <definedName name="solver_rhs4" localSheetId="12" hidden="1">0</definedName>
    <definedName name="solver_rhs5" localSheetId="9" hidden="1">0</definedName>
    <definedName name="solver_rhs5" localSheetId="10" hidden="1">0</definedName>
    <definedName name="solver_rhs5" localSheetId="12" hidden="1">1</definedName>
    <definedName name="solver_rhs6" localSheetId="9" hidden="1">0</definedName>
    <definedName name="solver_rhs6" localSheetId="10" hidden="1">0</definedName>
    <definedName name="solver_rhs6" localSheetId="12" hidden="1">0</definedName>
    <definedName name="solver_rlx" localSheetId="1" hidden="1">2</definedName>
    <definedName name="solver_rlx" localSheetId="2" hidden="1">2</definedName>
    <definedName name="solver_rlx" localSheetId="4" hidden="1">2</definedName>
    <definedName name="solver_rlx" localSheetId="5" hidden="1">2</definedName>
    <definedName name="solver_rlx" localSheetId="6" hidden="1">2</definedName>
    <definedName name="solver_rlx" localSheetId="9" hidden="1">2</definedName>
    <definedName name="solver_rlx" localSheetId="10" hidden="1">2</definedName>
    <definedName name="solver_rlx" localSheetId="12" hidden="1">2</definedName>
    <definedName name="solver_rsd" localSheetId="1" hidden="1">0</definedName>
    <definedName name="solver_rsd" localSheetId="2" hidden="1">0</definedName>
    <definedName name="solver_rsd" localSheetId="4" hidden="1">0</definedName>
    <definedName name="solver_rsd" localSheetId="5" hidden="1">0</definedName>
    <definedName name="solver_rsd" localSheetId="6" hidden="1">0</definedName>
    <definedName name="solver_rsd" localSheetId="9" hidden="1">0</definedName>
    <definedName name="solver_rsd" localSheetId="10" hidden="1">0</definedName>
    <definedName name="solver_rsd" localSheetId="12" hidden="1">0</definedName>
    <definedName name="solver_scl" localSheetId="1" hidden="1">2</definedName>
    <definedName name="solver_scl" localSheetId="2" hidden="1">1</definedName>
    <definedName name="solver_scl" localSheetId="4" hidden="1">1</definedName>
    <definedName name="solver_scl" localSheetId="5" hidden="1">2</definedName>
    <definedName name="solver_scl" localSheetId="6" hidden="1">2</definedName>
    <definedName name="solver_scl" localSheetId="9" hidden="1">1</definedName>
    <definedName name="solver_scl" localSheetId="10" hidden="1">1</definedName>
    <definedName name="solver_scl" localSheetId="12" hidden="1">1</definedName>
    <definedName name="solver_sho" localSheetId="1" hidden="1">2</definedName>
    <definedName name="solver_sho" localSheetId="2" hidden="1">2</definedName>
    <definedName name="solver_sho" localSheetId="4" hidden="1">2</definedName>
    <definedName name="solver_sho" localSheetId="5" hidden="1">2</definedName>
    <definedName name="solver_sho" localSheetId="6" hidden="1">2</definedName>
    <definedName name="solver_sho" localSheetId="9" hidden="1">2</definedName>
    <definedName name="solver_sho" localSheetId="10" hidden="1">2</definedName>
    <definedName name="solver_sho" localSheetId="12" hidden="1">2</definedName>
    <definedName name="solver_ssz" localSheetId="1" hidden="1">100</definedName>
    <definedName name="solver_ssz" localSheetId="2" hidden="1">100</definedName>
    <definedName name="solver_ssz" localSheetId="4" hidden="1">100</definedName>
    <definedName name="solver_ssz" localSheetId="5" hidden="1">100</definedName>
    <definedName name="solver_ssz" localSheetId="6" hidden="1">100</definedName>
    <definedName name="solver_ssz" localSheetId="9" hidden="1">100</definedName>
    <definedName name="solver_ssz" localSheetId="10" hidden="1">100</definedName>
    <definedName name="solver_ssz" localSheetId="12" hidden="1">100</definedName>
    <definedName name="solver_tim" localSheetId="1" hidden="1">2147483647</definedName>
    <definedName name="solver_tim" localSheetId="2" hidden="1">2147483647</definedName>
    <definedName name="solver_tim" localSheetId="4" hidden="1">2147483647</definedName>
    <definedName name="solver_tim" localSheetId="5" hidden="1">2147483647</definedName>
    <definedName name="solver_tim" localSheetId="6" hidden="1">2147483647</definedName>
    <definedName name="solver_tim" localSheetId="9" hidden="1">2147483647</definedName>
    <definedName name="solver_tim" localSheetId="10" hidden="1">2147483647</definedName>
    <definedName name="solver_tim" localSheetId="12" hidden="1">2147483647</definedName>
    <definedName name="solver_tol" localSheetId="1" hidden="1">0.01</definedName>
    <definedName name="solver_tol" localSheetId="2" hidden="1">0.01</definedName>
    <definedName name="solver_tol" localSheetId="4" hidden="1">0.01</definedName>
    <definedName name="solver_tol" localSheetId="5" hidden="1">0.01</definedName>
    <definedName name="solver_tol" localSheetId="6" hidden="1">0.01</definedName>
    <definedName name="solver_tol" localSheetId="9" hidden="1">0.01</definedName>
    <definedName name="solver_tol" localSheetId="10" hidden="1">0.01</definedName>
    <definedName name="solver_tol" localSheetId="12" hidden="1">0.01</definedName>
    <definedName name="solver_typ" localSheetId="0" hidden="1">2</definedName>
    <definedName name="solver_typ" localSheetId="1" hidden="1">2</definedName>
    <definedName name="solver_typ" localSheetId="7" hidden="1">2</definedName>
    <definedName name="solver_typ" localSheetId="2" hidden="1">3</definedName>
    <definedName name="solver_typ" localSheetId="4" hidden="1">1</definedName>
    <definedName name="solver_typ" localSheetId="5" hidden="1">2</definedName>
    <definedName name="solver_typ" localSheetId="6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2" hidden="1">2</definedName>
    <definedName name="solver_val" localSheetId="1" hidden="1">0</definedName>
    <definedName name="solver_val" localSheetId="2" hidden="1">16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9" hidden="1">0</definedName>
    <definedName name="solver_val" localSheetId="10" hidden="1">0</definedName>
    <definedName name="solver_val" localSheetId="12" hidden="1">0</definedName>
    <definedName name="solver_ver" localSheetId="0" hidden="1">17</definedName>
    <definedName name="solver_ver" localSheetId="1" hidden="1">3</definedName>
    <definedName name="solver_ver" localSheetId="7" hidden="1">17</definedName>
    <definedName name="solver_ver" localSheetId="2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9" hidden="1">3</definedName>
    <definedName name="solver_ver" localSheetId="10" hidden="1">3</definedName>
    <definedName name="solver_ver" localSheetId="11" hidden="1">17</definedName>
    <definedName name="solver_ver" localSheetId="12" hidden="1">3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53" l="1"/>
  <c r="C2" i="53"/>
  <c r="Q2" i="53" s="1"/>
  <c r="I2" i="53"/>
  <c r="B3" i="53"/>
  <c r="C3" i="53"/>
  <c r="I3" i="53"/>
  <c r="B4" i="53"/>
  <c r="C4" i="53"/>
  <c r="I4" i="53"/>
  <c r="B5" i="53"/>
  <c r="C5" i="53"/>
  <c r="I5" i="53"/>
  <c r="B6" i="53"/>
  <c r="C6" i="53"/>
  <c r="I6" i="53"/>
  <c r="B7" i="53"/>
  <c r="C7" i="53"/>
  <c r="I7" i="53"/>
  <c r="B8" i="53"/>
  <c r="C8" i="53"/>
  <c r="I8" i="53"/>
  <c r="B9" i="53"/>
  <c r="C9" i="53"/>
  <c r="I9" i="53"/>
  <c r="B10" i="53"/>
  <c r="C10" i="53"/>
  <c r="I10" i="53"/>
  <c r="B11" i="53"/>
  <c r="C11" i="53"/>
  <c r="I11" i="53"/>
  <c r="B12" i="53"/>
  <c r="C12" i="53"/>
  <c r="I12" i="53"/>
  <c r="B13" i="53"/>
  <c r="C13" i="53"/>
  <c r="I13" i="53"/>
  <c r="B14" i="53"/>
  <c r="C14" i="53"/>
  <c r="I14" i="53"/>
  <c r="B15" i="53"/>
  <c r="C15" i="53"/>
  <c r="I15" i="53"/>
  <c r="B16" i="53"/>
  <c r="C16" i="53"/>
  <c r="I16" i="53"/>
  <c r="B17" i="53"/>
  <c r="C17" i="53"/>
  <c r="I17" i="53"/>
  <c r="B18" i="53"/>
  <c r="C18" i="53"/>
  <c r="I18" i="53"/>
  <c r="B19" i="53"/>
  <c r="C19" i="53"/>
  <c r="I19" i="53"/>
  <c r="B20" i="53"/>
  <c r="C20" i="53"/>
  <c r="I20" i="53"/>
  <c r="B21" i="53"/>
  <c r="C21" i="53"/>
  <c r="I21" i="53"/>
  <c r="B22" i="53"/>
  <c r="C22" i="53"/>
  <c r="I22" i="53"/>
  <c r="B23" i="53"/>
  <c r="C23" i="53"/>
  <c r="I23" i="53"/>
  <c r="B24" i="53"/>
  <c r="C24" i="53"/>
  <c r="I24" i="53"/>
  <c r="B25" i="53"/>
  <c r="C25" i="53"/>
  <c r="I25" i="53"/>
  <c r="B26" i="53"/>
  <c r="C26" i="53"/>
  <c r="I26" i="53"/>
  <c r="B27" i="53"/>
  <c r="C27" i="53"/>
  <c r="I27" i="53"/>
  <c r="B28" i="53"/>
  <c r="C28" i="53"/>
  <c r="I28" i="53"/>
  <c r="B29" i="53"/>
  <c r="C29" i="53"/>
  <c r="I29" i="53"/>
  <c r="B30" i="53"/>
  <c r="C30" i="53"/>
  <c r="I30" i="53"/>
  <c r="B31" i="53"/>
  <c r="C31" i="53"/>
  <c r="I31" i="53"/>
  <c r="B32" i="53"/>
  <c r="C32" i="53"/>
  <c r="I32" i="53"/>
  <c r="B33" i="53"/>
  <c r="C33" i="53"/>
  <c r="I33" i="53"/>
  <c r="B34" i="53"/>
  <c r="C34" i="53"/>
  <c r="I34" i="53"/>
  <c r="B35" i="53"/>
  <c r="C35" i="53"/>
  <c r="I35" i="53"/>
  <c r="B36" i="53"/>
  <c r="C36" i="53"/>
  <c r="I36" i="53"/>
  <c r="D2" i="53" l="1"/>
  <c r="D31" i="53"/>
  <c r="E31" i="53" s="1"/>
  <c r="D23" i="53"/>
  <c r="E23" i="53" s="1"/>
  <c r="D36" i="53"/>
  <c r="E36" i="53" s="1"/>
  <c r="D29" i="53"/>
  <c r="E29" i="53" s="1"/>
  <c r="D21" i="53"/>
  <c r="E21" i="53" s="1"/>
  <c r="D13" i="53"/>
  <c r="E13" i="53" s="1"/>
  <c r="D34" i="53"/>
  <c r="E34" i="53" s="1"/>
  <c r="D26" i="53"/>
  <c r="E26" i="53" s="1"/>
  <c r="D10" i="53"/>
  <c r="E10" i="53" s="1"/>
  <c r="D15" i="53"/>
  <c r="E15" i="53" s="1"/>
  <c r="D9" i="53"/>
  <c r="E9" i="53" s="1"/>
  <c r="D4" i="53"/>
  <c r="E4" i="53" s="1"/>
  <c r="D7" i="53"/>
  <c r="E7" i="53" s="1"/>
  <c r="D17" i="53"/>
  <c r="E17" i="53" s="1"/>
  <c r="D25" i="53"/>
  <c r="E25" i="53" s="1"/>
  <c r="D33" i="53"/>
  <c r="E33" i="53" s="1"/>
  <c r="D6" i="53"/>
  <c r="E6" i="53" s="1"/>
  <c r="D5" i="53"/>
  <c r="E5" i="53" s="1"/>
  <c r="D11" i="53"/>
  <c r="E11" i="53" s="1"/>
  <c r="D19" i="53"/>
  <c r="E19" i="53" s="1"/>
  <c r="D27" i="53"/>
  <c r="E27" i="53" s="1"/>
  <c r="D8" i="53"/>
  <c r="E8" i="53" s="1"/>
  <c r="D12" i="53"/>
  <c r="E12" i="53" s="1"/>
  <c r="D20" i="53"/>
  <c r="E20" i="53" s="1"/>
  <c r="D28" i="53"/>
  <c r="E28" i="53" s="1"/>
  <c r="D22" i="53"/>
  <c r="E22" i="53" s="1"/>
  <c r="D30" i="53"/>
  <c r="E30" i="53" s="1"/>
  <c r="D14" i="53"/>
  <c r="E14" i="53" s="1"/>
  <c r="D18" i="53"/>
  <c r="E18" i="53" s="1"/>
  <c r="D35" i="53"/>
  <c r="E35" i="53" s="1"/>
  <c r="D32" i="53"/>
  <c r="E32" i="53" s="1"/>
  <c r="D24" i="53"/>
  <c r="E24" i="53" s="1"/>
  <c r="D16" i="53"/>
  <c r="E16" i="53" s="1"/>
  <c r="D3" i="53"/>
  <c r="E3" i="53" s="1"/>
  <c r="E2" i="53"/>
  <c r="F7" i="53" l="1"/>
  <c r="F6" i="53"/>
  <c r="F33" i="53"/>
  <c r="F10" i="53"/>
  <c r="F23" i="53"/>
  <c r="F26" i="53"/>
  <c r="F31" i="53"/>
  <c r="F9" i="53"/>
  <c r="F15" i="53"/>
  <c r="F20" i="53"/>
  <c r="F17" i="53"/>
  <c r="F16" i="53"/>
  <c r="F19" i="53"/>
  <c r="F21" i="53"/>
  <c r="F30" i="53"/>
  <c r="F24" i="53"/>
  <c r="F5" i="53"/>
  <c r="F27" i="53"/>
  <c r="F22" i="53"/>
  <c r="F13" i="53"/>
  <c r="F32" i="53"/>
  <c r="F11" i="53"/>
  <c r="F14" i="53"/>
  <c r="F18" i="53"/>
  <c r="F12" i="53"/>
  <c r="F8" i="53"/>
  <c r="F29" i="53"/>
  <c r="F28" i="53"/>
  <c r="F25" i="53"/>
  <c r="W2" i="53" l="1"/>
  <c r="X2" i="53"/>
  <c r="G13" i="53" l="1"/>
  <c r="G21" i="53"/>
  <c r="G29" i="53"/>
  <c r="G5" i="53"/>
  <c r="G3" i="53"/>
  <c r="G6" i="53"/>
  <c r="G14" i="53"/>
  <c r="G22" i="53"/>
  <c r="G30" i="53"/>
  <c r="G9" i="53"/>
  <c r="G15" i="53"/>
  <c r="G23" i="53"/>
  <c r="G31" i="53"/>
  <c r="G4" i="53"/>
  <c r="G16" i="53"/>
  <c r="G24" i="53"/>
  <c r="G32" i="53"/>
  <c r="G27" i="53"/>
  <c r="G2" i="53"/>
  <c r="H2" i="53" s="1"/>
  <c r="G7" i="53"/>
  <c r="G17" i="53"/>
  <c r="G25" i="53"/>
  <c r="G33" i="53"/>
  <c r="G34" i="53"/>
  <c r="G35" i="53"/>
  <c r="G36" i="53"/>
  <c r="G10" i="53"/>
  <c r="G18" i="53"/>
  <c r="G26" i="53"/>
  <c r="G11" i="53"/>
  <c r="G19" i="53"/>
  <c r="G8" i="53"/>
  <c r="G12" i="53"/>
  <c r="G20" i="53"/>
  <c r="G28" i="53"/>
  <c r="H36" i="53" l="1"/>
  <c r="H27" i="53"/>
  <c r="H9" i="53"/>
  <c r="H12" i="53"/>
  <c r="H32" i="53"/>
  <c r="H30" i="53"/>
  <c r="H13" i="53"/>
  <c r="H8" i="53"/>
  <c r="H34" i="53"/>
  <c r="H24" i="53"/>
  <c r="H22" i="53"/>
  <c r="H19" i="53"/>
  <c r="H33" i="53"/>
  <c r="H16" i="53"/>
  <c r="H14" i="53"/>
  <c r="H20" i="53"/>
  <c r="H21" i="53"/>
  <c r="H35" i="53"/>
  <c r="H11" i="53"/>
  <c r="H25" i="53"/>
  <c r="H4" i="53"/>
  <c r="T4" i="53" s="1"/>
  <c r="H6" i="53"/>
  <c r="H26" i="53"/>
  <c r="H17" i="53"/>
  <c r="H31" i="53"/>
  <c r="H3" i="53"/>
  <c r="H18" i="53"/>
  <c r="H7" i="53"/>
  <c r="H23" i="53"/>
  <c r="H5" i="53"/>
  <c r="H28" i="53"/>
  <c r="H10" i="53"/>
  <c r="H15" i="53"/>
  <c r="H29" i="53"/>
  <c r="T2" i="53" l="1"/>
  <c r="J2" i="53" s="1"/>
  <c r="J4" i="53"/>
  <c r="J32" i="53"/>
  <c r="T8" i="53"/>
  <c r="J25" i="53"/>
  <c r="J11" i="53"/>
  <c r="T7" i="53"/>
  <c r="J18" i="53"/>
  <c r="T5" i="53"/>
  <c r="T3" i="53"/>
  <c r="T6" i="53"/>
  <c r="J23" i="53" l="1"/>
  <c r="J16" i="53"/>
  <c r="J30" i="53"/>
  <c r="J9" i="53"/>
  <c r="T9" i="53"/>
  <c r="U4" i="53" s="1"/>
  <c r="J5" i="53"/>
  <c r="J26" i="53"/>
  <c r="J12" i="53"/>
  <c r="J19" i="53"/>
  <c r="J33" i="53"/>
  <c r="J27" i="53"/>
  <c r="J6" i="53"/>
  <c r="J13" i="53"/>
  <c r="J20" i="53"/>
  <c r="J34" i="53"/>
  <c r="J35" i="53"/>
  <c r="J14" i="53"/>
  <c r="J21" i="53"/>
  <c r="J28" i="53"/>
  <c r="J7" i="53"/>
  <c r="J29" i="53"/>
  <c r="J15" i="53"/>
  <c r="J22" i="53"/>
  <c r="J8" i="53"/>
  <c r="J36" i="53"/>
  <c r="J24" i="53"/>
  <c r="J3" i="53"/>
  <c r="J10" i="53"/>
  <c r="J17" i="53"/>
  <c r="J31" i="53"/>
  <c r="U2" i="53" l="1"/>
  <c r="U6" i="53"/>
  <c r="U7" i="53"/>
  <c r="U8" i="53"/>
  <c r="U3" i="53"/>
  <c r="U5" i="53"/>
  <c r="U9" i="53" l="1"/>
  <c r="A3" i="52"/>
  <c r="C3" i="52"/>
  <c r="A4" i="52"/>
  <c r="G4" i="52" s="1"/>
  <c r="C4" i="52"/>
  <c r="A5" i="52"/>
  <c r="C5" i="52"/>
  <c r="G5" i="52"/>
  <c r="A6" i="52"/>
  <c r="C6" i="52"/>
  <c r="G6" i="52"/>
  <c r="A7" i="52"/>
  <c r="C7" i="52"/>
  <c r="G7" i="52"/>
  <c r="A8" i="52"/>
  <c r="G8" i="52" s="1"/>
  <c r="C8" i="52"/>
  <c r="A9" i="52"/>
  <c r="C9" i="52"/>
  <c r="D11" i="52" s="1"/>
  <c r="G9" i="52"/>
  <c r="A10" i="52"/>
  <c r="C10" i="52"/>
  <c r="D12" i="52" s="1"/>
  <c r="G10" i="52"/>
  <c r="A11" i="52"/>
  <c r="C11" i="52"/>
  <c r="D13" i="52" s="1"/>
  <c r="G11" i="52"/>
  <c r="A12" i="52"/>
  <c r="C12" i="52"/>
  <c r="D14" i="52" s="1"/>
  <c r="G12" i="52"/>
  <c r="A13" i="52"/>
  <c r="C13" i="52"/>
  <c r="D15" i="52" s="1"/>
  <c r="G13" i="52"/>
  <c r="A14" i="52"/>
  <c r="C14" i="52"/>
  <c r="D16" i="52" s="1"/>
  <c r="G14" i="52"/>
  <c r="A15" i="52"/>
  <c r="C15" i="52"/>
  <c r="D17" i="52" s="1"/>
  <c r="G15" i="52"/>
  <c r="A16" i="52"/>
  <c r="C16" i="52"/>
  <c r="D18" i="52" s="1"/>
  <c r="G16" i="52"/>
  <c r="A17" i="52"/>
  <c r="C17" i="52"/>
  <c r="D19" i="52" s="1"/>
  <c r="G17" i="52"/>
  <c r="A18" i="52"/>
  <c r="C18" i="52"/>
  <c r="D20" i="52" s="1"/>
  <c r="G18" i="52"/>
  <c r="A19" i="52"/>
  <c r="C19" i="52"/>
  <c r="D21" i="52" s="1"/>
  <c r="G19" i="52"/>
  <c r="A20" i="52"/>
  <c r="C20" i="52"/>
  <c r="D22" i="52" s="1"/>
  <c r="G20" i="52"/>
  <c r="A21" i="52"/>
  <c r="C21" i="52"/>
  <c r="D23" i="52" s="1"/>
  <c r="G21" i="52"/>
  <c r="A22" i="52"/>
  <c r="C22" i="52"/>
  <c r="D24" i="52" s="1"/>
  <c r="G22" i="52"/>
  <c r="A23" i="52"/>
  <c r="C23" i="52"/>
  <c r="D25" i="52" s="1"/>
  <c r="G23" i="52"/>
  <c r="A24" i="52"/>
  <c r="C24" i="52"/>
  <c r="D26" i="52" s="1"/>
  <c r="G24" i="52"/>
  <c r="A25" i="52"/>
  <c r="C25" i="52"/>
  <c r="D27" i="52" s="1"/>
  <c r="G25" i="52"/>
  <c r="A26" i="52"/>
  <c r="C26" i="52"/>
  <c r="D28" i="52" s="1"/>
  <c r="G26" i="52"/>
  <c r="A27" i="52"/>
  <c r="C27" i="52"/>
  <c r="D29" i="52" s="1"/>
  <c r="G27" i="52"/>
  <c r="A28" i="52"/>
  <c r="C28" i="52"/>
  <c r="D30" i="52" s="1"/>
  <c r="G28" i="52"/>
  <c r="A29" i="52"/>
  <c r="C29" i="52"/>
  <c r="D31" i="52" s="1"/>
  <c r="G29" i="52"/>
  <c r="A30" i="52"/>
  <c r="C30" i="52"/>
  <c r="D32" i="52" s="1"/>
  <c r="G30" i="52"/>
  <c r="A31" i="52"/>
  <c r="C31" i="52"/>
  <c r="D33" i="52" s="1"/>
  <c r="G31" i="52"/>
  <c r="A32" i="52"/>
  <c r="C32" i="52"/>
  <c r="D34" i="52" s="1"/>
  <c r="G32" i="52"/>
  <c r="A33" i="52"/>
  <c r="C33" i="52"/>
  <c r="D35" i="52" s="1"/>
  <c r="G33" i="52"/>
  <c r="A34" i="52"/>
  <c r="C34" i="52"/>
  <c r="D36" i="52" s="1"/>
  <c r="G34" i="52"/>
  <c r="A35" i="52"/>
  <c r="C35" i="52"/>
  <c r="G35" i="52"/>
  <c r="A36" i="52"/>
  <c r="C36" i="52"/>
  <c r="G36" i="52"/>
  <c r="A37" i="52"/>
  <c r="C37" i="52"/>
  <c r="D37" i="52" s="1"/>
  <c r="G37" i="52"/>
  <c r="A38" i="52"/>
  <c r="C38" i="52"/>
  <c r="G38" i="52"/>
  <c r="A39" i="52"/>
  <c r="C39" i="52"/>
  <c r="D38" i="52" s="1"/>
  <c r="G39" i="52"/>
  <c r="A40" i="52"/>
  <c r="C40" i="52"/>
  <c r="D40" i="52"/>
  <c r="G40" i="52"/>
  <c r="A41" i="52"/>
  <c r="C41" i="52"/>
  <c r="D39" i="52" s="1"/>
  <c r="D41" i="52"/>
  <c r="G41" i="52"/>
  <c r="A42" i="52"/>
  <c r="C42" i="52"/>
  <c r="D42" i="52"/>
  <c r="G42" i="52"/>
  <c r="A43" i="52"/>
  <c r="C43" i="52"/>
  <c r="D43" i="52"/>
  <c r="G43" i="52"/>
  <c r="A44" i="52"/>
  <c r="C44" i="52"/>
  <c r="D44" i="52"/>
  <c r="G44" i="52"/>
  <c r="A45" i="52"/>
  <c r="C45" i="52"/>
  <c r="D45" i="52"/>
  <c r="G45" i="52"/>
  <c r="A46" i="52"/>
  <c r="C46" i="52"/>
  <c r="D46" i="52"/>
  <c r="G46" i="52"/>
  <c r="A47" i="52"/>
  <c r="C47" i="52"/>
  <c r="D47" i="52"/>
  <c r="G47" i="52"/>
  <c r="A48" i="52"/>
  <c r="C48" i="52"/>
  <c r="D48" i="52"/>
  <c r="G48" i="52"/>
  <c r="A49" i="52"/>
  <c r="C49" i="52"/>
  <c r="D49" i="52"/>
  <c r="G49" i="52"/>
  <c r="A50" i="52"/>
  <c r="C50" i="52"/>
  <c r="D50" i="52"/>
  <c r="G50" i="52"/>
  <c r="A51" i="52"/>
  <c r="C51" i="52"/>
  <c r="D51" i="52"/>
  <c r="G51" i="52"/>
  <c r="A52" i="52"/>
  <c r="C52" i="52"/>
  <c r="D52" i="52"/>
  <c r="G52" i="52"/>
  <c r="A53" i="52"/>
  <c r="C53" i="52"/>
  <c r="D53" i="52"/>
  <c r="G53" i="52"/>
  <c r="A54" i="52"/>
  <c r="C54" i="52"/>
  <c r="D54" i="52"/>
  <c r="G54" i="52"/>
  <c r="A55" i="52"/>
  <c r="C55" i="52"/>
  <c r="D55" i="52"/>
  <c r="G55" i="52"/>
  <c r="A56" i="52"/>
  <c r="C56" i="52"/>
  <c r="D56" i="52"/>
  <c r="G56" i="52"/>
  <c r="A57" i="52"/>
  <c r="C57" i="52"/>
  <c r="D57" i="52"/>
  <c r="G57" i="52"/>
  <c r="A58" i="52"/>
  <c r="C58" i="52"/>
  <c r="D58" i="52"/>
  <c r="G58" i="52"/>
  <c r="A59" i="52"/>
  <c r="C59" i="52"/>
  <c r="D59" i="52"/>
  <c r="G59" i="52"/>
  <c r="A60" i="52"/>
  <c r="C60" i="52"/>
  <c r="D60" i="52"/>
  <c r="G60" i="52"/>
  <c r="A61" i="52"/>
  <c r="C61" i="52"/>
  <c r="D61" i="52"/>
  <c r="G61" i="52"/>
  <c r="A62" i="52"/>
  <c r="C62" i="52"/>
  <c r="D62" i="52"/>
  <c r="G62" i="52"/>
  <c r="A63" i="52"/>
  <c r="C63" i="52"/>
  <c r="D63" i="52"/>
  <c r="G63" i="52"/>
  <c r="A64" i="52"/>
  <c r="C64" i="52"/>
  <c r="D64" i="52"/>
  <c r="G64" i="52"/>
  <c r="A65" i="52"/>
  <c r="C65" i="52"/>
  <c r="D65" i="52"/>
  <c r="G65" i="52"/>
  <c r="A66" i="52"/>
  <c r="C66" i="52"/>
  <c r="D66" i="52"/>
  <c r="G66" i="52"/>
  <c r="A67" i="52"/>
  <c r="C67" i="52"/>
  <c r="D67" i="52"/>
  <c r="G67" i="52"/>
  <c r="A68" i="52"/>
  <c r="C68" i="52"/>
  <c r="D68" i="52"/>
  <c r="G68" i="52"/>
  <c r="A69" i="52"/>
  <c r="C69" i="52"/>
  <c r="D69" i="52"/>
  <c r="G69" i="52"/>
  <c r="A70" i="52"/>
  <c r="C70" i="52"/>
  <c r="D70" i="52"/>
  <c r="G70" i="52"/>
  <c r="A71" i="52"/>
  <c r="C71" i="52"/>
  <c r="D71" i="52"/>
  <c r="G71" i="52"/>
  <c r="A72" i="52"/>
  <c r="C72" i="52"/>
  <c r="D72" i="52"/>
  <c r="G72" i="52"/>
  <c r="A73" i="52"/>
  <c r="C73" i="52"/>
  <c r="D73" i="52"/>
  <c r="G73" i="52"/>
  <c r="A74" i="52"/>
  <c r="C74" i="52"/>
  <c r="D74" i="52"/>
  <c r="G74" i="52"/>
  <c r="A75" i="52"/>
  <c r="C75" i="52"/>
  <c r="D75" i="52"/>
  <c r="G75" i="52"/>
  <c r="A76" i="52"/>
  <c r="C76" i="52"/>
  <c r="D76" i="52"/>
  <c r="G76" i="52"/>
  <c r="A77" i="52"/>
  <c r="G77" i="52" s="1"/>
  <c r="C77" i="52"/>
  <c r="A78" i="52"/>
  <c r="G78" i="52" s="1"/>
  <c r="C78" i="52"/>
  <c r="D7" i="52" l="1"/>
  <c r="D6" i="52"/>
  <c r="D10" i="52"/>
  <c r="D9" i="52"/>
  <c r="D8" i="52"/>
  <c r="E2" i="52" l="1"/>
  <c r="F2" i="52"/>
  <c r="G2" i="52"/>
  <c r="H2" i="52"/>
  <c r="B45" i="52"/>
  <c r="B67" i="52"/>
  <c r="B65" i="52"/>
  <c r="B59" i="52"/>
  <c r="B63" i="52"/>
  <c r="B57" i="52"/>
  <c r="B73" i="52"/>
  <c r="B29" i="52"/>
  <c r="B71" i="52"/>
  <c r="B47" i="52"/>
  <c r="B69" i="52"/>
  <c r="B51" i="52"/>
  <c r="B49" i="52"/>
  <c r="B13" i="52"/>
  <c r="B37" i="52"/>
  <c r="B31" i="52"/>
  <c r="B55" i="52"/>
  <c r="B6" i="52"/>
  <c r="B33" i="52"/>
  <c r="B11" i="52"/>
  <c r="B15" i="52"/>
  <c r="B61" i="52"/>
  <c r="B43" i="52"/>
  <c r="B39" i="52"/>
  <c r="B27" i="52"/>
  <c r="B9" i="52"/>
  <c r="B8" i="52"/>
  <c r="B17" i="52"/>
  <c r="B25" i="52"/>
  <c r="B77" i="52"/>
  <c r="B41" i="52"/>
  <c r="B21" i="52"/>
  <c r="B53" i="52"/>
  <c r="B23" i="52"/>
  <c r="B19" i="52"/>
  <c r="B5" i="52"/>
  <c r="B10" i="52"/>
  <c r="B14" i="52"/>
  <c r="B18" i="52"/>
  <c r="B22" i="52"/>
  <c r="B26" i="52"/>
  <c r="B30" i="52"/>
  <c r="B34" i="52"/>
  <c r="B38" i="52"/>
  <c r="B42" i="52"/>
  <c r="B46" i="52"/>
  <c r="B50" i="52"/>
  <c r="B54" i="52"/>
  <c r="B58" i="52"/>
  <c r="B62" i="52"/>
  <c r="B66" i="52"/>
  <c r="B70" i="52"/>
  <c r="B74" i="52"/>
  <c r="B78" i="52"/>
  <c r="B7" i="52"/>
  <c r="B12" i="52"/>
  <c r="B16" i="52"/>
  <c r="B20" i="52"/>
  <c r="B24" i="52"/>
  <c r="B28" i="52"/>
  <c r="B32" i="52"/>
  <c r="B36" i="52"/>
  <c r="B40" i="52"/>
  <c r="B44" i="52"/>
  <c r="B52" i="52"/>
  <c r="B56" i="52"/>
  <c r="B60" i="52"/>
  <c r="B64" i="52"/>
  <c r="B68" i="52"/>
  <c r="B72" i="52"/>
  <c r="B76" i="52"/>
  <c r="E7" i="52" l="1"/>
  <c r="E6" i="52"/>
  <c r="E8" i="52"/>
  <c r="E78" i="52"/>
  <c r="E4" i="52"/>
  <c r="E77" i="52"/>
  <c r="E5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42" i="52"/>
  <c r="E43" i="52"/>
  <c r="E44" i="52"/>
  <c r="E45" i="52"/>
  <c r="E46" i="52"/>
  <c r="E47" i="52"/>
  <c r="E48" i="52"/>
  <c r="E49" i="52"/>
  <c r="E50" i="52"/>
  <c r="E51" i="52"/>
  <c r="E52" i="52"/>
  <c r="E53" i="52"/>
  <c r="E54" i="52"/>
  <c r="E55" i="52"/>
  <c r="E56" i="52"/>
  <c r="E57" i="52"/>
  <c r="E58" i="52"/>
  <c r="E59" i="52"/>
  <c r="E60" i="52"/>
  <c r="E61" i="52"/>
  <c r="E62" i="52"/>
  <c r="E63" i="52"/>
  <c r="E64" i="52"/>
  <c r="E65" i="52"/>
  <c r="E66" i="52"/>
  <c r="E67" i="52"/>
  <c r="E68" i="52"/>
  <c r="E69" i="52"/>
  <c r="E70" i="52"/>
  <c r="E71" i="52"/>
  <c r="E72" i="52"/>
  <c r="E73" i="52"/>
  <c r="E74" i="52"/>
  <c r="E75" i="52"/>
  <c r="E76" i="52"/>
  <c r="B35" i="52"/>
  <c r="B75" i="52"/>
  <c r="B48" i="52"/>
  <c r="B4" i="52"/>
  <c r="F73" i="52" l="1"/>
  <c r="F65" i="52"/>
  <c r="F57" i="52"/>
  <c r="F49" i="52"/>
  <c r="F41" i="52"/>
  <c r="F33" i="52"/>
  <c r="F25" i="52"/>
  <c r="F17" i="52"/>
  <c r="F9" i="52"/>
  <c r="F72" i="52"/>
  <c r="F64" i="52"/>
  <c r="F56" i="52"/>
  <c r="F48" i="52"/>
  <c r="F40" i="52"/>
  <c r="F32" i="52"/>
  <c r="F24" i="52"/>
  <c r="F16" i="52"/>
  <c r="F5" i="52"/>
  <c r="F71" i="52"/>
  <c r="F63" i="52"/>
  <c r="F55" i="52"/>
  <c r="F47" i="52"/>
  <c r="F39" i="52"/>
  <c r="F31" i="52"/>
  <c r="F23" i="52"/>
  <c r="F15" i="52"/>
  <c r="F77" i="52"/>
  <c r="F70" i="52"/>
  <c r="F62" i="52"/>
  <c r="F54" i="52"/>
  <c r="F46" i="52"/>
  <c r="F38" i="52"/>
  <c r="F30" i="52"/>
  <c r="F22" i="52"/>
  <c r="F14" i="52"/>
  <c r="F4" i="52"/>
  <c r="F69" i="52"/>
  <c r="F61" i="52"/>
  <c r="F53" i="52"/>
  <c r="F45" i="52"/>
  <c r="F37" i="52"/>
  <c r="F29" i="52"/>
  <c r="F21" i="52"/>
  <c r="F13" i="52"/>
  <c r="F78" i="52"/>
  <c r="F76" i="52"/>
  <c r="F68" i="52"/>
  <c r="F60" i="52"/>
  <c r="F52" i="52"/>
  <c r="F44" i="52"/>
  <c r="F36" i="52"/>
  <c r="F28" i="52"/>
  <c r="F20" i="52"/>
  <c r="F12" i="52"/>
  <c r="F8" i="52"/>
  <c r="F75" i="52"/>
  <c r="F67" i="52"/>
  <c r="F59" i="52"/>
  <c r="F51" i="52"/>
  <c r="F43" i="52"/>
  <c r="F35" i="52"/>
  <c r="F27" i="52"/>
  <c r="F19" i="52"/>
  <c r="F11" i="52"/>
  <c r="F6" i="52"/>
  <c r="F74" i="52"/>
  <c r="F66" i="52"/>
  <c r="F58" i="52"/>
  <c r="F50" i="52"/>
  <c r="F42" i="52"/>
  <c r="F34" i="52"/>
  <c r="F26" i="52"/>
  <c r="F18" i="52"/>
  <c r="F10" i="52"/>
  <c r="F7" i="52"/>
  <c r="K6" i="52" s="1"/>
  <c r="K3" i="52" l="1"/>
  <c r="K7" i="52"/>
  <c r="K4" i="52"/>
  <c r="K5" i="52"/>
  <c r="K8" i="52" l="1"/>
  <c r="L6" i="52" s="1"/>
  <c r="L3" i="52"/>
  <c r="H9" i="52" l="1"/>
  <c r="H69" i="52"/>
  <c r="H44" i="52"/>
  <c r="H59" i="52"/>
  <c r="H74" i="52"/>
  <c r="H54" i="52"/>
  <c r="H29" i="52"/>
  <c r="H24" i="52"/>
  <c r="H64" i="52"/>
  <c r="H39" i="52"/>
  <c r="H14" i="52"/>
  <c r="H34" i="52"/>
  <c r="H4" i="52"/>
  <c r="H19" i="52"/>
  <c r="H49" i="52"/>
  <c r="H62" i="52"/>
  <c r="H37" i="52"/>
  <c r="H67" i="52"/>
  <c r="H52" i="52"/>
  <c r="H72" i="52"/>
  <c r="H22" i="52"/>
  <c r="H12" i="52"/>
  <c r="H42" i="52"/>
  <c r="H47" i="52"/>
  <c r="H27" i="52"/>
  <c r="H57" i="52"/>
  <c r="H32" i="52"/>
  <c r="H77" i="52"/>
  <c r="H7" i="52"/>
  <c r="H17" i="52"/>
  <c r="L7" i="52"/>
  <c r="L5" i="52"/>
  <c r="L4" i="52"/>
  <c r="L8" i="52" s="1"/>
  <c r="H41" i="52" l="1"/>
  <c r="H16" i="52"/>
  <c r="H76" i="52"/>
  <c r="H61" i="52"/>
  <c r="H71" i="52"/>
  <c r="H56" i="52"/>
  <c r="H26" i="52"/>
  <c r="H46" i="52"/>
  <c r="H21" i="52"/>
  <c r="H36" i="52"/>
  <c r="H51" i="52"/>
  <c r="H66" i="52"/>
  <c r="H31" i="52"/>
  <c r="H11" i="52"/>
  <c r="H6" i="52"/>
  <c r="H73" i="52"/>
  <c r="H48" i="52"/>
  <c r="H23" i="52"/>
  <c r="H28" i="52"/>
  <c r="H33" i="52"/>
  <c r="H53" i="52"/>
  <c r="H68" i="52"/>
  <c r="H8" i="52"/>
  <c r="H63" i="52"/>
  <c r="H38" i="52"/>
  <c r="H13" i="52"/>
  <c r="H58" i="52"/>
  <c r="H78" i="52"/>
  <c r="H18" i="52"/>
  <c r="H43" i="52"/>
  <c r="H55" i="52"/>
  <c r="H20" i="52"/>
  <c r="H30" i="52"/>
  <c r="H35" i="52"/>
  <c r="H50" i="52"/>
  <c r="H40" i="52"/>
  <c r="H10" i="52"/>
  <c r="H65" i="52"/>
  <c r="H5" i="52"/>
  <c r="H15" i="52"/>
  <c r="H25" i="52"/>
  <c r="H75" i="52"/>
  <c r="H60" i="52"/>
  <c r="H45" i="52"/>
  <c r="H70" i="52"/>
  <c r="C2" i="37" l="1"/>
  <c r="N14" i="47" l="1"/>
  <c r="E5" i="47"/>
  <c r="F5" i="47"/>
  <c r="F4" i="47"/>
  <c r="O14" i="47"/>
  <c r="Y5" i="24" l="1"/>
  <c r="Y4" i="24"/>
  <c r="Y7" i="24"/>
  <c r="Y6" i="24"/>
  <c r="P2" i="24"/>
  <c r="Q2" i="24"/>
  <c r="R2" i="24"/>
  <c r="P3" i="24"/>
  <c r="Q3" i="24"/>
  <c r="Q9" i="24" s="1"/>
  <c r="R3" i="24"/>
  <c r="P4" i="24"/>
  <c r="Q4" i="24"/>
  <c r="Q6" i="24" s="1"/>
  <c r="Q10" i="24" s="1"/>
  <c r="R4" i="24"/>
  <c r="P5" i="24"/>
  <c r="Q5" i="24"/>
  <c r="R5" i="24"/>
  <c r="R6" i="24" s="1"/>
  <c r="R10" i="24" s="1"/>
  <c r="P6" i="24"/>
  <c r="P10" i="24" s="1"/>
  <c r="P7" i="24"/>
  <c r="P8" i="24" s="1"/>
  <c r="Q7" i="24"/>
  <c r="R7" i="24"/>
  <c r="Q8" i="24"/>
  <c r="R8" i="24"/>
  <c r="P9" i="24"/>
  <c r="R9" i="24"/>
  <c r="O10" i="24"/>
  <c r="O9" i="24"/>
  <c r="O7" i="24"/>
  <c r="O6" i="24"/>
  <c r="O5" i="24"/>
  <c r="O4" i="24"/>
  <c r="O3" i="24"/>
  <c r="O2" i="24"/>
  <c r="E3" i="51" l="1"/>
  <c r="F3" i="51"/>
  <c r="E4" i="51"/>
  <c r="F4" i="51"/>
  <c r="E5" i="51"/>
  <c r="F5" i="51"/>
  <c r="E6" i="51"/>
  <c r="F6" i="51"/>
  <c r="E7" i="51"/>
  <c r="E8" i="51"/>
  <c r="D9" i="51"/>
  <c r="M9" i="51"/>
  <c r="D10" i="51"/>
  <c r="M10" i="51"/>
  <c r="N10" i="51"/>
  <c r="M11" i="51"/>
  <c r="B15" i="51"/>
  <c r="C15" i="51" s="1"/>
  <c r="G15" i="51" s="1"/>
  <c r="D15" i="51"/>
  <c r="E15" i="51"/>
  <c r="F15" i="51"/>
  <c r="B19" i="51"/>
  <c r="C19" i="51" s="1"/>
  <c r="G19" i="51" s="1"/>
  <c r="D19" i="51"/>
  <c r="F19" i="51" s="1"/>
  <c r="E19" i="51"/>
  <c r="B20" i="51"/>
  <c r="C20" i="51" s="1"/>
  <c r="G20" i="51" s="1"/>
  <c r="D20" i="51"/>
  <c r="E20" i="51"/>
  <c r="F20" i="51"/>
  <c r="B21" i="51"/>
  <c r="C21" i="51" s="1"/>
  <c r="D21" i="51"/>
  <c r="F21" i="51" s="1"/>
  <c r="E21" i="51"/>
  <c r="B22" i="51"/>
  <c r="C22" i="51" s="1"/>
  <c r="G22" i="51" s="1"/>
  <c r="D22" i="51"/>
  <c r="E22" i="51"/>
  <c r="F22" i="51"/>
  <c r="B23" i="51"/>
  <c r="C23" i="51" s="1"/>
  <c r="D23" i="51"/>
  <c r="F23" i="51" s="1"/>
  <c r="E23" i="51"/>
  <c r="B24" i="51"/>
  <c r="C24" i="51" s="1"/>
  <c r="G24" i="51" s="1"/>
  <c r="D24" i="51"/>
  <c r="E24" i="51"/>
  <c r="F24" i="51"/>
  <c r="B25" i="51"/>
  <c r="C25" i="51" s="1"/>
  <c r="G25" i="51" s="1"/>
  <c r="D25" i="51"/>
  <c r="F25" i="51" s="1"/>
  <c r="E25" i="51"/>
  <c r="B26" i="51"/>
  <c r="C26" i="51" s="1"/>
  <c r="G26" i="51" s="1"/>
  <c r="D26" i="51"/>
  <c r="E26" i="51"/>
  <c r="F26" i="51"/>
  <c r="B27" i="51"/>
  <c r="C27" i="51" s="1"/>
  <c r="D27" i="51"/>
  <c r="F27" i="51" s="1"/>
  <c r="E27" i="51"/>
  <c r="B28" i="51"/>
  <c r="C28" i="51" s="1"/>
  <c r="G28" i="51" s="1"/>
  <c r="D28" i="51"/>
  <c r="E28" i="51"/>
  <c r="F28" i="51"/>
  <c r="B29" i="51"/>
  <c r="C29" i="51" s="1"/>
  <c r="D29" i="51"/>
  <c r="F29" i="51" s="1"/>
  <c r="E29" i="51"/>
  <c r="B30" i="51"/>
  <c r="C30" i="51" s="1"/>
  <c r="G30" i="51" s="1"/>
  <c r="D30" i="51"/>
  <c r="E30" i="51"/>
  <c r="F30" i="51"/>
  <c r="B31" i="51"/>
  <c r="C31" i="51" s="1"/>
  <c r="D31" i="51"/>
  <c r="F31" i="51" s="1"/>
  <c r="E31" i="51"/>
  <c r="B32" i="51"/>
  <c r="C32" i="51" s="1"/>
  <c r="G32" i="51" s="1"/>
  <c r="D32" i="51"/>
  <c r="E32" i="51"/>
  <c r="F32" i="51"/>
  <c r="B33" i="51"/>
  <c r="C33" i="51" s="1"/>
  <c r="D33" i="51"/>
  <c r="F33" i="51" s="1"/>
  <c r="E33" i="51"/>
  <c r="B34" i="51"/>
  <c r="C34" i="51" s="1"/>
  <c r="G34" i="51" s="1"/>
  <c r="D34" i="51"/>
  <c r="E34" i="51"/>
  <c r="F34" i="51"/>
  <c r="B35" i="51"/>
  <c r="C35" i="51" s="1"/>
  <c r="G35" i="51" s="1"/>
  <c r="D35" i="51"/>
  <c r="F35" i="51" s="1"/>
  <c r="E35" i="51"/>
  <c r="B36" i="51"/>
  <c r="C36" i="51" s="1"/>
  <c r="G36" i="51" s="1"/>
  <c r="D36" i="51"/>
  <c r="E36" i="51"/>
  <c r="F36" i="51"/>
  <c r="B37" i="51"/>
  <c r="C37" i="51" s="1"/>
  <c r="D37" i="51"/>
  <c r="F37" i="51" s="1"/>
  <c r="E37" i="51"/>
  <c r="B38" i="51"/>
  <c r="C38" i="51" s="1"/>
  <c r="G38" i="51" s="1"/>
  <c r="D38" i="51"/>
  <c r="E38" i="51"/>
  <c r="F38" i="51"/>
  <c r="B39" i="51"/>
  <c r="C39" i="51" s="1"/>
  <c r="G39" i="51" s="1"/>
  <c r="D39" i="51"/>
  <c r="F39" i="51" s="1"/>
  <c r="E39" i="51"/>
  <c r="B40" i="51"/>
  <c r="C40" i="51" s="1"/>
  <c r="G40" i="51" s="1"/>
  <c r="D40" i="51"/>
  <c r="E40" i="51"/>
  <c r="F40" i="51"/>
  <c r="B41" i="51"/>
  <c r="C41" i="51" s="1"/>
  <c r="G41" i="51" s="1"/>
  <c r="D41" i="51"/>
  <c r="F41" i="51" s="1"/>
  <c r="E41" i="51"/>
  <c r="B42" i="51"/>
  <c r="C42" i="51" s="1"/>
  <c r="G42" i="51" s="1"/>
  <c r="D42" i="51"/>
  <c r="E42" i="51"/>
  <c r="F42" i="51"/>
  <c r="B43" i="51"/>
  <c r="C43" i="51" s="1"/>
  <c r="D43" i="51"/>
  <c r="F43" i="51" s="1"/>
  <c r="E43" i="51"/>
  <c r="B44" i="51"/>
  <c r="C44" i="51" s="1"/>
  <c r="G44" i="51" s="1"/>
  <c r="D44" i="51"/>
  <c r="E44" i="51"/>
  <c r="F44" i="51"/>
  <c r="B45" i="51"/>
  <c r="C45" i="51" s="1"/>
  <c r="D45" i="51"/>
  <c r="F45" i="51" s="1"/>
  <c r="E45" i="51"/>
  <c r="B46" i="51"/>
  <c r="C46" i="51" s="1"/>
  <c r="G46" i="51" s="1"/>
  <c r="D46" i="51"/>
  <c r="E46" i="51"/>
  <c r="F46" i="51"/>
  <c r="B47" i="51"/>
  <c r="C47" i="51" s="1"/>
  <c r="D47" i="51"/>
  <c r="F47" i="51" s="1"/>
  <c r="E47" i="51"/>
  <c r="B48" i="51"/>
  <c r="C48" i="51" s="1"/>
  <c r="G48" i="51" s="1"/>
  <c r="D48" i="51"/>
  <c r="E48" i="51"/>
  <c r="F48" i="51"/>
  <c r="B49" i="51"/>
  <c r="C49" i="51" s="1"/>
  <c r="D49" i="51"/>
  <c r="F49" i="51" s="1"/>
  <c r="E49" i="51"/>
  <c r="B50" i="51"/>
  <c r="C50" i="51" s="1"/>
  <c r="G50" i="51" s="1"/>
  <c r="D50" i="51"/>
  <c r="E50" i="51"/>
  <c r="F50" i="51"/>
  <c r="B51" i="51"/>
  <c r="C51" i="51" s="1"/>
  <c r="G51" i="51" s="1"/>
  <c r="D51" i="51"/>
  <c r="F51" i="51" s="1"/>
  <c r="E51" i="51"/>
  <c r="B52" i="51"/>
  <c r="C52" i="51" s="1"/>
  <c r="G52" i="51" s="1"/>
  <c r="D52" i="51"/>
  <c r="E52" i="51"/>
  <c r="F52" i="51"/>
  <c r="B53" i="51"/>
  <c r="C53" i="51" s="1"/>
  <c r="D53" i="51"/>
  <c r="F53" i="51" s="1"/>
  <c r="E53" i="51"/>
  <c r="B54" i="51"/>
  <c r="C54" i="51" s="1"/>
  <c r="G54" i="51" s="1"/>
  <c r="D54" i="51"/>
  <c r="E54" i="51"/>
  <c r="F54" i="51"/>
  <c r="B55" i="51"/>
  <c r="C55" i="51" s="1"/>
  <c r="G55" i="51" s="1"/>
  <c r="D55" i="51"/>
  <c r="F55" i="51" s="1"/>
  <c r="E55" i="51"/>
  <c r="B56" i="51"/>
  <c r="C56" i="51" s="1"/>
  <c r="G56" i="51" s="1"/>
  <c r="D56" i="51"/>
  <c r="E56" i="51"/>
  <c r="F56" i="51"/>
  <c r="B57" i="51"/>
  <c r="C57" i="51" s="1"/>
  <c r="G57" i="51" s="1"/>
  <c r="D57" i="51"/>
  <c r="F57" i="51" s="1"/>
  <c r="E57" i="51"/>
  <c r="B58" i="51"/>
  <c r="C58" i="51" s="1"/>
  <c r="G58" i="51" s="1"/>
  <c r="D58" i="51"/>
  <c r="E58" i="51"/>
  <c r="F58" i="51"/>
  <c r="B59" i="51"/>
  <c r="C59" i="51" s="1"/>
  <c r="D59" i="51"/>
  <c r="F59" i="51" s="1"/>
  <c r="E59" i="51"/>
  <c r="B60" i="51"/>
  <c r="C60" i="51" s="1"/>
  <c r="G60" i="51" s="1"/>
  <c r="D60" i="51"/>
  <c r="E60" i="51"/>
  <c r="F60" i="51"/>
  <c r="B61" i="51"/>
  <c r="C61" i="51" s="1"/>
  <c r="D61" i="51"/>
  <c r="F61" i="51" s="1"/>
  <c r="E61" i="51"/>
  <c r="B62" i="51"/>
  <c r="C62" i="51" s="1"/>
  <c r="G62" i="51" s="1"/>
  <c r="D62" i="51"/>
  <c r="E62" i="51"/>
  <c r="F62" i="51"/>
  <c r="B63" i="51"/>
  <c r="C63" i="51" s="1"/>
  <c r="D63" i="51"/>
  <c r="F63" i="51" s="1"/>
  <c r="E63" i="51"/>
  <c r="B64" i="51"/>
  <c r="C64" i="51" s="1"/>
  <c r="G64" i="51" s="1"/>
  <c r="D64" i="51"/>
  <c r="E64" i="51"/>
  <c r="F64" i="51"/>
  <c r="B65" i="51"/>
  <c r="C65" i="51" s="1"/>
  <c r="G65" i="51" s="1"/>
  <c r="D65" i="51"/>
  <c r="F65" i="51" s="1"/>
  <c r="E65" i="51"/>
  <c r="B66" i="51"/>
  <c r="C66" i="51" s="1"/>
  <c r="G66" i="51" s="1"/>
  <c r="D66" i="51"/>
  <c r="E66" i="51"/>
  <c r="F66" i="51"/>
  <c r="B67" i="51"/>
  <c r="C67" i="51" s="1"/>
  <c r="D67" i="51"/>
  <c r="F67" i="51" s="1"/>
  <c r="E67" i="51"/>
  <c r="B68" i="51"/>
  <c r="C68" i="51" s="1"/>
  <c r="G68" i="51" s="1"/>
  <c r="D68" i="51"/>
  <c r="E68" i="51"/>
  <c r="F68" i="51"/>
  <c r="B69" i="51"/>
  <c r="C69" i="51" s="1"/>
  <c r="D69" i="51"/>
  <c r="F69" i="51" s="1"/>
  <c r="E69" i="51"/>
  <c r="B70" i="51"/>
  <c r="C70" i="51" s="1"/>
  <c r="G70" i="51" s="1"/>
  <c r="D70" i="51"/>
  <c r="E70" i="51"/>
  <c r="F70" i="51"/>
  <c r="B71" i="51"/>
  <c r="C71" i="51" s="1"/>
  <c r="G71" i="51" s="1"/>
  <c r="D71" i="51"/>
  <c r="F71" i="51" s="1"/>
  <c r="E71" i="51"/>
  <c r="B72" i="51"/>
  <c r="C72" i="51" s="1"/>
  <c r="G72" i="51" s="1"/>
  <c r="D72" i="51"/>
  <c r="E72" i="51"/>
  <c r="F72" i="51"/>
  <c r="B73" i="51"/>
  <c r="C73" i="51" s="1"/>
  <c r="G73" i="51" s="1"/>
  <c r="D73" i="51"/>
  <c r="F73" i="51" s="1"/>
  <c r="E73" i="51"/>
  <c r="B74" i="51"/>
  <c r="C74" i="51" s="1"/>
  <c r="G74" i="51" s="1"/>
  <c r="D74" i="51"/>
  <c r="E74" i="51"/>
  <c r="F74" i="51"/>
  <c r="B75" i="51"/>
  <c r="C75" i="51" s="1"/>
  <c r="D75" i="51"/>
  <c r="F75" i="51" s="1"/>
  <c r="E75" i="51"/>
  <c r="B76" i="51"/>
  <c r="C76" i="51" s="1"/>
  <c r="G76" i="51" s="1"/>
  <c r="D76" i="51"/>
  <c r="E76" i="51"/>
  <c r="F76" i="51"/>
  <c r="B77" i="51"/>
  <c r="C77" i="51" s="1"/>
  <c r="D77" i="51"/>
  <c r="F77" i="51" s="1"/>
  <c r="E77" i="51"/>
  <c r="B78" i="51"/>
  <c r="C78" i="51" s="1"/>
  <c r="G78" i="51" s="1"/>
  <c r="D78" i="51"/>
  <c r="E78" i="51"/>
  <c r="F78" i="51"/>
  <c r="B79" i="51"/>
  <c r="C79" i="51" s="1"/>
  <c r="D79" i="51"/>
  <c r="F79" i="51" s="1"/>
  <c r="E79" i="51"/>
  <c r="B80" i="51"/>
  <c r="C80" i="51" s="1"/>
  <c r="G80" i="51" s="1"/>
  <c r="D80" i="51"/>
  <c r="E80" i="51"/>
  <c r="F80" i="51"/>
  <c r="B81" i="51"/>
  <c r="C81" i="51" s="1"/>
  <c r="G81" i="51" s="1"/>
  <c r="D81" i="51"/>
  <c r="F81" i="51" s="1"/>
  <c r="E81" i="51"/>
  <c r="B82" i="51"/>
  <c r="C82" i="51" s="1"/>
  <c r="G82" i="51" s="1"/>
  <c r="D82" i="51"/>
  <c r="E82" i="51"/>
  <c r="F82" i="51"/>
  <c r="B83" i="51"/>
  <c r="C83" i="51" s="1"/>
  <c r="D83" i="51"/>
  <c r="F83" i="51" s="1"/>
  <c r="E83" i="51"/>
  <c r="B84" i="51"/>
  <c r="C84" i="51" s="1"/>
  <c r="G84" i="51" s="1"/>
  <c r="D84" i="51"/>
  <c r="E84" i="51"/>
  <c r="F84" i="51"/>
  <c r="B85" i="51"/>
  <c r="C85" i="51" s="1"/>
  <c r="D85" i="51"/>
  <c r="F85" i="51" s="1"/>
  <c r="E85" i="51"/>
  <c r="B86" i="51"/>
  <c r="C86" i="51" s="1"/>
  <c r="G86" i="51" s="1"/>
  <c r="D86" i="51"/>
  <c r="E86" i="51"/>
  <c r="F86" i="51"/>
  <c r="B87" i="51"/>
  <c r="C87" i="51" s="1"/>
  <c r="G87" i="51" s="1"/>
  <c r="D87" i="51"/>
  <c r="F87" i="51" s="1"/>
  <c r="E87" i="51"/>
  <c r="B88" i="51"/>
  <c r="C88" i="51" s="1"/>
  <c r="G88" i="51" s="1"/>
  <c r="D88" i="51"/>
  <c r="E88" i="51"/>
  <c r="F88" i="51"/>
  <c r="B89" i="51"/>
  <c r="C89" i="51" s="1"/>
  <c r="G89" i="51" s="1"/>
  <c r="D89" i="51"/>
  <c r="F89" i="51" s="1"/>
  <c r="E89" i="51"/>
  <c r="B90" i="51"/>
  <c r="C90" i="51" s="1"/>
  <c r="G90" i="51" s="1"/>
  <c r="D90" i="51"/>
  <c r="E90" i="51"/>
  <c r="F90" i="51"/>
  <c r="B91" i="51"/>
  <c r="C91" i="51" s="1"/>
  <c r="D91" i="51"/>
  <c r="F91" i="51" s="1"/>
  <c r="E91" i="51"/>
  <c r="B92" i="51"/>
  <c r="C92" i="51" s="1"/>
  <c r="G92" i="51" s="1"/>
  <c r="D92" i="51"/>
  <c r="E92" i="51"/>
  <c r="F92" i="51"/>
  <c r="B93" i="51"/>
  <c r="C93" i="51" s="1"/>
  <c r="D93" i="51"/>
  <c r="F93" i="51" s="1"/>
  <c r="E93" i="51"/>
  <c r="B94" i="51"/>
  <c r="C94" i="51" s="1"/>
  <c r="G94" i="51" s="1"/>
  <c r="D94" i="51"/>
  <c r="E94" i="51"/>
  <c r="F94" i="51"/>
  <c r="B95" i="51"/>
  <c r="C95" i="51" s="1"/>
  <c r="D95" i="51"/>
  <c r="F95" i="51" s="1"/>
  <c r="E95" i="51"/>
  <c r="B96" i="51"/>
  <c r="C96" i="51" s="1"/>
  <c r="G96" i="51" s="1"/>
  <c r="D96" i="51"/>
  <c r="E96" i="51"/>
  <c r="F96" i="51"/>
  <c r="B97" i="51"/>
  <c r="C97" i="51" s="1"/>
  <c r="G97" i="51" s="1"/>
  <c r="D97" i="51"/>
  <c r="F97" i="51" s="1"/>
  <c r="E97" i="51"/>
  <c r="B98" i="51"/>
  <c r="C98" i="51" s="1"/>
  <c r="G98" i="51" s="1"/>
  <c r="D98" i="51"/>
  <c r="E98" i="51"/>
  <c r="F98" i="51"/>
  <c r="B99" i="51"/>
  <c r="C99" i="51" s="1"/>
  <c r="D99" i="51"/>
  <c r="F99" i="51" s="1"/>
  <c r="E99" i="51"/>
  <c r="B100" i="51"/>
  <c r="C100" i="51" s="1"/>
  <c r="G100" i="51" s="1"/>
  <c r="D100" i="51"/>
  <c r="E100" i="51"/>
  <c r="F100" i="51"/>
  <c r="B101" i="51"/>
  <c r="C101" i="51" s="1"/>
  <c r="D101" i="51"/>
  <c r="F101" i="51" s="1"/>
  <c r="E101" i="51"/>
  <c r="B102" i="51"/>
  <c r="C102" i="51" s="1"/>
  <c r="G102" i="51" s="1"/>
  <c r="D102" i="51"/>
  <c r="E102" i="51"/>
  <c r="F102" i="51"/>
  <c r="B103" i="51"/>
  <c r="C103" i="51" s="1"/>
  <c r="G103" i="51" s="1"/>
  <c r="D103" i="51"/>
  <c r="F103" i="51" s="1"/>
  <c r="E103" i="51"/>
  <c r="B104" i="51"/>
  <c r="C104" i="51" s="1"/>
  <c r="G104" i="51" s="1"/>
  <c r="D104" i="51"/>
  <c r="E104" i="51"/>
  <c r="F104" i="51"/>
  <c r="B105" i="51"/>
  <c r="C105" i="51" s="1"/>
  <c r="G105" i="51" s="1"/>
  <c r="D105" i="51"/>
  <c r="F105" i="51" s="1"/>
  <c r="E105" i="51"/>
  <c r="B106" i="51"/>
  <c r="C106" i="51" s="1"/>
  <c r="G106" i="51" s="1"/>
  <c r="D106" i="51"/>
  <c r="E106" i="51"/>
  <c r="F106" i="51"/>
  <c r="B107" i="51"/>
  <c r="C107" i="51" s="1"/>
  <c r="D107" i="51"/>
  <c r="F107" i="51" s="1"/>
  <c r="E107" i="51"/>
  <c r="B108" i="51"/>
  <c r="C108" i="51" s="1"/>
  <c r="G108" i="51" s="1"/>
  <c r="D108" i="51"/>
  <c r="E108" i="51"/>
  <c r="F108" i="51"/>
  <c r="B109" i="51"/>
  <c r="C109" i="51" s="1"/>
  <c r="D109" i="51"/>
  <c r="F109" i="51" s="1"/>
  <c r="E109" i="51"/>
  <c r="B110" i="51"/>
  <c r="C110" i="51" s="1"/>
  <c r="G110" i="51" s="1"/>
  <c r="D110" i="51"/>
  <c r="E110" i="51"/>
  <c r="F110" i="51"/>
  <c r="B111" i="51"/>
  <c r="C111" i="51" s="1"/>
  <c r="D111" i="51"/>
  <c r="F111" i="51" s="1"/>
  <c r="E111" i="51"/>
  <c r="B112" i="51"/>
  <c r="C112" i="51" s="1"/>
  <c r="G112" i="51" s="1"/>
  <c r="D112" i="51"/>
  <c r="E112" i="51"/>
  <c r="F112" i="51"/>
  <c r="B113" i="51"/>
  <c r="C113" i="51" s="1"/>
  <c r="G113" i="51" s="1"/>
  <c r="D113" i="51"/>
  <c r="F113" i="51" s="1"/>
  <c r="E113" i="51"/>
  <c r="B114" i="51"/>
  <c r="C114" i="51" s="1"/>
  <c r="G114" i="51" s="1"/>
  <c r="D114" i="51"/>
  <c r="E114" i="51"/>
  <c r="F114" i="51"/>
  <c r="B115" i="51"/>
  <c r="C115" i="51" s="1"/>
  <c r="D115" i="51"/>
  <c r="F115" i="51" s="1"/>
  <c r="E115" i="51"/>
  <c r="B116" i="51"/>
  <c r="C116" i="51" s="1"/>
  <c r="G116" i="51" s="1"/>
  <c r="D116" i="51"/>
  <c r="E116" i="51"/>
  <c r="F116" i="51"/>
  <c r="B117" i="51"/>
  <c r="C117" i="51" s="1"/>
  <c r="D117" i="51"/>
  <c r="F117" i="51" s="1"/>
  <c r="E117" i="51"/>
  <c r="B118" i="51"/>
  <c r="C118" i="51" s="1"/>
  <c r="G118" i="51" s="1"/>
  <c r="D118" i="51"/>
  <c r="E118" i="51"/>
  <c r="F118" i="51"/>
  <c r="B119" i="51"/>
  <c r="C119" i="51" s="1"/>
  <c r="G119" i="51" s="1"/>
  <c r="D119" i="51"/>
  <c r="F119" i="51" s="1"/>
  <c r="E119" i="51"/>
  <c r="B120" i="51"/>
  <c r="C120" i="51" s="1"/>
  <c r="G120" i="51" s="1"/>
  <c r="D120" i="51"/>
  <c r="E120" i="51"/>
  <c r="F120" i="51"/>
  <c r="B121" i="51"/>
  <c r="C121" i="51" s="1"/>
  <c r="G121" i="51" s="1"/>
  <c r="D121" i="51"/>
  <c r="F121" i="51" s="1"/>
  <c r="E121" i="51"/>
  <c r="B122" i="51"/>
  <c r="C122" i="51" s="1"/>
  <c r="G122" i="51" s="1"/>
  <c r="D122" i="51"/>
  <c r="E122" i="51"/>
  <c r="F122" i="51"/>
  <c r="B123" i="51"/>
  <c r="C123" i="51" s="1"/>
  <c r="D123" i="51"/>
  <c r="F123" i="51" s="1"/>
  <c r="E123" i="51"/>
  <c r="B124" i="51"/>
  <c r="C124" i="51" s="1"/>
  <c r="G124" i="51" s="1"/>
  <c r="D124" i="51"/>
  <c r="E124" i="51"/>
  <c r="F124" i="51"/>
  <c r="B125" i="51"/>
  <c r="C125" i="51" s="1"/>
  <c r="D125" i="51"/>
  <c r="F125" i="51" s="1"/>
  <c r="E125" i="51"/>
  <c r="B126" i="51"/>
  <c r="C126" i="51" s="1"/>
  <c r="G126" i="51" s="1"/>
  <c r="D126" i="51"/>
  <c r="E126" i="51"/>
  <c r="F126" i="51"/>
  <c r="B127" i="51"/>
  <c r="C127" i="51" s="1"/>
  <c r="D127" i="51"/>
  <c r="F127" i="51" s="1"/>
  <c r="E127" i="51"/>
  <c r="B128" i="51"/>
  <c r="C128" i="51" s="1"/>
  <c r="G128" i="51" s="1"/>
  <c r="D128" i="51"/>
  <c r="E128" i="51"/>
  <c r="F128" i="51"/>
  <c r="B129" i="51"/>
  <c r="C129" i="51" s="1"/>
  <c r="G129" i="51" s="1"/>
  <c r="D129" i="51"/>
  <c r="F129" i="51" s="1"/>
  <c r="E129" i="51"/>
  <c r="B130" i="51"/>
  <c r="C130" i="51" s="1"/>
  <c r="G130" i="51" s="1"/>
  <c r="D130" i="51"/>
  <c r="E130" i="51"/>
  <c r="F130" i="51"/>
  <c r="B131" i="51"/>
  <c r="C131" i="51" s="1"/>
  <c r="D131" i="51"/>
  <c r="F131" i="51" s="1"/>
  <c r="E131" i="51"/>
  <c r="B132" i="51"/>
  <c r="C132" i="51" s="1"/>
  <c r="G132" i="51" s="1"/>
  <c r="D132" i="51"/>
  <c r="E132" i="51"/>
  <c r="F132" i="51"/>
  <c r="B133" i="51"/>
  <c r="C133" i="51" s="1"/>
  <c r="D133" i="51"/>
  <c r="F133" i="51" s="1"/>
  <c r="E133" i="51"/>
  <c r="B134" i="51"/>
  <c r="C134" i="51" s="1"/>
  <c r="G134" i="51" s="1"/>
  <c r="D134" i="51"/>
  <c r="E134" i="51"/>
  <c r="F134" i="51"/>
  <c r="B135" i="51"/>
  <c r="C135" i="51" s="1"/>
  <c r="G135" i="51" s="1"/>
  <c r="D135" i="51"/>
  <c r="F135" i="51" s="1"/>
  <c r="E135" i="51"/>
  <c r="B136" i="51"/>
  <c r="C136" i="51" s="1"/>
  <c r="G136" i="51" s="1"/>
  <c r="D136" i="51"/>
  <c r="E136" i="51"/>
  <c r="F136" i="51"/>
  <c r="B137" i="51"/>
  <c r="C137" i="51" s="1"/>
  <c r="D137" i="51"/>
  <c r="F137" i="51" s="1"/>
  <c r="E137" i="51"/>
  <c r="B138" i="51"/>
  <c r="C138" i="51" s="1"/>
  <c r="G138" i="51" s="1"/>
  <c r="D138" i="51"/>
  <c r="E138" i="51"/>
  <c r="F138" i="51"/>
  <c r="B139" i="51"/>
  <c r="C139" i="51" s="1"/>
  <c r="D139" i="51"/>
  <c r="F139" i="51" s="1"/>
  <c r="E139" i="51"/>
  <c r="B2" i="50"/>
  <c r="C2" i="50"/>
  <c r="B3" i="50"/>
  <c r="C3" i="50"/>
  <c r="D3" i="50"/>
  <c r="B4" i="50"/>
  <c r="D4" i="50" s="1"/>
  <c r="C4" i="50"/>
  <c r="B5" i="50"/>
  <c r="D5" i="50" s="1"/>
  <c r="C5" i="50"/>
  <c r="B6" i="50"/>
  <c r="D6" i="50" s="1"/>
  <c r="C6" i="50"/>
  <c r="B7" i="50"/>
  <c r="D7" i="50" s="1"/>
  <c r="C7" i="50"/>
  <c r="B8" i="50"/>
  <c r="D8" i="50" s="1"/>
  <c r="C8" i="50"/>
  <c r="B9" i="50"/>
  <c r="C9" i="50"/>
  <c r="B10" i="50"/>
  <c r="C10" i="50"/>
  <c r="B11" i="50"/>
  <c r="D11" i="50" s="1"/>
  <c r="C11" i="50"/>
  <c r="B12" i="50"/>
  <c r="D12" i="50" s="1"/>
  <c r="C12" i="50"/>
  <c r="B13" i="50"/>
  <c r="C13" i="50"/>
  <c r="B14" i="50"/>
  <c r="C14" i="50"/>
  <c r="D14" i="50" s="1"/>
  <c r="B15" i="50"/>
  <c r="D15" i="50" s="1"/>
  <c r="C15" i="50"/>
  <c r="B16" i="50"/>
  <c r="D16" i="50" s="1"/>
  <c r="C16" i="50"/>
  <c r="B17" i="50"/>
  <c r="C17" i="50"/>
  <c r="B18" i="50"/>
  <c r="C18" i="50"/>
  <c r="D18" i="50" s="1"/>
  <c r="B19" i="50"/>
  <c r="D19" i="50" s="1"/>
  <c r="C19" i="50"/>
  <c r="B20" i="50"/>
  <c r="D20" i="50" s="1"/>
  <c r="C20" i="50"/>
  <c r="B21" i="50"/>
  <c r="C21" i="50"/>
  <c r="B22" i="50"/>
  <c r="C22" i="50"/>
  <c r="D22" i="50" s="1"/>
  <c r="B23" i="50"/>
  <c r="D23" i="50" s="1"/>
  <c r="C23" i="50"/>
  <c r="B24" i="50"/>
  <c r="C24" i="50"/>
  <c r="B25" i="50"/>
  <c r="C25" i="50"/>
  <c r="B26" i="50"/>
  <c r="C26" i="50"/>
  <c r="D26" i="50" s="1"/>
  <c r="B27" i="50"/>
  <c r="D27" i="50" s="1"/>
  <c r="C27" i="50"/>
  <c r="B28" i="50"/>
  <c r="D28" i="50" s="1"/>
  <c r="C28" i="50"/>
  <c r="B29" i="50"/>
  <c r="C29" i="50"/>
  <c r="C30" i="50"/>
  <c r="C31" i="50"/>
  <c r="E2" i="49"/>
  <c r="F2" i="49"/>
  <c r="G6" i="51"/>
  <c r="G2" i="49"/>
  <c r="G3" i="51"/>
  <c r="G4" i="51"/>
  <c r="F10" i="51"/>
  <c r="G5" i="51"/>
  <c r="F9" i="51"/>
  <c r="F7" i="51"/>
  <c r="F8" i="51"/>
  <c r="D10" i="50" l="1"/>
  <c r="F26" i="50"/>
  <c r="D29" i="50"/>
  <c r="D25" i="50"/>
  <c r="D21" i="50"/>
  <c r="D17" i="50"/>
  <c r="D13" i="50"/>
  <c r="D9" i="50"/>
  <c r="F10" i="50"/>
  <c r="F22" i="50"/>
  <c r="G99" i="51"/>
  <c r="G133" i="51"/>
  <c r="G117" i="51"/>
  <c r="G101" i="51"/>
  <c r="G85" i="51"/>
  <c r="G69" i="51"/>
  <c r="G53" i="51"/>
  <c r="G37" i="51"/>
  <c r="G21" i="51"/>
  <c r="G131" i="51"/>
  <c r="G23" i="51"/>
  <c r="G67" i="51"/>
  <c r="G115" i="51"/>
  <c r="G137" i="51"/>
  <c r="G139" i="51"/>
  <c r="G123" i="51"/>
  <c r="G107" i="51"/>
  <c r="G91" i="51"/>
  <c r="G75" i="51"/>
  <c r="G59" i="51"/>
  <c r="G43" i="51"/>
  <c r="G27" i="51"/>
  <c r="G83" i="51"/>
  <c r="G125" i="51"/>
  <c r="G109" i="51"/>
  <c r="G93" i="51"/>
  <c r="G77" i="51"/>
  <c r="G61" i="51"/>
  <c r="G45" i="51"/>
  <c r="G29" i="51"/>
  <c r="G127" i="51"/>
  <c r="G111" i="51"/>
  <c r="G95" i="51"/>
  <c r="G79" i="51"/>
  <c r="G63" i="51"/>
  <c r="G47" i="51"/>
  <c r="G31" i="51"/>
  <c r="G49" i="51"/>
  <c r="G33" i="51"/>
  <c r="F27" i="50"/>
  <c r="F23" i="50"/>
  <c r="F19" i="50"/>
  <c r="F15" i="50"/>
  <c r="F11" i="50"/>
  <c r="J7" i="50"/>
  <c r="G6" i="50" s="1"/>
  <c r="F5" i="50"/>
  <c r="F6" i="50"/>
  <c r="F4" i="50"/>
  <c r="F28" i="50"/>
  <c r="F24" i="50"/>
  <c r="F20" i="50"/>
  <c r="F16" i="50"/>
  <c r="F12" i="50"/>
  <c r="F7" i="50"/>
  <c r="F8" i="50"/>
  <c r="F29" i="50"/>
  <c r="F25" i="50"/>
  <c r="D24" i="50"/>
  <c r="F21" i="50"/>
  <c r="F17" i="50"/>
  <c r="F13" i="50"/>
  <c r="F9" i="50"/>
  <c r="F2" i="50"/>
  <c r="F3" i="50"/>
  <c r="D2" i="50"/>
  <c r="F18" i="50"/>
  <c r="F14" i="50"/>
  <c r="E3" i="49"/>
  <c r="F3" i="49"/>
  <c r="E4" i="49"/>
  <c r="F4" i="49"/>
  <c r="E5" i="49"/>
  <c r="F5" i="49"/>
  <c r="E6" i="49"/>
  <c r="F6" i="49"/>
  <c r="G3" i="49"/>
  <c r="G5" i="49"/>
  <c r="G4" i="49"/>
  <c r="G28" i="50" l="1"/>
  <c r="G2" i="50"/>
  <c r="G12" i="50"/>
  <c r="G24" i="50"/>
  <c r="G4" i="50"/>
  <c r="G10" i="50"/>
  <c r="G14" i="50"/>
  <c r="G18" i="50"/>
  <c r="G22" i="50"/>
  <c r="G26" i="50"/>
  <c r="G9" i="50"/>
  <c r="G13" i="50"/>
  <c r="G5" i="50"/>
  <c r="G3" i="50"/>
  <c r="G17" i="50"/>
  <c r="G21" i="50"/>
  <c r="G15" i="50"/>
  <c r="G23" i="50"/>
  <c r="G25" i="50"/>
  <c r="G29" i="50"/>
  <c r="G19" i="50"/>
  <c r="G11" i="50"/>
  <c r="G27" i="50"/>
  <c r="G8" i="50"/>
  <c r="G7" i="50"/>
  <c r="G16" i="50"/>
  <c r="E3" i="50"/>
  <c r="J4" i="50"/>
  <c r="J5" i="50" s="1"/>
  <c r="J6" i="50" s="1"/>
  <c r="E9" i="50"/>
  <c r="E13" i="50"/>
  <c r="E17" i="50"/>
  <c r="E21" i="50"/>
  <c r="E25" i="50"/>
  <c r="E29" i="50"/>
  <c r="E12" i="50"/>
  <c r="E16" i="50"/>
  <c r="E20" i="50"/>
  <c r="E24" i="50"/>
  <c r="E28" i="50"/>
  <c r="E22" i="50"/>
  <c r="E26" i="50"/>
  <c r="E2" i="50"/>
  <c r="E8" i="50"/>
  <c r="E7" i="50"/>
  <c r="E10" i="50"/>
  <c r="E6" i="50"/>
  <c r="D30" i="50"/>
  <c r="E14" i="50"/>
  <c r="E5" i="50"/>
  <c r="E11" i="50"/>
  <c r="E15" i="50"/>
  <c r="E19" i="50"/>
  <c r="E23" i="50"/>
  <c r="E27" i="50"/>
  <c r="E18" i="50"/>
  <c r="E4" i="50"/>
  <c r="G20" i="50"/>
  <c r="E7" i="49"/>
  <c r="F7" i="49"/>
  <c r="G30" i="50" l="1"/>
  <c r="J8" i="50"/>
  <c r="C25" i="49"/>
  <c r="L25" i="49"/>
  <c r="O25" i="49"/>
  <c r="C26" i="49"/>
  <c r="K26" i="49"/>
  <c r="O26" i="49"/>
  <c r="C18" i="48"/>
  <c r="D18" i="48"/>
  <c r="E18" i="48"/>
  <c r="C19" i="48"/>
  <c r="D19" i="48"/>
  <c r="E19" i="48"/>
  <c r="C20" i="48"/>
  <c r="D20" i="48"/>
  <c r="E20" i="48"/>
  <c r="C21" i="48"/>
  <c r="D21" i="48"/>
  <c r="E21" i="48"/>
  <c r="C22" i="48"/>
  <c r="D22" i="48"/>
  <c r="E22" i="48"/>
  <c r="C23" i="48"/>
  <c r="D23" i="48"/>
  <c r="E23" i="48"/>
  <c r="C24" i="48"/>
  <c r="D24" i="48"/>
  <c r="E24" i="48"/>
  <c r="C25" i="48"/>
  <c r="D25" i="48"/>
  <c r="E25" i="48"/>
  <c r="C26" i="48"/>
  <c r="D26" i="48"/>
  <c r="E26" i="48"/>
  <c r="E4" i="47"/>
  <c r="E7" i="47"/>
  <c r="E8" i="47"/>
  <c r="E17" i="47"/>
  <c r="E19" i="47" s="1"/>
  <c r="E18" i="47"/>
  <c r="M14" i="47" l="1"/>
  <c r="G5" i="35" l="1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4" i="35"/>
  <c r="B5" i="35" l="1"/>
  <c r="C5" i="35"/>
  <c r="D5" i="35"/>
  <c r="E5" i="35"/>
  <c r="B6" i="35"/>
  <c r="C6" i="35"/>
  <c r="D6" i="35"/>
  <c r="E6" i="35"/>
  <c r="B7" i="35"/>
  <c r="C7" i="35"/>
  <c r="D7" i="35"/>
  <c r="E7" i="35"/>
  <c r="B8" i="35"/>
  <c r="C8" i="35"/>
  <c r="D8" i="35"/>
  <c r="E8" i="35"/>
  <c r="B9" i="35"/>
  <c r="C9" i="35"/>
  <c r="D9" i="35"/>
  <c r="E9" i="35"/>
  <c r="B10" i="35"/>
  <c r="C10" i="35"/>
  <c r="D10" i="35"/>
  <c r="E10" i="35"/>
  <c r="B11" i="35"/>
  <c r="C11" i="35"/>
  <c r="D11" i="35"/>
  <c r="E11" i="35"/>
  <c r="B12" i="35"/>
  <c r="C12" i="35"/>
  <c r="D12" i="35"/>
  <c r="E12" i="35"/>
  <c r="B13" i="35"/>
  <c r="C13" i="35"/>
  <c r="D13" i="35"/>
  <c r="E13" i="35"/>
  <c r="B14" i="35"/>
  <c r="C14" i="35"/>
  <c r="D14" i="35"/>
  <c r="E14" i="35"/>
  <c r="B15" i="35"/>
  <c r="C15" i="35"/>
  <c r="D15" i="35"/>
  <c r="E15" i="35"/>
  <c r="B16" i="35"/>
  <c r="C16" i="35"/>
  <c r="D16" i="35"/>
  <c r="E16" i="35"/>
  <c r="B17" i="35"/>
  <c r="C17" i="35"/>
  <c r="D17" i="35"/>
  <c r="E17" i="35"/>
  <c r="B18" i="35"/>
  <c r="C18" i="35"/>
  <c r="D18" i="35"/>
  <c r="E18" i="35"/>
  <c r="B19" i="35"/>
  <c r="C19" i="35"/>
  <c r="D19" i="35"/>
  <c r="E19" i="35"/>
  <c r="B20" i="35"/>
  <c r="C20" i="35"/>
  <c r="D20" i="35"/>
  <c r="E20" i="35"/>
  <c r="B21" i="35"/>
  <c r="C21" i="35"/>
  <c r="D21" i="35"/>
  <c r="E21" i="35"/>
  <c r="B22" i="35"/>
  <c r="C22" i="35"/>
  <c r="D22" i="35"/>
  <c r="E22" i="35"/>
  <c r="B23" i="35"/>
  <c r="C23" i="35"/>
  <c r="D23" i="35"/>
  <c r="E23" i="35"/>
  <c r="B24" i="35"/>
  <c r="C24" i="35"/>
  <c r="D24" i="35"/>
  <c r="E24" i="35"/>
  <c r="B25" i="35"/>
  <c r="C25" i="35"/>
  <c r="D25" i="35"/>
  <c r="E25" i="35"/>
  <c r="B26" i="35"/>
  <c r="C26" i="35"/>
  <c r="D26" i="35"/>
  <c r="E26" i="35"/>
  <c r="B27" i="35"/>
  <c r="C27" i="35"/>
  <c r="D27" i="35"/>
  <c r="E27" i="35"/>
  <c r="B28" i="35"/>
  <c r="C28" i="35"/>
  <c r="D28" i="35"/>
  <c r="E28" i="35"/>
  <c r="B29" i="35"/>
  <c r="C29" i="35"/>
  <c r="D29" i="35"/>
  <c r="E29" i="35"/>
  <c r="B30" i="35"/>
  <c r="C30" i="35"/>
  <c r="D30" i="35"/>
  <c r="E30" i="35"/>
  <c r="B31" i="35"/>
  <c r="C31" i="35"/>
  <c r="D31" i="35"/>
  <c r="E31" i="35"/>
  <c r="E4" i="35"/>
  <c r="C4" i="35"/>
  <c r="D4" i="35"/>
  <c r="B4" i="35"/>
  <c r="D31" i="37"/>
  <c r="D32" i="37"/>
  <c r="D33" i="37"/>
  <c r="D34" i="37"/>
  <c r="F31" i="37"/>
  <c r="F32" i="37"/>
  <c r="F33" i="37"/>
  <c r="F34" i="37"/>
  <c r="C28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5" i="37"/>
  <c r="L10" i="39" l="1"/>
  <c r="J2" i="39" l="1"/>
  <c r="K2" i="39"/>
  <c r="L3" i="39"/>
  <c r="D2" i="39"/>
  <c r="C2" i="39"/>
  <c r="J3" i="39" l="1"/>
  <c r="F14" i="39" l="1"/>
  <c r="F13" i="39"/>
  <c r="F12" i="39"/>
  <c r="C12" i="39"/>
  <c r="F11" i="39"/>
  <c r="C11" i="39"/>
  <c r="F10" i="39"/>
  <c r="C10" i="39"/>
  <c r="F9" i="39"/>
  <c r="C9" i="39"/>
  <c r="F8" i="39"/>
  <c r="C8" i="39"/>
  <c r="F7" i="39"/>
  <c r="C7" i="39"/>
  <c r="F6" i="39"/>
  <c r="C6" i="39"/>
  <c r="AA5" i="39"/>
  <c r="Z5" i="39"/>
  <c r="F5" i="39"/>
  <c r="C5" i="39"/>
  <c r="F4" i="39"/>
  <c r="F3" i="39"/>
  <c r="Z6" i="39" l="1"/>
  <c r="D12" i="39" l="1"/>
  <c r="E12" i="39" s="1"/>
  <c r="D8" i="39"/>
  <c r="D5" i="39"/>
  <c r="E5" i="39" s="1"/>
  <c r="D6" i="39"/>
  <c r="E6" i="39" s="1"/>
  <c r="D3" i="39"/>
  <c r="E3" i="39" s="1"/>
  <c r="D4" i="39"/>
  <c r="E4" i="39" s="1"/>
  <c r="D11" i="39"/>
  <c r="E11" i="39" s="1"/>
  <c r="D13" i="39"/>
  <c r="E13" i="39" s="1"/>
  <c r="D9" i="39"/>
  <c r="E9" i="39" s="1"/>
  <c r="D10" i="39"/>
  <c r="E10" i="39" s="1"/>
  <c r="D14" i="39"/>
  <c r="E14" i="39" s="1"/>
  <c r="D7" i="39"/>
  <c r="E7" i="39" s="1"/>
  <c r="E8" i="39"/>
  <c r="F4" i="37"/>
  <c r="F5" i="37"/>
  <c r="F6" i="37"/>
  <c r="F7" i="37"/>
  <c r="F8" i="37"/>
  <c r="F9" i="37"/>
  <c r="F10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" i="37"/>
  <c r="G5" i="39" l="1"/>
  <c r="G3" i="39"/>
  <c r="G4" i="39"/>
  <c r="G6" i="39"/>
  <c r="Z5" i="37"/>
  <c r="AA5" i="37"/>
  <c r="H6" i="39" l="1"/>
  <c r="I6" i="39" s="1"/>
  <c r="H5" i="39"/>
  <c r="L5" i="39" s="1"/>
  <c r="I9" i="39"/>
  <c r="I5" i="39"/>
  <c r="I13" i="39"/>
  <c r="G7" i="39"/>
  <c r="H4" i="39"/>
  <c r="H3" i="39"/>
  <c r="J2" i="37"/>
  <c r="D2" i="37"/>
  <c r="K2" i="37" s="1"/>
  <c r="Z6" i="37"/>
  <c r="I14" i="39" l="1"/>
  <c r="I10" i="39"/>
  <c r="L6" i="39"/>
  <c r="M3" i="39"/>
  <c r="H7" i="39"/>
  <c r="I7" i="39"/>
  <c r="I11" i="39"/>
  <c r="I3" i="39"/>
  <c r="L4" i="39"/>
  <c r="I8" i="39"/>
  <c r="I4" i="39"/>
  <c r="I12" i="39"/>
  <c r="D4" i="37"/>
  <c r="E4" i="37" s="1"/>
  <c r="D12" i="37"/>
  <c r="E12" i="37" s="1"/>
  <c r="D20" i="37"/>
  <c r="E20" i="37" s="1"/>
  <c r="D28" i="37"/>
  <c r="E28" i="37" s="1"/>
  <c r="D5" i="37"/>
  <c r="E5" i="37" s="1"/>
  <c r="D13" i="37"/>
  <c r="E13" i="37" s="1"/>
  <c r="D21" i="37"/>
  <c r="E21" i="37" s="1"/>
  <c r="D29" i="37"/>
  <c r="E29" i="37" s="1"/>
  <c r="D18" i="37"/>
  <c r="E18" i="37" s="1"/>
  <c r="D6" i="37"/>
  <c r="E6" i="37" s="1"/>
  <c r="D14" i="37"/>
  <c r="E14" i="37" s="1"/>
  <c r="D22" i="37"/>
  <c r="E22" i="37" s="1"/>
  <c r="D30" i="37"/>
  <c r="D26" i="37"/>
  <c r="E26" i="37" s="1"/>
  <c r="D11" i="37"/>
  <c r="E11" i="37" s="1"/>
  <c r="D27" i="37"/>
  <c r="E27" i="37" s="1"/>
  <c r="D7" i="37"/>
  <c r="E7" i="37" s="1"/>
  <c r="D15" i="37"/>
  <c r="E15" i="37" s="1"/>
  <c r="D23" i="37"/>
  <c r="E23" i="37" s="1"/>
  <c r="D3" i="37"/>
  <c r="E3" i="37" s="1"/>
  <c r="D8" i="37"/>
  <c r="E8" i="37" s="1"/>
  <c r="D16" i="37"/>
  <c r="E16" i="37" s="1"/>
  <c r="D24" i="37"/>
  <c r="E24" i="37" s="1"/>
  <c r="D19" i="37"/>
  <c r="E19" i="37" s="1"/>
  <c r="D9" i="37"/>
  <c r="E9" i="37" s="1"/>
  <c r="D17" i="37"/>
  <c r="E17" i="37" s="1"/>
  <c r="D25" i="37"/>
  <c r="E25" i="37" s="1"/>
  <c r="D10" i="37"/>
  <c r="E10" i="37" s="1"/>
  <c r="E30" i="37" l="1"/>
  <c r="L7" i="39"/>
  <c r="N3" i="39"/>
  <c r="G5" i="37"/>
  <c r="G3" i="37"/>
  <c r="G6" i="37"/>
  <c r="G4" i="37"/>
  <c r="Q3" i="39" l="1"/>
  <c r="R3" i="39"/>
  <c r="O3" i="39"/>
  <c r="K3" i="39"/>
  <c r="J4" i="39" s="1"/>
  <c r="H5" i="37"/>
  <c r="H6" i="37"/>
  <c r="H4" i="37"/>
  <c r="I32" i="37" s="1"/>
  <c r="G7" i="37"/>
  <c r="H3" i="37"/>
  <c r="I31" i="37" s="1"/>
  <c r="I5" i="37" l="1"/>
  <c r="I33" i="37"/>
  <c r="I34" i="37"/>
  <c r="I30" i="37"/>
  <c r="L8" i="39"/>
  <c r="S3" i="39"/>
  <c r="V3" i="39" s="1"/>
  <c r="P3" i="39"/>
  <c r="U3" i="39"/>
  <c r="K4" i="39"/>
  <c r="J5" i="39" s="1"/>
  <c r="I13" i="37"/>
  <c r="I29" i="37"/>
  <c r="I9" i="37"/>
  <c r="I17" i="37"/>
  <c r="I21" i="37"/>
  <c r="I25" i="37"/>
  <c r="L5" i="37"/>
  <c r="H7" i="37"/>
  <c r="I3" i="37"/>
  <c r="L3" i="37"/>
  <c r="M3" i="37" s="1"/>
  <c r="I27" i="37"/>
  <c r="I19" i="37"/>
  <c r="I11" i="37"/>
  <c r="I7" i="37"/>
  <c r="I23" i="37"/>
  <c r="I15" i="37"/>
  <c r="L4" i="37"/>
  <c r="I24" i="37"/>
  <c r="I4" i="37"/>
  <c r="I28" i="37"/>
  <c r="I20" i="37"/>
  <c r="I12" i="37"/>
  <c r="I16" i="37"/>
  <c r="I8" i="37"/>
  <c r="L6" i="37"/>
  <c r="I14" i="37"/>
  <c r="I22" i="37"/>
  <c r="I26" i="37"/>
  <c r="I10" i="37"/>
  <c r="I6" i="37"/>
  <c r="I18" i="37"/>
  <c r="K5" i="39" l="1"/>
  <c r="T3" i="39"/>
  <c r="L9" i="39"/>
  <c r="M4" i="39"/>
  <c r="N4" i="39" s="1"/>
  <c r="J3" i="37"/>
  <c r="L7" i="37"/>
  <c r="J6" i="39" l="1"/>
  <c r="M5" i="39"/>
  <c r="N5" i="39" s="1"/>
  <c r="Q4" i="39"/>
  <c r="O4" i="39"/>
  <c r="R4" i="39"/>
  <c r="K3" i="37"/>
  <c r="L8" i="37" s="1"/>
  <c r="P4" i="39" l="1"/>
  <c r="S4" i="39"/>
  <c r="V4" i="39" s="1"/>
  <c r="U4" i="39"/>
  <c r="O5" i="39"/>
  <c r="P5" i="39" s="1"/>
  <c r="R5" i="39"/>
  <c r="Q5" i="39"/>
  <c r="U5" i="39" s="1"/>
  <c r="K6" i="39"/>
  <c r="M6" i="39" s="1"/>
  <c r="N6" i="39" s="1"/>
  <c r="N3" i="37"/>
  <c r="Q3" i="37" s="1"/>
  <c r="J4" i="37"/>
  <c r="K4" i="37" s="1"/>
  <c r="J5" i="37" s="1"/>
  <c r="O6" i="39" l="1"/>
  <c r="P6" i="39" s="1"/>
  <c r="Q6" i="39"/>
  <c r="R6" i="39"/>
  <c r="S5" i="39"/>
  <c r="V5" i="39" s="1"/>
  <c r="L11" i="39"/>
  <c r="T5" i="39"/>
  <c r="T4" i="39"/>
  <c r="J7" i="39"/>
  <c r="K7" i="39" s="1"/>
  <c r="R3" i="37"/>
  <c r="O3" i="37"/>
  <c r="L9" i="37"/>
  <c r="M4" i="37"/>
  <c r="N4" i="37" s="1"/>
  <c r="K5" i="37"/>
  <c r="M5" i="37" s="1"/>
  <c r="N5" i="37" s="1"/>
  <c r="T6" i="39" l="1"/>
  <c r="J8" i="39"/>
  <c r="K8" i="39" s="1"/>
  <c r="M7" i="39"/>
  <c r="N7" i="39" s="1"/>
  <c r="L12" i="39"/>
  <c r="S6" i="39"/>
  <c r="V6" i="39" s="1"/>
  <c r="U6" i="39"/>
  <c r="R5" i="37"/>
  <c r="Q5" i="37"/>
  <c r="O5" i="37"/>
  <c r="P5" i="37" s="1"/>
  <c r="R4" i="37"/>
  <c r="Q4" i="37"/>
  <c r="O4" i="37"/>
  <c r="P4" i="37" s="1"/>
  <c r="P3" i="37"/>
  <c r="S3" i="37"/>
  <c r="V3" i="37" s="1"/>
  <c r="U3" i="37"/>
  <c r="L10" i="37"/>
  <c r="J6" i="37"/>
  <c r="R7" i="39" l="1"/>
  <c r="Q7" i="39"/>
  <c r="O7" i="39"/>
  <c r="M8" i="39"/>
  <c r="N8" i="39" s="1"/>
  <c r="J9" i="39"/>
  <c r="L13" i="39"/>
  <c r="S4" i="37"/>
  <c r="V4" i="37" s="1"/>
  <c r="T5" i="37"/>
  <c r="T4" i="37"/>
  <c r="T3" i="37"/>
  <c r="U5" i="37"/>
  <c r="S5" i="37"/>
  <c r="V5" i="37" s="1"/>
  <c r="U4" i="37"/>
  <c r="K6" i="37"/>
  <c r="P7" i="39" l="1"/>
  <c r="S7" i="39"/>
  <c r="V7" i="39" s="1"/>
  <c r="U7" i="39"/>
  <c r="O8" i="39"/>
  <c r="P8" i="39" s="1"/>
  <c r="Q8" i="39"/>
  <c r="R8" i="39"/>
  <c r="K9" i="39"/>
  <c r="M9" i="39" s="1"/>
  <c r="N9" i="39" s="1"/>
  <c r="L11" i="37"/>
  <c r="M6" i="37"/>
  <c r="N6" i="37" s="1"/>
  <c r="J7" i="37"/>
  <c r="L14" i="39" l="1"/>
  <c r="J10" i="39"/>
  <c r="K10" i="39" s="1"/>
  <c r="M10" i="39" s="1"/>
  <c r="N10" i="39" s="1"/>
  <c r="R9" i="39"/>
  <c r="Q9" i="39"/>
  <c r="O9" i="39"/>
  <c r="U8" i="39"/>
  <c r="U9" i="39"/>
  <c r="S8" i="39"/>
  <c r="V8" i="39" s="1"/>
  <c r="T8" i="39"/>
  <c r="T7" i="39"/>
  <c r="R6" i="37"/>
  <c r="O6" i="37"/>
  <c r="Q6" i="37"/>
  <c r="K7" i="37"/>
  <c r="M7" i="37" s="1"/>
  <c r="N7" i="37" s="1"/>
  <c r="J11" i="39" l="1"/>
  <c r="K11" i="39" s="1"/>
  <c r="R10" i="39"/>
  <c r="Q10" i="39"/>
  <c r="U10" i="39" s="1"/>
  <c r="O10" i="39"/>
  <c r="L15" i="39"/>
  <c r="P9" i="39"/>
  <c r="S9" i="39"/>
  <c r="V9" i="39" s="1"/>
  <c r="U6" i="37"/>
  <c r="P6" i="37"/>
  <c r="S6" i="37"/>
  <c r="V6" i="37" s="1"/>
  <c r="R7" i="37"/>
  <c r="Q7" i="37"/>
  <c r="O7" i="37"/>
  <c r="P7" i="37" s="1"/>
  <c r="L12" i="37"/>
  <c r="J8" i="37"/>
  <c r="M11" i="39" l="1"/>
  <c r="N11" i="39" s="1"/>
  <c r="R11" i="39" s="1"/>
  <c r="J12" i="39"/>
  <c r="K12" i="39" s="1"/>
  <c r="L16" i="39"/>
  <c r="T9" i="39"/>
  <c r="P10" i="39"/>
  <c r="S10" i="39"/>
  <c r="V10" i="39" s="1"/>
  <c r="U7" i="37"/>
  <c r="S7" i="37"/>
  <c r="V7" i="37" s="1"/>
  <c r="T6" i="37"/>
  <c r="T7" i="37"/>
  <c r="K8" i="37"/>
  <c r="M8" i="37" s="1"/>
  <c r="N8" i="37" s="1"/>
  <c r="O11" i="39" l="1"/>
  <c r="S11" i="39" s="1"/>
  <c r="V11" i="39" s="1"/>
  <c r="Q11" i="39"/>
  <c r="U11" i="39" s="1"/>
  <c r="T10" i="39"/>
  <c r="L17" i="39"/>
  <c r="J13" i="39"/>
  <c r="K13" i="39" s="1"/>
  <c r="M12" i="39"/>
  <c r="N12" i="39" s="1"/>
  <c r="L13" i="37"/>
  <c r="J9" i="37"/>
  <c r="K9" i="37" s="1"/>
  <c r="L14" i="37" s="1"/>
  <c r="Q8" i="37"/>
  <c r="O8" i="37"/>
  <c r="R8" i="37"/>
  <c r="P11" i="39" l="1"/>
  <c r="T11" i="39" s="1"/>
  <c r="O12" i="39"/>
  <c r="R12" i="39"/>
  <c r="Q12" i="39"/>
  <c r="U12" i="39" s="1"/>
  <c r="M13" i="39"/>
  <c r="N13" i="39" s="1"/>
  <c r="J14" i="39"/>
  <c r="L18" i="39"/>
  <c r="M9" i="37"/>
  <c r="N9" i="37" s="1"/>
  <c r="P8" i="37"/>
  <c r="S8" i="37"/>
  <c r="V8" i="37" s="1"/>
  <c r="U8" i="37"/>
  <c r="J10" i="37"/>
  <c r="R13" i="39" l="1"/>
  <c r="Q13" i="39"/>
  <c r="U13" i="39" s="1"/>
  <c r="O13" i="39"/>
  <c r="P12" i="39"/>
  <c r="T12" i="39" s="1"/>
  <c r="S12" i="39"/>
  <c r="V12" i="39" s="1"/>
  <c r="K14" i="39"/>
  <c r="M16" i="39" s="1"/>
  <c r="T8" i="37"/>
  <c r="Q9" i="37"/>
  <c r="O9" i="37"/>
  <c r="R9" i="37"/>
  <c r="K10" i="37"/>
  <c r="L15" i="37" s="1"/>
  <c r="M14" i="39" l="1"/>
  <c r="N14" i="39" s="1"/>
  <c r="M18" i="39"/>
  <c r="M15" i="39"/>
  <c r="M17" i="39"/>
  <c r="P13" i="39"/>
  <c r="T13" i="39" s="1"/>
  <c r="S13" i="39"/>
  <c r="V13" i="39" s="1"/>
  <c r="U9" i="37"/>
  <c r="P9" i="37"/>
  <c r="S9" i="37"/>
  <c r="V9" i="37" s="1"/>
  <c r="J11" i="37"/>
  <c r="M10" i="37"/>
  <c r="N10" i="37" s="1"/>
  <c r="R14" i="39" l="1"/>
  <c r="Q14" i="39"/>
  <c r="U14" i="39" s="1"/>
  <c r="O14" i="39"/>
  <c r="T9" i="37"/>
  <c r="Q10" i="37"/>
  <c r="O10" i="37"/>
  <c r="R10" i="37"/>
  <c r="K11" i="37"/>
  <c r="M11" i="37" s="1"/>
  <c r="N11" i="37" s="1"/>
  <c r="P14" i="39" l="1"/>
  <c r="T14" i="39" s="1"/>
  <c r="S14" i="39"/>
  <c r="V14" i="39" s="1"/>
  <c r="L16" i="37"/>
  <c r="J12" i="37"/>
  <c r="K12" i="37" s="1"/>
  <c r="J13" i="37" s="1"/>
  <c r="P10" i="37"/>
  <c r="S10" i="37"/>
  <c r="V10" i="37" s="1"/>
  <c r="U10" i="37"/>
  <c r="Q11" i="37"/>
  <c r="U11" i="37" s="1"/>
  <c r="O11" i="37"/>
  <c r="R11" i="37"/>
  <c r="P11" i="37" l="1"/>
  <c r="T11" i="37" s="1"/>
  <c r="S11" i="37"/>
  <c r="V11" i="37" s="1"/>
  <c r="T10" i="37"/>
  <c r="K13" i="37"/>
  <c r="L18" i="37" s="1"/>
  <c r="M12" i="37"/>
  <c r="N12" i="37" s="1"/>
  <c r="L17" i="37"/>
  <c r="R12" i="37" l="1"/>
  <c r="Q12" i="37"/>
  <c r="U12" i="37" s="1"/>
  <c r="O12" i="37"/>
  <c r="J14" i="37"/>
  <c r="K14" i="37" s="1"/>
  <c r="M13" i="37"/>
  <c r="N13" i="37" s="1"/>
  <c r="P12" i="37" l="1"/>
  <c r="T12" i="37" s="1"/>
  <c r="S12" i="37"/>
  <c r="V12" i="37" s="1"/>
  <c r="R13" i="37"/>
  <c r="Q13" i="37"/>
  <c r="U13" i="37" s="1"/>
  <c r="O13" i="37"/>
  <c r="J15" i="37"/>
  <c r="K15" i="37" s="1"/>
  <c r="M14" i="37"/>
  <c r="N14" i="37" s="1"/>
  <c r="L19" i="37"/>
  <c r="P13" i="37" l="1"/>
  <c r="T13" i="37" s="1"/>
  <c r="S13" i="37"/>
  <c r="V13" i="37" s="1"/>
  <c r="Q14" i="37"/>
  <c r="U14" i="37" s="1"/>
  <c r="R14" i="37"/>
  <c r="O14" i="37"/>
  <c r="M15" i="37"/>
  <c r="N15" i="37" s="1"/>
  <c r="J16" i="37"/>
  <c r="K16" i="37" s="1"/>
  <c r="L20" i="37"/>
  <c r="R15" i="37" l="1"/>
  <c r="Q15" i="37"/>
  <c r="U15" i="37" s="1"/>
  <c r="O15" i="37"/>
  <c r="P14" i="37"/>
  <c r="T14" i="37" s="1"/>
  <c r="S14" i="37"/>
  <c r="V14" i="37" s="1"/>
  <c r="M16" i="37"/>
  <c r="N16" i="37" s="1"/>
  <c r="J17" i="37"/>
  <c r="L21" i="37"/>
  <c r="Q16" i="37" l="1"/>
  <c r="U16" i="37" s="1"/>
  <c r="O16" i="37"/>
  <c r="R16" i="37"/>
  <c r="P15" i="37"/>
  <c r="T15" i="37" s="1"/>
  <c r="S15" i="37"/>
  <c r="V15" i="37" s="1"/>
  <c r="K17" i="37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" i="11"/>
  <c r="P16" i="37" l="1"/>
  <c r="T16" i="37" s="1"/>
  <c r="S16" i="37"/>
  <c r="V16" i="37" s="1"/>
  <c r="L22" i="37"/>
  <c r="J18" i="37"/>
  <c r="K18" i="37" s="1"/>
  <c r="M17" i="37"/>
  <c r="N17" i="37" s="1"/>
  <c r="K20" i="11"/>
  <c r="Q17" i="37" l="1"/>
  <c r="U17" i="37" s="1"/>
  <c r="O17" i="37"/>
  <c r="R17" i="37"/>
  <c r="J19" i="37"/>
  <c r="K19" i="37" s="1"/>
  <c r="M18" i="37"/>
  <c r="N18" i="37" s="1"/>
  <c r="L23" i="37"/>
  <c r="Q18" i="37" l="1"/>
  <c r="U18" i="37" s="1"/>
  <c r="O18" i="37"/>
  <c r="R18" i="37"/>
  <c r="P17" i="37"/>
  <c r="T17" i="37" s="1"/>
  <c r="S17" i="37"/>
  <c r="V17" i="37" s="1"/>
  <c r="M19" i="37"/>
  <c r="N19" i="37" s="1"/>
  <c r="J20" i="37"/>
  <c r="L24" i="37"/>
  <c r="Q19" i="37" l="1"/>
  <c r="U19" i="37" s="1"/>
  <c r="O19" i="37"/>
  <c r="R19" i="37"/>
  <c r="P18" i="37"/>
  <c r="T18" i="37" s="1"/>
  <c r="S18" i="37"/>
  <c r="V18" i="37" s="1"/>
  <c r="K20" i="37"/>
  <c r="L25" i="37" s="1"/>
  <c r="J21" i="37" l="1"/>
  <c r="K21" i="37" s="1"/>
  <c r="M21" i="37" s="1"/>
  <c r="N21" i="37" s="1"/>
  <c r="P19" i="37"/>
  <c r="T19" i="37" s="1"/>
  <c r="S19" i="37"/>
  <c r="V19" i="37" s="1"/>
  <c r="M20" i="37"/>
  <c r="N20" i="37" s="1"/>
  <c r="L26" i="37" l="1"/>
  <c r="J22" i="37"/>
  <c r="K22" i="37" s="1"/>
  <c r="J23" i="37" s="1"/>
  <c r="R20" i="37"/>
  <c r="Q20" i="37"/>
  <c r="U20" i="37" s="1"/>
  <c r="O20" i="37"/>
  <c r="R21" i="37"/>
  <c r="Q21" i="37"/>
  <c r="O21" i="37"/>
  <c r="U21" i="37" l="1"/>
  <c r="P21" i="37"/>
  <c r="S21" i="37"/>
  <c r="V21" i="37" s="1"/>
  <c r="P20" i="37"/>
  <c r="T20" i="37" s="1"/>
  <c r="S20" i="37"/>
  <c r="V20" i="37" s="1"/>
  <c r="M22" i="37"/>
  <c r="N22" i="37" s="1"/>
  <c r="L27" i="37"/>
  <c r="K23" i="37"/>
  <c r="M23" i="37" s="1"/>
  <c r="N23" i="37" s="1"/>
  <c r="L28" i="37" l="1"/>
  <c r="J24" i="37"/>
  <c r="K24" i="37" s="1"/>
  <c r="J25" i="37" s="1"/>
  <c r="R23" i="37"/>
  <c r="Q23" i="37"/>
  <c r="O23" i="37"/>
  <c r="Q22" i="37"/>
  <c r="U22" i="37" s="1"/>
  <c r="O22" i="37"/>
  <c r="R22" i="37"/>
  <c r="T21" i="37"/>
  <c r="P22" i="37" l="1"/>
  <c r="T22" i="37" s="1"/>
  <c r="S22" i="37"/>
  <c r="V22" i="37" s="1"/>
  <c r="P23" i="37"/>
  <c r="S23" i="37"/>
  <c r="V23" i="37" s="1"/>
  <c r="U23" i="37"/>
  <c r="L29" i="37"/>
  <c r="K25" i="37"/>
  <c r="M24" i="37"/>
  <c r="N24" i="37" s="1"/>
  <c r="T23" i="37" l="1"/>
  <c r="Q24" i="37"/>
  <c r="U24" i="37" s="1"/>
  <c r="O24" i="37"/>
  <c r="R24" i="37"/>
  <c r="L30" i="37"/>
  <c r="J26" i="37"/>
  <c r="K26" i="37" s="1"/>
  <c r="M25" i="37"/>
  <c r="N25" i="37" s="1"/>
  <c r="Q25" i="37" l="1"/>
  <c r="U25" i="37" s="1"/>
  <c r="O25" i="37"/>
  <c r="R25" i="37"/>
  <c r="P24" i="37"/>
  <c r="T24" i="37" s="1"/>
  <c r="S24" i="37"/>
  <c r="V24" i="37" s="1"/>
  <c r="M26" i="37"/>
  <c r="N26" i="37" s="1"/>
  <c r="J27" i="37"/>
  <c r="P25" i="37" l="1"/>
  <c r="T25" i="37" s="1"/>
  <c r="S25" i="37"/>
  <c r="V25" i="37" s="1"/>
  <c r="Q26" i="37"/>
  <c r="U26" i="37" s="1"/>
  <c r="O26" i="37"/>
  <c r="R26" i="37"/>
  <c r="K27" i="37"/>
  <c r="P26" i="37" l="1"/>
  <c r="T26" i="37" s="1"/>
  <c r="S26" i="37"/>
  <c r="V26" i="37" s="1"/>
  <c r="J28" i="37"/>
  <c r="M27" i="37"/>
  <c r="N27" i="37" s="1"/>
  <c r="L31" i="37"/>
  <c r="Q27" i="37" l="1"/>
  <c r="U27" i="37" s="1"/>
  <c r="O27" i="37"/>
  <c r="R27" i="37"/>
  <c r="K28" i="37"/>
  <c r="P27" i="37" l="1"/>
  <c r="T27" i="37" s="1"/>
  <c r="S27" i="37"/>
  <c r="V27" i="37" s="1"/>
  <c r="J29" i="37"/>
  <c r="M28" i="37"/>
  <c r="N28" i="37" s="1"/>
  <c r="L32" i="37"/>
  <c r="R28" i="37" l="1"/>
  <c r="O28" i="37"/>
  <c r="Q28" i="37"/>
  <c r="U28" i="37" s="1"/>
  <c r="K29" i="37"/>
  <c r="M29" i="37" s="1"/>
  <c r="N29" i="37" s="1"/>
  <c r="R29" i="37" l="1"/>
  <c r="Q29" i="37"/>
  <c r="U29" i="37" s="1"/>
  <c r="O29" i="37"/>
  <c r="P28" i="37"/>
  <c r="T28" i="37" s="1"/>
  <c r="S28" i="37"/>
  <c r="V28" i="37" s="1"/>
  <c r="J30" i="37"/>
  <c r="L33" i="37"/>
  <c r="P29" i="37" l="1"/>
  <c r="T29" i="37" s="1"/>
  <c r="S29" i="37"/>
  <c r="V29" i="37" s="1"/>
  <c r="K30" i="37"/>
  <c r="M30" i="37" s="1"/>
  <c r="N30" i="37" s="1"/>
  <c r="R30" i="37" l="1"/>
  <c r="Q30" i="37"/>
  <c r="U30" i="37" s="1"/>
  <c r="O30" i="37"/>
  <c r="L34" i="37"/>
  <c r="M34" i="37"/>
  <c r="P30" i="37" l="1"/>
  <c r="T30" i="37" s="1"/>
  <c r="S30" i="37"/>
  <c r="V30" i="37" s="1"/>
  <c r="M31" i="37"/>
  <c r="M32" i="37"/>
  <c r="M33" i="37"/>
  <c r="F31" i="35" l="1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L5" i="11"/>
  <c r="L6" i="11" s="1"/>
  <c r="K21" i="11"/>
  <c r="L9" i="11"/>
  <c r="B5" i="17" l="1"/>
  <c r="B6" i="17"/>
  <c r="B7" i="17"/>
  <c r="B8" i="17"/>
  <c r="B9" i="17"/>
  <c r="B10" i="17"/>
  <c r="B11" i="17"/>
  <c r="C13" i="17" s="1"/>
  <c r="B12" i="17"/>
  <c r="B13" i="17"/>
  <c r="B14" i="17"/>
  <c r="B15" i="17"/>
  <c r="B16" i="17"/>
  <c r="B17" i="17"/>
  <c r="B18" i="17"/>
  <c r="C20" i="17" s="1"/>
  <c r="B19" i="17"/>
  <c r="C21" i="17" s="1"/>
  <c r="B20" i="17"/>
  <c r="B21" i="17"/>
  <c r="B22" i="17"/>
  <c r="B23" i="17"/>
  <c r="B24" i="17"/>
  <c r="B25" i="17"/>
  <c r="B26" i="17"/>
  <c r="B27" i="17"/>
  <c r="C29" i="17" s="1"/>
  <c r="B28" i="17"/>
  <c r="B29" i="17"/>
  <c r="B30" i="17"/>
  <c r="B31" i="17"/>
  <c r="B4" i="17"/>
  <c r="C6" i="17" s="1"/>
  <c r="C12" i="17" l="1"/>
  <c r="C28" i="17"/>
  <c r="C19" i="17"/>
  <c r="C11" i="17"/>
  <c r="C9" i="17"/>
  <c r="C16" i="17"/>
  <c r="C25" i="17"/>
  <c r="C27" i="17"/>
  <c r="C8" i="17"/>
  <c r="C17" i="17"/>
  <c r="C23" i="17"/>
  <c r="C15" i="17"/>
  <c r="C7" i="17"/>
  <c r="C10" i="17"/>
  <c r="C24" i="17"/>
  <c r="C22" i="17"/>
  <c r="C14" i="17"/>
  <c r="C18" i="17"/>
  <c r="C26" i="17"/>
  <c r="BB30" i="24" l="1"/>
  <c r="AT30" i="24"/>
  <c r="AO30" i="24"/>
  <c r="BB29" i="24"/>
  <c r="AT29" i="24"/>
  <c r="AO29" i="24"/>
  <c r="BB28" i="24"/>
  <c r="AT28" i="24"/>
  <c r="AO28" i="24"/>
  <c r="BB27" i="24"/>
  <c r="AT27" i="24"/>
  <c r="AO27" i="24"/>
  <c r="BB26" i="24"/>
  <c r="AT26" i="24"/>
  <c r="AO26" i="24"/>
  <c r="BB25" i="24"/>
  <c r="AT25" i="24"/>
  <c r="AO25" i="24"/>
  <c r="BB24" i="24"/>
  <c r="AT24" i="24"/>
  <c r="AO24" i="24"/>
  <c r="BB23" i="24"/>
  <c r="AT23" i="24"/>
  <c r="AO23" i="24"/>
  <c r="BB22" i="24"/>
  <c r="AT22" i="24"/>
  <c r="AO22" i="24"/>
  <c r="BB21" i="24"/>
  <c r="AT21" i="24"/>
  <c r="AO21" i="24"/>
  <c r="BB20" i="24"/>
  <c r="AT20" i="24"/>
  <c r="AO20" i="24"/>
  <c r="BB19" i="24"/>
  <c r="AT19" i="24"/>
  <c r="AO19" i="24"/>
  <c r="BB18" i="24"/>
  <c r="AT18" i="24"/>
  <c r="AO18" i="24"/>
  <c r="BB17" i="24"/>
  <c r="AT17" i="24"/>
  <c r="AO17" i="24"/>
  <c r="BB16" i="24"/>
  <c r="AT16" i="24"/>
  <c r="AO16" i="24"/>
  <c r="BB15" i="24"/>
  <c r="AT15" i="24"/>
  <c r="AO15" i="24"/>
  <c r="BB14" i="24"/>
  <c r="AT14" i="24"/>
  <c r="AO14" i="24"/>
  <c r="BB13" i="24"/>
  <c r="AT13" i="24"/>
  <c r="AO13" i="24"/>
  <c r="BB12" i="24"/>
  <c r="AT12" i="24"/>
  <c r="AO12" i="24"/>
  <c r="BB11" i="24"/>
  <c r="AT11" i="24"/>
  <c r="AO11" i="24"/>
  <c r="BB10" i="24"/>
  <c r="AX10" i="24"/>
  <c r="AT10" i="24"/>
  <c r="AR10" i="24"/>
  <c r="AR14" i="24" s="1"/>
  <c r="AO10" i="24"/>
  <c r="BB9" i="24"/>
  <c r="AX9" i="24"/>
  <c r="AX13" i="24" s="1"/>
  <c r="AT9" i="24"/>
  <c r="AR9" i="24"/>
  <c r="AR13" i="24" s="1"/>
  <c r="AO9" i="24"/>
  <c r="BB8" i="24"/>
  <c r="AX8" i="24"/>
  <c r="AX12" i="24" s="1"/>
  <c r="AT8" i="24"/>
  <c r="AR8" i="24"/>
  <c r="AR12" i="24" s="1"/>
  <c r="AO8" i="24"/>
  <c r="BB7" i="24"/>
  <c r="AX7" i="24"/>
  <c r="AX11" i="24" s="1"/>
  <c r="AT7" i="24"/>
  <c r="AR7" i="24"/>
  <c r="AR11" i="24" s="1"/>
  <c r="AO7" i="24"/>
  <c r="BB6" i="24"/>
  <c r="AT6" i="24"/>
  <c r="AQ6" i="24"/>
  <c r="AO6" i="24"/>
  <c r="BB5" i="24"/>
  <c r="AT5" i="24"/>
  <c r="AQ5" i="24"/>
  <c r="AO5" i="24"/>
  <c r="BB4" i="24"/>
  <c r="AT4" i="24"/>
  <c r="AQ4" i="24"/>
  <c r="AO4" i="24"/>
  <c r="BB3" i="24"/>
  <c r="AT3" i="24"/>
  <c r="AQ3" i="24"/>
  <c r="AO3" i="24"/>
  <c r="Y2" i="24" l="1"/>
  <c r="Y3" i="24" s="1"/>
  <c r="AQ8" i="24"/>
  <c r="AQ10" i="24"/>
  <c r="O8" i="24"/>
  <c r="AP13" i="24"/>
  <c r="AX15" i="24"/>
  <c r="AR18" i="24"/>
  <c r="AQ14" i="24"/>
  <c r="AX17" i="24"/>
  <c r="AR16" i="24"/>
  <c r="AQ12" i="24"/>
  <c r="AR17" i="24"/>
  <c r="AQ13" i="24"/>
  <c r="AR15" i="24"/>
  <c r="AQ11" i="24"/>
  <c r="AX16" i="24"/>
  <c r="AP11" i="24"/>
  <c r="AP4" i="24"/>
  <c r="AS4" i="24" s="1"/>
  <c r="AP8" i="24"/>
  <c r="AQ9" i="24"/>
  <c r="AP15" i="24"/>
  <c r="AP17" i="24"/>
  <c r="AP19" i="24"/>
  <c r="AP21" i="24"/>
  <c r="AP23" i="24"/>
  <c r="AP25" i="24"/>
  <c r="AP27" i="24"/>
  <c r="AP29" i="24"/>
  <c r="AT88" i="24"/>
  <c r="AP3" i="24"/>
  <c r="AS3" i="24" s="1"/>
  <c r="AQ7" i="24"/>
  <c r="AP14" i="24"/>
  <c r="AX14" i="24"/>
  <c r="AP6" i="24"/>
  <c r="AS6" i="24" s="1"/>
  <c r="AP12" i="24"/>
  <c r="AP16" i="24"/>
  <c r="AP18" i="24"/>
  <c r="AP20" i="24"/>
  <c r="AP22" i="24"/>
  <c r="AP24" i="24"/>
  <c r="AP26" i="24"/>
  <c r="AP28" i="24"/>
  <c r="AP30" i="24"/>
  <c r="AP7" i="24"/>
  <c r="AP5" i="24"/>
  <c r="AS5" i="24" s="1"/>
  <c r="AP10" i="24"/>
  <c r="AP9" i="24"/>
  <c r="G2" i="24" l="1"/>
  <c r="H2" i="24" s="1"/>
  <c r="AS8" i="24"/>
  <c r="AS10" i="24"/>
  <c r="AS12" i="24"/>
  <c r="AS14" i="24"/>
  <c r="AS9" i="24"/>
  <c r="AS7" i="24"/>
  <c r="AS11" i="24"/>
  <c r="AS13" i="24"/>
  <c r="AR21" i="24"/>
  <c r="AQ17" i="24"/>
  <c r="AS17" i="24" s="1"/>
  <c r="AX20" i="24"/>
  <c r="AR20" i="24"/>
  <c r="AQ16" i="24"/>
  <c r="AS16" i="24" s="1"/>
  <c r="AR22" i="24"/>
  <c r="AQ18" i="24"/>
  <c r="AS18" i="24" s="1"/>
  <c r="AX18" i="24"/>
  <c r="AR19" i="24"/>
  <c r="AQ15" i="24"/>
  <c r="AS15" i="24" s="1"/>
  <c r="AX21" i="24"/>
  <c r="AX19" i="24"/>
  <c r="AR23" i="24" l="1"/>
  <c r="AQ19" i="24"/>
  <c r="AS19" i="24" s="1"/>
  <c r="AR24" i="24"/>
  <c r="AQ20" i="24"/>
  <c r="AS20" i="24" s="1"/>
  <c r="AX25" i="24"/>
  <c r="G3" i="24"/>
  <c r="I2" i="24"/>
  <c r="AR26" i="24"/>
  <c r="AQ22" i="24"/>
  <c r="AS22" i="24" s="1"/>
  <c r="F2" i="24"/>
  <c r="AQ21" i="24"/>
  <c r="AS21" i="24" s="1"/>
  <c r="AR25" i="24"/>
  <c r="AX24" i="24"/>
  <c r="AX23" i="24"/>
  <c r="AX22" i="24"/>
  <c r="J2" i="24" l="1"/>
  <c r="H3" i="24"/>
  <c r="F3" i="24" s="1"/>
  <c r="AQ25" i="24"/>
  <c r="AS25" i="24" s="1"/>
  <c r="AR29" i="24"/>
  <c r="AQ29" i="24" s="1"/>
  <c r="AS29" i="24" s="1"/>
  <c r="AX28" i="24"/>
  <c r="AX29" i="24"/>
  <c r="AR28" i="24"/>
  <c r="AQ28" i="24" s="1"/>
  <c r="AS28" i="24" s="1"/>
  <c r="AQ24" i="24"/>
  <c r="AS24" i="24" s="1"/>
  <c r="AX26" i="24"/>
  <c r="AX27" i="24"/>
  <c r="AR30" i="24"/>
  <c r="AQ30" i="24" s="1"/>
  <c r="AS30" i="24" s="1"/>
  <c r="AQ26" i="24"/>
  <c r="AS26" i="24" s="1"/>
  <c r="AQ23" i="24"/>
  <c r="AS23" i="24" s="1"/>
  <c r="AR27" i="24"/>
  <c r="AQ27" i="24" s="1"/>
  <c r="AS27" i="24" s="1"/>
  <c r="AU14" i="24" l="1"/>
  <c r="AU12" i="24"/>
  <c r="AU23" i="24"/>
  <c r="AU15" i="24"/>
  <c r="AU25" i="24"/>
  <c r="AU5" i="24"/>
  <c r="AU16" i="24"/>
  <c r="AU11" i="24"/>
  <c r="AU8" i="24"/>
  <c r="AU26" i="24"/>
  <c r="AU24" i="24"/>
  <c r="AU19" i="24"/>
  <c r="AU27" i="24"/>
  <c r="AU22" i="24"/>
  <c r="AV14" i="24"/>
  <c r="BC14" i="24" s="1"/>
  <c r="AV13" i="24"/>
  <c r="BC13" i="24" s="1"/>
  <c r="AV24" i="24"/>
  <c r="BC24" i="24" s="1"/>
  <c r="AU17" i="24"/>
  <c r="AU7" i="24"/>
  <c r="AU9" i="24"/>
  <c r="AU4" i="24"/>
  <c r="AU29" i="24"/>
  <c r="AU20" i="24"/>
  <c r="AV11" i="24"/>
  <c r="BC11" i="24" s="1"/>
  <c r="AU18" i="24"/>
  <c r="AU10" i="24"/>
  <c r="AU28" i="24"/>
  <c r="AU6" i="24"/>
  <c r="AV12" i="24"/>
  <c r="BC12" i="24" s="1"/>
  <c r="AU3" i="24"/>
  <c r="AV25" i="24"/>
  <c r="BC25" i="24" s="1"/>
  <c r="AU13" i="24"/>
  <c r="AU21" i="24"/>
  <c r="AV21" i="24"/>
  <c r="BC21" i="24" s="1"/>
  <c r="AV10" i="24"/>
  <c r="BC10" i="24" s="1"/>
  <c r="AV9" i="24"/>
  <c r="BC9" i="24" s="1"/>
  <c r="AV19" i="24"/>
  <c r="BC19" i="24" s="1"/>
  <c r="AV15" i="24"/>
  <c r="BC15" i="24" s="1"/>
  <c r="AS32" i="24"/>
  <c r="AS88" i="24" s="1"/>
  <c r="AX30" i="24"/>
  <c r="AV22" i="24"/>
  <c r="BC22" i="24" s="1"/>
  <c r="AV18" i="24"/>
  <c r="BC18" i="24" s="1"/>
  <c r="AV16" i="24"/>
  <c r="BC16" i="24" s="1"/>
  <c r="AV8" i="24"/>
  <c r="BC8" i="24" s="1"/>
  <c r="AU30" i="24"/>
  <c r="AV5" i="24"/>
  <c r="BC5" i="24" s="1"/>
  <c r="AV17" i="24"/>
  <c r="BC17" i="24" s="1"/>
  <c r="AV26" i="24"/>
  <c r="BC26" i="24" s="1"/>
  <c r="AV7" i="24"/>
  <c r="BC7" i="24" s="1"/>
  <c r="AV20" i="24"/>
  <c r="BC20" i="24" s="1"/>
  <c r="AV27" i="24"/>
  <c r="BC27" i="24" s="1"/>
  <c r="AV3" i="24"/>
  <c r="AV28" i="24"/>
  <c r="BC28" i="24" s="1"/>
  <c r="G4" i="24"/>
  <c r="I3" i="24"/>
  <c r="AV29" i="24"/>
  <c r="BC29" i="24" s="1"/>
  <c r="AV30" i="24"/>
  <c r="BC30" i="24" s="1"/>
  <c r="AV4" i="24"/>
  <c r="BC4" i="24" s="1"/>
  <c r="AV23" i="24"/>
  <c r="BC23" i="24" s="1"/>
  <c r="AV6" i="24"/>
  <c r="BC6" i="24" s="1"/>
  <c r="AW28" i="24" l="1"/>
  <c r="AW20" i="24"/>
  <c r="AW16" i="24"/>
  <c r="AW17" i="24"/>
  <c r="AW4" i="24"/>
  <c r="AU32" i="24"/>
  <c r="AU88" i="24" s="1"/>
  <c r="AW13" i="24"/>
  <c r="AW25" i="24"/>
  <c r="AW12" i="24"/>
  <c r="AW5" i="24"/>
  <c r="AW29" i="24"/>
  <c r="AW24" i="24"/>
  <c r="AW21" i="24"/>
  <c r="AW9" i="24"/>
  <c r="AW8" i="24"/>
  <c r="J3" i="24"/>
  <c r="H4" i="24"/>
  <c r="F4" i="24" s="1"/>
  <c r="BC3" i="24"/>
  <c r="AW23" i="24" s="1"/>
  <c r="AV32" i="24"/>
  <c r="AV88" i="24" s="1"/>
  <c r="AW19" i="24" l="1"/>
  <c r="AW7" i="24"/>
  <c r="AW11" i="24"/>
  <c r="AW22" i="24"/>
  <c r="AW18" i="24"/>
  <c r="AW3" i="24"/>
  <c r="AW26" i="24"/>
  <c r="AW6" i="24"/>
  <c r="AW14" i="24"/>
  <c r="AW10" i="24"/>
  <c r="AW27" i="24"/>
  <c r="AW15" i="24"/>
  <c r="AW30" i="24"/>
  <c r="I4" i="24"/>
  <c r="G5" i="24"/>
  <c r="AW32" i="24" l="1"/>
  <c r="AW88" i="24" s="1"/>
  <c r="H5" i="24"/>
  <c r="J4" i="24"/>
  <c r="I5" i="24" l="1"/>
  <c r="G6" i="24"/>
  <c r="F5" i="24"/>
  <c r="A3" i="17"/>
  <c r="B3" i="17"/>
  <c r="A4" i="17"/>
  <c r="F4" i="17" s="1"/>
  <c r="A5" i="17"/>
  <c r="F5" i="17" s="1"/>
  <c r="A6" i="17"/>
  <c r="A7" i="17"/>
  <c r="F7" i="17" s="1"/>
  <c r="A8" i="17"/>
  <c r="F8" i="17" s="1"/>
  <c r="A9" i="17"/>
  <c r="F9" i="17" s="1"/>
  <c r="A10" i="17"/>
  <c r="F10" i="17" s="1"/>
  <c r="A11" i="17"/>
  <c r="F11" i="17" s="1"/>
  <c r="A12" i="17"/>
  <c r="F12" i="17" s="1"/>
  <c r="A13" i="17"/>
  <c r="F13" i="17" s="1"/>
  <c r="A14" i="17"/>
  <c r="F14" i="17" s="1"/>
  <c r="A15" i="17"/>
  <c r="F15" i="17" s="1"/>
  <c r="A16" i="17"/>
  <c r="F16" i="17" s="1"/>
  <c r="A17" i="17"/>
  <c r="F17" i="17" s="1"/>
  <c r="A18" i="17"/>
  <c r="F18" i="17" s="1"/>
  <c r="A19" i="17"/>
  <c r="F19" i="17" s="1"/>
  <c r="A20" i="17"/>
  <c r="F20" i="17" s="1"/>
  <c r="A21" i="17"/>
  <c r="F21" i="17" s="1"/>
  <c r="A22" i="17"/>
  <c r="F22" i="17" s="1"/>
  <c r="A23" i="17"/>
  <c r="F23" i="17" s="1"/>
  <c r="A24" i="17"/>
  <c r="F24" i="17" s="1"/>
  <c r="A25" i="17"/>
  <c r="F25" i="17" s="1"/>
  <c r="A26" i="17"/>
  <c r="F26" i="17" s="1"/>
  <c r="A27" i="17"/>
  <c r="F27" i="17" s="1"/>
  <c r="A28" i="17"/>
  <c r="F28" i="17" s="1"/>
  <c r="A29" i="17"/>
  <c r="F29" i="17" s="1"/>
  <c r="A30" i="17"/>
  <c r="F30" i="17" s="1"/>
  <c r="A31" i="17"/>
  <c r="F31" i="17" s="1"/>
  <c r="F2" i="11"/>
  <c r="E3" i="11" s="1"/>
  <c r="C8" i="11" l="1"/>
  <c r="D8" i="11" s="1"/>
  <c r="C23" i="11"/>
  <c r="D23" i="11" s="1"/>
  <c r="E10" i="11"/>
  <c r="C20" i="11"/>
  <c r="D20" i="11" s="1"/>
  <c r="E6" i="11"/>
  <c r="E30" i="11"/>
  <c r="E29" i="11"/>
  <c r="C12" i="11"/>
  <c r="D12" i="11" s="1"/>
  <c r="C28" i="11"/>
  <c r="D28" i="11" s="1"/>
  <c r="E11" i="11"/>
  <c r="E24" i="11"/>
  <c r="C7" i="11"/>
  <c r="D7" i="11" s="1"/>
  <c r="C15" i="11"/>
  <c r="D15" i="11" s="1"/>
  <c r="E23" i="11"/>
  <c r="E13" i="11"/>
  <c r="C4" i="11"/>
  <c r="D4" i="11" s="1"/>
  <c r="E8" i="11"/>
  <c r="F6" i="17"/>
  <c r="E2" i="17"/>
  <c r="D2" i="17"/>
  <c r="H6" i="24"/>
  <c r="J5" i="24"/>
  <c r="E12" i="11"/>
  <c r="C30" i="11"/>
  <c r="D30" i="11" s="1"/>
  <c r="C22" i="11"/>
  <c r="D22" i="11" s="1"/>
  <c r="C14" i="11"/>
  <c r="D14" i="11" s="1"/>
  <c r="C6" i="11"/>
  <c r="D6" i="11" s="1"/>
  <c r="E15" i="11"/>
  <c r="E28" i="11"/>
  <c r="E19" i="11"/>
  <c r="E25" i="11"/>
  <c r="E9" i="11"/>
  <c r="C3" i="11"/>
  <c r="D3" i="11" s="1"/>
  <c r="C29" i="11"/>
  <c r="D29" i="11" s="1"/>
  <c r="C21" i="11"/>
  <c r="D21" i="11" s="1"/>
  <c r="C13" i="11"/>
  <c r="D13" i="11" s="1"/>
  <c r="C5" i="11"/>
  <c r="D5" i="11" s="1"/>
  <c r="E21" i="11"/>
  <c r="E5" i="11"/>
  <c r="C27" i="11"/>
  <c r="D27" i="11" s="1"/>
  <c r="C19" i="11"/>
  <c r="D19" i="11" s="1"/>
  <c r="C11" i="11"/>
  <c r="D11" i="11" s="1"/>
  <c r="E14" i="11"/>
  <c r="E27" i="11"/>
  <c r="E18" i="11"/>
  <c r="E20" i="11"/>
  <c r="E4" i="11"/>
  <c r="C26" i="11"/>
  <c r="D26" i="11" s="1"/>
  <c r="C18" i="11"/>
  <c r="D18" i="11" s="1"/>
  <c r="C10" i="11"/>
  <c r="D10" i="11" s="1"/>
  <c r="E22" i="11"/>
  <c r="E17" i="11"/>
  <c r="C25" i="11"/>
  <c r="D25" i="11" s="1"/>
  <c r="C17" i="11"/>
  <c r="D17" i="11" s="1"/>
  <c r="C9" i="11"/>
  <c r="D9" i="11" s="1"/>
  <c r="E26" i="11"/>
  <c r="E7" i="11"/>
  <c r="E16" i="11"/>
  <c r="C24" i="11"/>
  <c r="D24" i="11" s="1"/>
  <c r="C16" i="11"/>
  <c r="D16" i="11" s="1"/>
  <c r="L8" i="11" l="1"/>
  <c r="H2" i="11"/>
  <c r="D8" i="17"/>
  <c r="E8" i="17" s="1"/>
  <c r="D16" i="17"/>
  <c r="E16" i="17" s="1"/>
  <c r="D24" i="17"/>
  <c r="E24" i="17" s="1"/>
  <c r="D4" i="17"/>
  <c r="E4" i="17" s="1"/>
  <c r="D5" i="17"/>
  <c r="E5" i="17" s="1"/>
  <c r="D29" i="17"/>
  <c r="E29" i="17" s="1"/>
  <c r="D30" i="17"/>
  <c r="E30" i="17" s="1"/>
  <c r="D23" i="17"/>
  <c r="E23" i="17" s="1"/>
  <c r="D9" i="17"/>
  <c r="E9" i="17" s="1"/>
  <c r="D17" i="17"/>
  <c r="E17" i="17" s="1"/>
  <c r="D25" i="17"/>
  <c r="E25" i="17" s="1"/>
  <c r="D13" i="17"/>
  <c r="E13" i="17" s="1"/>
  <c r="D6" i="17"/>
  <c r="E6" i="17" s="1"/>
  <c r="J5" i="17" s="1"/>
  <c r="D22" i="17"/>
  <c r="E22" i="17" s="1"/>
  <c r="D15" i="17"/>
  <c r="E15" i="17" s="1"/>
  <c r="D10" i="17"/>
  <c r="E10" i="17" s="1"/>
  <c r="D18" i="17"/>
  <c r="E18" i="17" s="1"/>
  <c r="D26" i="17"/>
  <c r="E26" i="17" s="1"/>
  <c r="D31" i="17"/>
  <c r="E31" i="17" s="1"/>
  <c r="D11" i="17"/>
  <c r="E11" i="17" s="1"/>
  <c r="D19" i="17"/>
  <c r="E19" i="17" s="1"/>
  <c r="D27" i="17"/>
  <c r="E27" i="17" s="1"/>
  <c r="D21" i="17"/>
  <c r="E21" i="17" s="1"/>
  <c r="D14" i="17"/>
  <c r="E14" i="17" s="1"/>
  <c r="D7" i="17"/>
  <c r="E7" i="17" s="1"/>
  <c r="D12" i="17"/>
  <c r="E12" i="17" s="1"/>
  <c r="D20" i="17"/>
  <c r="E20" i="17" s="1"/>
  <c r="D28" i="17"/>
  <c r="E28" i="17" s="1"/>
  <c r="G7" i="24"/>
  <c r="I6" i="24"/>
  <c r="F6" i="24"/>
  <c r="G2" i="11"/>
  <c r="M6" i="11" s="1"/>
  <c r="J3" i="17" l="1"/>
  <c r="J4" i="17"/>
  <c r="J6" i="17"/>
  <c r="J6" i="24"/>
  <c r="H7" i="24"/>
  <c r="F7" i="24" s="1"/>
  <c r="I53" i="11"/>
  <c r="I2" i="11"/>
  <c r="J8" i="17" l="1"/>
  <c r="K6" i="17" s="1"/>
  <c r="G8" i="24"/>
  <c r="I7" i="24"/>
  <c r="K5" i="17" l="1"/>
  <c r="K4" i="17"/>
  <c r="K3" i="17"/>
  <c r="J7" i="24"/>
  <c r="H8" i="24"/>
  <c r="F8" i="24" s="1"/>
  <c r="G2" i="17"/>
  <c r="F2" i="17"/>
  <c r="I8" i="24" l="1"/>
  <c r="G9" i="24"/>
  <c r="H9" i="24" l="1"/>
  <c r="F9" i="24" s="1"/>
  <c r="J8" i="24"/>
  <c r="I9" i="24" l="1"/>
  <c r="G10" i="24"/>
  <c r="H10" i="24" l="1"/>
  <c r="F10" i="24" s="1"/>
  <c r="J9" i="24"/>
  <c r="G10" i="17" l="1"/>
  <c r="I10" i="24"/>
  <c r="G11" i="24"/>
  <c r="G15" i="17"/>
  <c r="G5" i="17"/>
  <c r="G24" i="17"/>
  <c r="G30" i="17"/>
  <c r="G25" i="17"/>
  <c r="G20" i="17" l="1"/>
  <c r="H11" i="24"/>
  <c r="J10" i="24"/>
  <c r="G4" i="17"/>
  <c r="G22" i="17"/>
  <c r="G21" i="17"/>
  <c r="G26" i="17"/>
  <c r="G23" i="17"/>
  <c r="G28" i="17"/>
  <c r="G16" i="17"/>
  <c r="G27" i="17"/>
  <c r="G11" i="17"/>
  <c r="G17" i="17"/>
  <c r="G13" i="17"/>
  <c r="G14" i="17"/>
  <c r="G6" i="17"/>
  <c r="G12" i="17"/>
  <c r="G18" i="17"/>
  <c r="G7" i="17"/>
  <c r="G9" i="17"/>
  <c r="G29" i="17"/>
  <c r="G8" i="17"/>
  <c r="G19" i="17"/>
  <c r="K8" i="17"/>
  <c r="G31" i="17"/>
  <c r="G12" i="24" l="1"/>
  <c r="I11" i="24"/>
  <c r="F11" i="24"/>
  <c r="J11" i="24" l="1"/>
  <c r="H12" i="24"/>
  <c r="F12" i="24" s="1"/>
  <c r="I12" i="24" l="1"/>
  <c r="G13" i="24"/>
  <c r="H13" i="24" l="1"/>
  <c r="F13" i="24" s="1"/>
  <c r="J12" i="24"/>
  <c r="G14" i="24" l="1"/>
  <c r="I13" i="24"/>
  <c r="J13" i="24" l="1"/>
  <c r="H14" i="24"/>
  <c r="I14" i="24" s="1"/>
  <c r="F14" i="24" l="1"/>
  <c r="J14" i="24"/>
  <c r="J15" i="24" l="1"/>
  <c r="L2" i="24" l="1"/>
  <c r="K2" i="24"/>
  <c r="L3" i="24"/>
  <c r="K3" i="24"/>
  <c r="L4" i="24"/>
  <c r="K4" i="24"/>
  <c r="L5" i="24"/>
  <c r="K5" i="24"/>
  <c r="L6" i="24"/>
  <c r="K6" i="24"/>
  <c r="L7" i="24"/>
  <c r="K7" i="24"/>
  <c r="L8" i="24"/>
  <c r="K8" i="24"/>
  <c r="L9" i="24"/>
  <c r="K9" i="24"/>
  <c r="L10" i="24"/>
  <c r="K10" i="24"/>
  <c r="L11" i="24"/>
  <c r="K11" i="24"/>
  <c r="L12" i="24"/>
  <c r="K12" i="24"/>
  <c r="L13" i="24"/>
  <c r="L14" i="24"/>
  <c r="K13" i="24"/>
  <c r="K14" i="24"/>
  <c r="K15" i="24" l="1"/>
</calcChain>
</file>

<file path=xl/sharedStrings.xml><?xml version="1.0" encoding="utf-8"?>
<sst xmlns="http://schemas.openxmlformats.org/spreadsheetml/2006/main" count="392" uniqueCount="210">
  <si>
    <t>At</t>
  </si>
  <si>
    <t>MAD</t>
  </si>
  <si>
    <t>|E|</t>
  </si>
  <si>
    <t>E</t>
  </si>
  <si>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</si>
  <si>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</si>
  <si>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</si>
  <si>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</si>
  <si>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</si>
  <si>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</si>
  <si>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</si>
  <si>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</si>
  <si>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</si>
  <si>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</si>
  <si>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</si>
  <si>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</si>
  <si>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</si>
  <si>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</si>
  <si>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</si>
  <si>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</si>
  <si>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</si>
  <si>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Trend&amp;Seas</t>
  </si>
  <si>
    <t>=RANDBETWEEN(INT((ROWS($AC$3:AC15)/($AA$2)))*$AA$2,(INT((ROWS($AC$3:AC15)/($AA$2))+1)*$AA$2-1))</t>
  </si>
  <si>
    <t>TS</t>
  </si>
  <si>
    <t>Day</t>
  </si>
  <si>
    <t>Yhat (Reg)</t>
  </si>
  <si>
    <t>SE</t>
  </si>
  <si>
    <t>SUMMARY OUTPUT</t>
  </si>
  <si>
    <t>Regression Statistics</t>
  </si>
  <si>
    <t>Correlation</t>
  </si>
  <si>
    <t>Multiple R</t>
  </si>
  <si>
    <t>Coefficient of Determination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</si>
  <si>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</si>
  <si>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</si>
  <si>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</si>
  <si>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</si>
  <si>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</si>
  <si>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</si>
  <si>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</si>
  <si>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</si>
  <si>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</si>
  <si>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</si>
  <si>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</si>
  <si>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</si>
  <si>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</si>
  <si>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</si>
  <si>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</si>
  <si>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</si>
  <si>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</si>
  <si>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</si>
  <si>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b0</t>
  </si>
  <si>
    <t>Intercept</t>
  </si>
  <si>
    <t>b1</t>
  </si>
  <si>
    <t>X Variable 1</t>
  </si>
  <si>
    <t>ST</t>
  </si>
  <si>
    <t>Ybar</t>
  </si>
  <si>
    <t>SSE</t>
  </si>
  <si>
    <t>SST</t>
  </si>
  <si>
    <t>SSR</t>
  </si>
  <si>
    <t>Level</t>
  </si>
  <si>
    <t>Statistics</t>
  </si>
  <si>
    <t>Set 1</t>
  </si>
  <si>
    <t>Set 2</t>
  </si>
  <si>
    <t>Set 3</t>
  </si>
  <si>
    <t>Range/Mean</t>
  </si>
  <si>
    <t>Centered-MA</t>
  </si>
  <si>
    <t>R2</t>
  </si>
  <si>
    <t>Reg-Cen-MA</t>
  </si>
  <si>
    <t>Index</t>
  </si>
  <si>
    <t>Season</t>
  </si>
  <si>
    <t>Normlized Index</t>
  </si>
  <si>
    <t>Forecast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</si>
  <si>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</si>
  <si>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</si>
  <si>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</si>
  <si>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</si>
  <si>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</si>
  <si>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</si>
  <si>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</si>
  <si>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</si>
  <si>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 xml:space="preserve">The Lectre </t>
  </si>
  <si>
    <t>https://www.youtube.com/watch?v=VxYX8t5OZNc&amp;t=2s</t>
  </si>
  <si>
    <t>1. Use centered moving average to remove seasonality</t>
  </si>
  <si>
    <t>2. Apply regression analysis on the seasonality removed data (centered moving average)</t>
  </si>
  <si>
    <t>3. Divide data of each period by the data obtained using the regression line to find the index for that period</t>
  </si>
  <si>
    <t>4. Average the indices for each period</t>
  </si>
  <si>
    <t>5. Normalize the indices</t>
  </si>
  <si>
    <t>6. Apply the indices on the regression line</t>
  </si>
  <si>
    <t>Norm(Poiss)</t>
  </si>
  <si>
    <t>Small</t>
  </si>
  <si>
    <t>Data</t>
  </si>
  <si>
    <t>Rand()</t>
  </si>
  <si>
    <t>NoTrend</t>
  </si>
  <si>
    <t>Set 4</t>
  </si>
  <si>
    <t>NoTrenSeas</t>
  </si>
  <si>
    <t>Stationary</t>
  </si>
  <si>
    <t>Seas-No-Trend</t>
  </si>
  <si>
    <t>DataSeas</t>
  </si>
  <si>
    <t>SeasNoTrend</t>
  </si>
  <si>
    <t>SEasFac</t>
  </si>
  <si>
    <t>Ft</t>
  </si>
  <si>
    <t>E2</t>
  </si>
  <si>
    <t>MSE</t>
  </si>
  <si>
    <t>MAPE</t>
  </si>
  <si>
    <t>TrendData</t>
  </si>
  <si>
    <t>Bias</t>
  </si>
  <si>
    <t>Seasonality</t>
  </si>
  <si>
    <t>The Forecast for New Level is the Previous Lever + Previous Trend</t>
  </si>
  <si>
    <t>Actual Seasonality is demand divided by the current lever</t>
  </si>
  <si>
    <t>Initial Trend is the difference between the average of the last N periods and minus the average of the first N periods divided by N(K-1) where K is the number of the repeated N periods</t>
  </si>
  <si>
    <t>Starting level is the average of the first N periods (when N is periodicity)</t>
  </si>
  <si>
    <t>Initial Seasonality are the sensualities of the first N periods</t>
  </si>
  <si>
    <t>Actual for Level id Actual Data divided by Seasonality of N Period ago</t>
  </si>
  <si>
    <t>Actual Trend is the difference between current Level and previous Level</t>
  </si>
  <si>
    <t>Forecast Trend the  previous trend</t>
  </si>
  <si>
    <t>Forecast Seasonality is current demand divided by current level</t>
  </si>
  <si>
    <t>N</t>
  </si>
  <si>
    <t>Lower 95.0%</t>
  </si>
  <si>
    <t>Upper 95.0%</t>
  </si>
  <si>
    <t>X Variable 2</t>
  </si>
  <si>
    <t>X Variable 3</t>
  </si>
  <si>
    <t>X Variable 4</t>
  </si>
  <si>
    <t>X Variable 5</t>
  </si>
  <si>
    <t>L0: INTERCEPT</t>
  </si>
  <si>
    <t>T0: SLOPE</t>
  </si>
  <si>
    <t>Initial Seasonality for the first N periods are Demand divided by the average of the first N periods</t>
  </si>
  <si>
    <t>Actual for Level is Actual Data divided by Seasonality of N Period ago</t>
  </si>
  <si>
    <t>Forecast Trend is (1-Beta) multiplied the  previous trend forecast + Beta time the acyal trend (the difference between current level and previous level)</t>
  </si>
  <si>
    <t>Actual Seasonality is current demand divided by the current level</t>
  </si>
  <si>
    <t>Forecast Seasonality is (1-Gamma) times seasonality of P periods agoi  plus Gamma times Actual Seasonality</t>
  </si>
  <si>
    <t>Centered.MA</t>
  </si>
  <si>
    <t>Deseas.Reg</t>
  </si>
  <si>
    <t>Seas.Ind</t>
  </si>
  <si>
    <t>SeasInd</t>
  </si>
  <si>
    <t>SeasIndAdj</t>
  </si>
  <si>
    <t>Beta</t>
  </si>
  <si>
    <t>Gamma</t>
  </si>
  <si>
    <t>Alpha</t>
  </si>
  <si>
    <t>|E|/A</t>
  </si>
  <si>
    <t>Ft (Stat.Reg)</t>
  </si>
  <si>
    <t>Ft(TrSeasAdjExpSmoo</t>
  </si>
  <si>
    <t>S1</t>
  </si>
  <si>
    <t>S2</t>
  </si>
  <si>
    <t>S3</t>
  </si>
  <si>
    <t>S4</t>
  </si>
  <si>
    <t>T</t>
  </si>
  <si>
    <t>t</t>
  </si>
  <si>
    <t>Independent Variable: Not Time</t>
  </si>
  <si>
    <t>Linear or Non-Linear</t>
  </si>
  <si>
    <t>Independent Variable: Time</t>
  </si>
  <si>
    <t>More Than Two Variables</t>
  </si>
  <si>
    <t>Two Variables</t>
  </si>
  <si>
    <t>E-11 means 1/(10^11) = 1/100000000000= 0.00000000001</t>
  </si>
  <si>
    <t>E11 means 10^11 = 100000000000</t>
  </si>
  <si>
    <t>We want is less that .05</t>
  </si>
  <si>
    <t>Regression  Line</t>
  </si>
  <si>
    <t>Standard Error =1491.58</t>
  </si>
  <si>
    <t>x</t>
  </si>
  <si>
    <t>The standard Deviation is</t>
  </si>
  <si>
    <t>With an average of</t>
  </si>
  <si>
    <t>has Normal Distribution</t>
  </si>
  <si>
    <t>The forecast for the next period</t>
  </si>
  <si>
    <t>In Statistics, foe each estimate (b0 and b1) we lose one degree of freedom</t>
  </si>
  <si>
    <t>The NEXT period is period 29. We can forecast for period 29 and all other future periods</t>
  </si>
  <si>
    <t>It is not average =SUM/N, it is SUM/N-2)</t>
  </si>
  <si>
    <t xml:space="preserve">The number of periods is 28, therefore, if we have started  from period 1, </t>
  </si>
  <si>
    <t>Standard Error is "almost" SQRT(MSE)</t>
  </si>
  <si>
    <t>Standard Error Serves the same purpose as 1,25MAD and SQRT(MSE)</t>
  </si>
  <si>
    <t>Regression Minimizes MSE</t>
  </si>
  <si>
    <t>Standard Error is the standard deviation of our forecast. The smaller the better</t>
  </si>
  <si>
    <t>To know if the line had + or - slope we look at X Variable 1 or Multiple R</t>
  </si>
  <si>
    <t xml:space="preserve">Coefficient of Determination. The closer to 1 the better. </t>
  </si>
  <si>
    <t xml:space="preserve">Correlation Coefficient (-1 to +1). The closer to 1 or -1 the better. </t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</si>
  <si>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</si>
  <si>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</si>
  <si>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</si>
  <si>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t>Total Cost</t>
  </si>
  <si>
    <t xml:space="preserve">Production </t>
  </si>
  <si>
    <t>TC</t>
  </si>
  <si>
    <t>Q</t>
  </si>
  <si>
    <t>MaxQ</t>
  </si>
  <si>
    <t>MaxP</t>
  </si>
  <si>
    <t>STEYX</t>
  </si>
  <si>
    <t>RSQ</t>
  </si>
  <si>
    <t>Slope</t>
  </si>
  <si>
    <t xml:space="preserve">Total Production Cost (dollars) </t>
  </si>
  <si>
    <t>Price (dollars)</t>
  </si>
  <si>
    <t>Volume of Production</t>
  </si>
  <si>
    <t>R-Square</t>
  </si>
  <si>
    <t>SUM/(n-2)</t>
  </si>
  <si>
    <t>SUM</t>
  </si>
  <si>
    <t>(tA-AtAve)^2</t>
  </si>
  <si>
    <t>AtAve</t>
  </si>
  <si>
    <t>(At-Ft)^2</t>
  </si>
  <si>
    <t>TP</t>
  </si>
  <si>
    <t>V</t>
  </si>
  <si>
    <t>TR</t>
  </si>
  <si>
    <t>P</t>
  </si>
  <si>
    <t>Price (dollars)- Demand Curve</t>
  </si>
  <si>
    <t>Given the following two sets of data on demand and costs, find (Total Revenue maximization point. Total Profit maximization point. Both Break-Even Points.</t>
  </si>
  <si>
    <t>Min How Many Width</t>
  </si>
  <si>
    <t>R = +SQRT(0.95)= 0.90</t>
  </si>
  <si>
    <t xml:space="preserve">You then need to use L3 to L6 for forecasting. </t>
  </si>
  <si>
    <t>This is done by dividing each of K3 to K6 by K7.</t>
  </si>
  <si>
    <t>IMPORTANT. Please note that after computing cells K3 to K7. You need to normalized them in cells L3 to L7.</t>
  </si>
  <si>
    <t>.</t>
  </si>
  <si>
    <t>This Excelsheet was designed by Dr. Asef. It is violation of academic integrity is a sudent uses this file in Exams and Quizzes</t>
  </si>
  <si>
    <t>Reg</t>
  </si>
  <si>
    <t>Cen-MA</t>
  </si>
  <si>
    <t>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</si>
</sst>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0.0000"/>
    <numFmt numFmtId="167" formatCode="0.000000"/>
    <numFmt numFmtId="168" formatCode="0.000000000"/>
    <numFmt numFmtId="169" formatCode="0.00000000"/>
  </numFmts>
  <fonts count="36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sz val="11"/>
      <color theme="0"/>
      <name val="Book Antiqua"/>
      <family val="1"/>
    </font>
    <font>
      <sz val="11"/>
      <color theme="0"/>
      <name val="Calibri"/>
      <family val="2"/>
      <scheme val="minor"/>
    </font>
    <font>
      <sz val="11"/>
      <name val="Book Antiqua"/>
      <family val="1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b/>
      <sz val="12"/>
      <name val="Book Antiqua"/>
      <family val="1"/>
    </font>
    <font>
      <b/>
      <sz val="12"/>
      <color theme="0"/>
      <name val="Book Antiqua"/>
      <family val="1"/>
    </font>
    <font>
      <sz val="12"/>
      <name val="Book Antiqua"/>
      <family val="1"/>
    </font>
    <font>
      <sz val="12"/>
      <color rgb="FFC00000"/>
      <name val="Book Antiqua"/>
      <family val="1"/>
    </font>
    <font>
      <b/>
      <sz val="12"/>
      <color rgb="FF00B050"/>
      <name val="Book Antiqua"/>
      <family val="1"/>
    </font>
    <font>
      <i/>
      <sz val="12"/>
      <color theme="1"/>
      <name val="Book Antiqua"/>
      <family val="1"/>
    </font>
    <font>
      <i/>
      <sz val="12"/>
      <name val="Book Antiqua"/>
      <family val="1"/>
    </font>
    <font>
      <b/>
      <vertAlign val="superscript"/>
      <sz val="11"/>
      <color theme="1"/>
      <name val="Book Antiqua"/>
      <family val="1"/>
    </font>
    <font>
      <b/>
      <sz val="11"/>
      <color theme="1"/>
      <name val="Calibri"/>
      <family val="2"/>
    </font>
    <font>
      <sz val="11"/>
      <color rgb="FF00B050"/>
      <name val="Book Antiqua"/>
      <family val="1"/>
    </font>
    <font>
      <sz val="11"/>
      <color rgb="FFC00000"/>
      <name val="Book Antiqua"/>
      <family val="1"/>
    </font>
    <font>
      <b/>
      <sz val="10"/>
      <color rgb="FFFF0000"/>
      <name val="Book Antiqua"/>
      <family val="1"/>
    </font>
    <font>
      <sz val="10"/>
      <color theme="0"/>
      <name val="Book Antiqua"/>
      <family val="1"/>
    </font>
    <font>
      <sz val="14"/>
      <name val="Book Antiqua"/>
      <family val="1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4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6" fillId="0" borderId="16" xfId="0" applyFont="1" applyFill="1" applyBorder="1" applyAlignment="1">
      <alignment horizontal="centerContinuous"/>
    </xf>
    <xf numFmtId="0" fontId="7" fillId="0" borderId="0" xfId="0" applyFont="1" applyAlignment="1">
      <alignment horizontal="right"/>
    </xf>
    <xf numFmtId="0" fontId="7" fillId="0" borderId="0" xfId="0" applyFont="1" applyFill="1" applyBorder="1" applyAlignment="1"/>
    <xf numFmtId="2" fontId="7" fillId="0" borderId="0" xfId="0" applyNumberFormat="1" applyFont="1" applyFill="1" applyBorder="1" applyAlignment="1"/>
    <xf numFmtId="0" fontId="1" fillId="0" borderId="0" xfId="0" applyFo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7" fillId="0" borderId="14" xfId="0" applyFont="1" applyFill="1" applyBorder="1" applyAlignment="1"/>
    <xf numFmtId="0" fontId="6" fillId="0" borderId="16" xfId="0" applyFont="1" applyFill="1" applyBorder="1" applyAlignment="1">
      <alignment horizontal="center"/>
    </xf>
    <xf numFmtId="0" fontId="0" fillId="0" borderId="14" xfId="0" applyFill="1" applyBorder="1" applyAlignment="1"/>
    <xf numFmtId="2" fontId="0" fillId="0" borderId="14" xfId="0" applyNumberFormat="1" applyFill="1" applyBorder="1" applyAlignment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5" borderId="5" xfId="0" applyNumberForma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164" fontId="5" fillId="6" borderId="9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68" fontId="1" fillId="0" borderId="0" xfId="0" applyNumberFormat="1" applyFont="1"/>
    <xf numFmtId="2" fontId="7" fillId="0" borderId="14" xfId="0" applyNumberFormat="1" applyFont="1" applyFill="1" applyBorder="1" applyAlignment="1">
      <alignment horizontal="center"/>
    </xf>
    <xf numFmtId="0" fontId="4" fillId="0" borderId="0" xfId="1" applyFont="1"/>
    <xf numFmtId="0" fontId="8" fillId="4" borderId="0" xfId="1" applyFont="1" applyFill="1"/>
    <xf numFmtId="0" fontId="4" fillId="4" borderId="0" xfId="1" applyFont="1" applyFill="1" applyAlignment="1">
      <alignment horizontal="right"/>
    </xf>
    <xf numFmtId="0" fontId="4" fillId="4" borderId="0" xfId="1" applyFont="1" applyFill="1" applyAlignment="1">
      <alignment horizontal="left"/>
    </xf>
    <xf numFmtId="0" fontId="4" fillId="0" borderId="11" xfId="1" applyFont="1" applyFill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9" fillId="0" borderId="0" xfId="2" applyFont="1"/>
    <xf numFmtId="0" fontId="9" fillId="0" borderId="0" xfId="2" quotePrefix="1" applyFont="1"/>
    <xf numFmtId="0" fontId="11" fillId="0" borderId="0" xfId="1" applyFont="1"/>
    <xf numFmtId="0" fontId="4" fillId="5" borderId="0" xfId="1" applyFont="1" applyFill="1"/>
    <xf numFmtId="0" fontId="4" fillId="0" borderId="10" xfId="1" applyFont="1" applyBorder="1" applyAlignment="1">
      <alignment horizontal="left"/>
    </xf>
    <xf numFmtId="0" fontId="4" fillId="3" borderId="12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9" fillId="0" borderId="0" xfId="2" applyFont="1" applyFill="1"/>
    <xf numFmtId="0" fontId="9" fillId="0" borderId="2" xfId="2" applyFont="1" applyBorder="1" applyAlignment="1">
      <alignment horizontal="center"/>
    </xf>
    <xf numFmtId="1" fontId="9" fillId="0" borderId="2" xfId="2" applyNumberFormat="1" applyFont="1" applyFill="1" applyBorder="1" applyAlignment="1">
      <alignment horizontal="center"/>
    </xf>
    <xf numFmtId="1" fontId="9" fillId="0" borderId="3" xfId="2" applyNumberFormat="1" applyFont="1" applyBorder="1" applyAlignment="1">
      <alignment horizontal="center"/>
    </xf>
    <xf numFmtId="1" fontId="9" fillId="0" borderId="13" xfId="2" applyNumberFormat="1" applyFont="1" applyBorder="1" applyAlignment="1">
      <alignment horizontal="center"/>
    </xf>
    <xf numFmtId="2" fontId="9" fillId="0" borderId="13" xfId="2" applyNumberFormat="1" applyFont="1" applyBorder="1" applyAlignment="1">
      <alignment horizontal="center"/>
    </xf>
    <xf numFmtId="2" fontId="9" fillId="0" borderId="3" xfId="2" applyNumberFormat="1" applyFont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6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9" fillId="0" borderId="4" xfId="2" applyFont="1" applyBorder="1" applyAlignment="1">
      <alignment horizontal="center"/>
    </xf>
    <xf numFmtId="1" fontId="9" fillId="0" borderId="4" xfId="2" applyNumberFormat="1" applyFont="1" applyBorder="1" applyAlignment="1">
      <alignment horizontal="center"/>
    </xf>
    <xf numFmtId="1" fontId="9" fillId="0" borderId="5" xfId="2" applyNumberFormat="1" applyFont="1" applyBorder="1" applyAlignment="1">
      <alignment horizontal="center"/>
    </xf>
    <xf numFmtId="1" fontId="9" fillId="0" borderId="0" xfId="2" applyNumberFormat="1" applyFont="1" applyBorder="1" applyAlignment="1">
      <alignment horizontal="center"/>
    </xf>
    <xf numFmtId="2" fontId="9" fillId="0" borderId="0" xfId="2" applyNumberFormat="1" applyFont="1" applyBorder="1" applyAlignment="1">
      <alignment horizontal="center"/>
    </xf>
    <xf numFmtId="2" fontId="9" fillId="0" borderId="5" xfId="2" applyNumberFormat="1" applyFont="1" applyBorder="1" applyAlignment="1">
      <alignment horizontal="center"/>
    </xf>
    <xf numFmtId="0" fontId="4" fillId="0" borderId="0" xfId="4" applyFont="1"/>
    <xf numFmtId="0" fontId="9" fillId="0" borderId="6" xfId="2" applyFont="1" applyBorder="1" applyAlignment="1">
      <alignment horizontal="center"/>
    </xf>
    <xf numFmtId="1" fontId="9" fillId="0" borderId="6" xfId="2" applyNumberFormat="1" applyFont="1" applyBorder="1" applyAlignment="1">
      <alignment horizontal="center"/>
    </xf>
    <xf numFmtId="1" fontId="9" fillId="0" borderId="7" xfId="2" applyNumberFormat="1" applyFont="1" applyBorder="1" applyAlignment="1">
      <alignment horizontal="center"/>
    </xf>
    <xf numFmtId="1" fontId="9" fillId="0" borderId="14" xfId="2" applyNumberFormat="1" applyFont="1" applyBorder="1" applyAlignment="1">
      <alignment horizontal="center"/>
    </xf>
    <xf numFmtId="2" fontId="9" fillId="0" borderId="14" xfId="2" applyNumberFormat="1" applyFont="1" applyBorder="1" applyAlignment="1">
      <alignment horizontal="center"/>
    </xf>
    <xf numFmtId="2" fontId="9" fillId="0" borderId="7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2" fillId="0" borderId="8" xfId="2" applyFont="1" applyFill="1" applyBorder="1"/>
    <xf numFmtId="0" fontId="12" fillId="0" borderId="9" xfId="2" applyFont="1" applyFill="1" applyBorder="1"/>
    <xf numFmtId="0" fontId="12" fillId="0" borderId="15" xfId="2" applyFont="1" applyFill="1" applyBorder="1"/>
    <xf numFmtId="0" fontId="9" fillId="0" borderId="10" xfId="2" applyFont="1" applyBorder="1"/>
    <xf numFmtId="0" fontId="9" fillId="0" borderId="11" xfId="2" applyFont="1" applyBorder="1"/>
    <xf numFmtId="0" fontId="9" fillId="0" borderId="1" xfId="2" applyFont="1" applyBorder="1"/>
    <xf numFmtId="0" fontId="9" fillId="9" borderId="0" xfId="2" applyFont="1" applyFill="1"/>
    <xf numFmtId="0" fontId="13" fillId="12" borderId="0" xfId="2" applyFont="1" applyFill="1" applyAlignment="1">
      <alignment horizontal="center" vertical="center"/>
    </xf>
    <xf numFmtId="164" fontId="13" fillId="12" borderId="0" xfId="2" applyNumberFormat="1" applyFont="1" applyFill="1" applyAlignment="1">
      <alignment horizontal="center" vertical="center"/>
    </xf>
    <xf numFmtId="165" fontId="13" fillId="12" borderId="0" xfId="2" applyNumberFormat="1" applyFont="1" applyFill="1" applyAlignment="1">
      <alignment horizontal="center" vertical="center"/>
    </xf>
    <xf numFmtId="0" fontId="9" fillId="0" borderId="0" xfId="2" applyFont="1" applyAlignment="1">
      <alignment horizontal="left"/>
    </xf>
    <xf numFmtId="165" fontId="9" fillId="0" borderId="0" xfId="2" applyNumberFormat="1" applyFont="1" applyAlignment="1">
      <alignment horizontal="center"/>
    </xf>
    <xf numFmtId="1" fontId="13" fillId="11" borderId="0" xfId="2" applyNumberFormat="1" applyFont="1" applyFill="1" applyBorder="1" applyAlignment="1">
      <alignment horizontal="center"/>
    </xf>
    <xf numFmtId="164" fontId="13" fillId="8" borderId="0" xfId="2" applyNumberFormat="1" applyFont="1" applyFill="1" applyAlignment="1">
      <alignment horizontal="center"/>
    </xf>
    <xf numFmtId="2" fontId="9" fillId="0" borderId="0" xfId="2" applyNumberFormat="1" applyFont="1" applyAlignment="1">
      <alignment horizontal="center"/>
    </xf>
    <xf numFmtId="1" fontId="13" fillId="10" borderId="0" xfId="2" applyNumberFormat="1" applyFont="1" applyFill="1" applyAlignment="1">
      <alignment horizontal="center"/>
    </xf>
    <xf numFmtId="167" fontId="9" fillId="0" borderId="0" xfId="2" applyNumberFormat="1" applyFont="1" applyAlignment="1">
      <alignment horizontal="center"/>
    </xf>
    <xf numFmtId="2" fontId="10" fillId="2" borderId="0" xfId="2" applyNumberFormat="1" applyFont="1" applyFill="1" applyAlignment="1">
      <alignment horizontal="center"/>
    </xf>
    <xf numFmtId="0" fontId="9" fillId="0" borderId="0" xfId="2" applyFont="1" applyFill="1" applyBorder="1"/>
    <xf numFmtId="0" fontId="9" fillId="0" borderId="0" xfId="2" applyFont="1" applyFill="1" applyAlignment="1">
      <alignment horizontal="center"/>
    </xf>
    <xf numFmtId="0" fontId="9" fillId="0" borderId="9" xfId="2" applyFont="1" applyBorder="1"/>
    <xf numFmtId="0" fontId="9" fillId="2" borderId="0" xfId="2" applyFont="1" applyFill="1"/>
    <xf numFmtId="0" fontId="14" fillId="2" borderId="0" xfId="2" applyFont="1" applyFill="1"/>
    <xf numFmtId="0" fontId="14" fillId="0" borderId="0" xfId="2" applyFont="1" applyFill="1"/>
    <xf numFmtId="0" fontId="4" fillId="0" borderId="0" xfId="1" applyFont="1" applyFill="1"/>
    <xf numFmtId="0" fontId="10" fillId="0" borderId="8" xfId="2" applyFont="1" applyBorder="1" applyAlignment="1">
      <alignment horizontal="center"/>
    </xf>
    <xf numFmtId="1" fontId="9" fillId="0" borderId="8" xfId="2" applyNumberFormat="1" applyFont="1" applyBorder="1" applyAlignment="1">
      <alignment horizontal="center"/>
    </xf>
    <xf numFmtId="1" fontId="9" fillId="0" borderId="1" xfId="2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4" fillId="0" borderId="0" xfId="1" applyFont="1" applyFill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" fontId="10" fillId="2" borderId="0" xfId="2" applyNumberFormat="1" applyFont="1" applyFill="1" applyAlignment="1">
      <alignment horizontal="center"/>
    </xf>
    <xf numFmtId="1" fontId="13" fillId="12" borderId="0" xfId="2" applyNumberFormat="1" applyFont="1" applyFill="1" applyAlignment="1">
      <alignment horizontal="center" vertical="center"/>
    </xf>
    <xf numFmtId="0" fontId="4" fillId="0" borderId="10" xfId="1" applyFont="1" applyFill="1" applyBorder="1" applyAlignment="1">
      <alignment horizontal="left"/>
    </xf>
    <xf numFmtId="0" fontId="4" fillId="0" borderId="12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2" fontId="4" fillId="0" borderId="0" xfId="1" applyNumberFormat="1" applyFont="1" applyFill="1" applyAlignment="1">
      <alignment horizontal="center"/>
    </xf>
    <xf numFmtId="2" fontId="4" fillId="4" borderId="0" xfId="1" applyNumberFormat="1" applyFont="1" applyFill="1" applyAlignment="1">
      <alignment horizontal="center"/>
    </xf>
    <xf numFmtId="165" fontId="0" fillId="4" borderId="0" xfId="0" applyNumberFormat="1" applyFill="1" applyAlignment="1">
      <alignment horizontal="center"/>
    </xf>
    <xf numFmtId="0" fontId="15" fillId="2" borderId="11" xfId="1" applyFont="1" applyFill="1" applyBorder="1" applyAlignment="1">
      <alignment horizontal="center"/>
    </xf>
    <xf numFmtId="0" fontId="15" fillId="2" borderId="0" xfId="1" applyFont="1" applyFill="1" applyAlignment="1">
      <alignment horizontal="center"/>
    </xf>
    <xf numFmtId="0" fontId="15" fillId="13" borderId="11" xfId="1" applyFont="1" applyFill="1" applyBorder="1" applyAlignment="1">
      <alignment horizontal="center"/>
    </xf>
    <xf numFmtId="0" fontId="15" fillId="13" borderId="0" xfId="1" applyFont="1" applyFill="1" applyAlignment="1">
      <alignment horizontal="center"/>
    </xf>
    <xf numFmtId="0" fontId="4" fillId="6" borderId="11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2" fontId="15" fillId="2" borderId="0" xfId="1" applyNumberFormat="1" applyFont="1" applyFill="1" applyBorder="1" applyAlignment="1">
      <alignment horizontal="center"/>
    </xf>
    <xf numFmtId="167" fontId="9" fillId="0" borderId="0" xfId="2" applyNumberFormat="1" applyFont="1"/>
    <xf numFmtId="0" fontId="15" fillId="0" borderId="0" xfId="1" applyFont="1" applyFill="1" applyBorder="1" applyAlignment="1">
      <alignment horizontal="center"/>
    </xf>
    <xf numFmtId="0" fontId="15" fillId="13" borderId="0" xfId="1" applyFont="1" applyFill="1" applyBorder="1" applyAlignment="1">
      <alignment horizontal="center"/>
    </xf>
    <xf numFmtId="2" fontId="15" fillId="13" borderId="0" xfId="1" applyNumberFormat="1" applyFont="1" applyFill="1" applyBorder="1" applyAlignment="1">
      <alignment horizontal="center"/>
    </xf>
    <xf numFmtId="2" fontId="15" fillId="14" borderId="0" xfId="1" applyNumberFormat="1" applyFont="1" applyFill="1" applyBorder="1" applyAlignment="1">
      <alignment horizontal="center"/>
    </xf>
    <xf numFmtId="165" fontId="15" fillId="11" borderId="0" xfId="1" applyNumberFormat="1" applyFont="1" applyFill="1" applyBorder="1" applyAlignment="1">
      <alignment horizontal="center"/>
    </xf>
    <xf numFmtId="1" fontId="15" fillId="11" borderId="0" xfId="1" applyNumberFormat="1" applyFont="1" applyFill="1" applyBorder="1" applyAlignment="1">
      <alignment horizontal="center"/>
    </xf>
    <xf numFmtId="2" fontId="15" fillId="11" borderId="0" xfId="1" applyNumberFormat="1" applyFont="1" applyFill="1" applyBorder="1" applyAlignment="1">
      <alignment horizontal="center"/>
    </xf>
    <xf numFmtId="169" fontId="15" fillId="11" borderId="0" xfId="1" applyNumberFormat="1" applyFont="1" applyFill="1" applyBorder="1" applyAlignment="1">
      <alignment horizontal="center"/>
    </xf>
    <xf numFmtId="2" fontId="9" fillId="0" borderId="0" xfId="2" applyNumberFormat="1" applyFont="1"/>
    <xf numFmtId="2" fontId="0" fillId="0" borderId="0" xfId="0" applyNumberFormat="1" applyAlignment="1">
      <alignment horizontal="left" vertical="top"/>
    </xf>
    <xf numFmtId="1" fontId="9" fillId="0" borderId="0" xfId="2" applyNumberFormat="1" applyFont="1" applyAlignment="1">
      <alignment horizontal="left" vertical="top"/>
    </xf>
    <xf numFmtId="2" fontId="9" fillId="0" borderId="0" xfId="2" applyNumberFormat="1" applyFont="1" applyAlignment="1">
      <alignment horizontal="center" vertical="top"/>
    </xf>
    <xf numFmtId="166" fontId="16" fillId="2" borderId="0" xfId="0" applyNumberFormat="1" applyFont="1" applyFill="1" applyAlignment="1">
      <alignment horizontal="center"/>
    </xf>
    <xf numFmtId="0" fontId="15" fillId="15" borderId="0" xfId="1" applyFont="1" applyFill="1" applyBorder="1" applyAlignment="1">
      <alignment horizontal="center"/>
    </xf>
    <xf numFmtId="2" fontId="17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Continuous"/>
    </xf>
    <xf numFmtId="164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wrapText="1"/>
    </xf>
    <xf numFmtId="0" fontId="21" fillId="13" borderId="0" xfId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2" fillId="0" borderId="0" xfId="0" applyFont="1"/>
    <xf numFmtId="0" fontId="19" fillId="0" borderId="14" xfId="0" applyFont="1" applyBorder="1"/>
    <xf numFmtId="0" fontId="23" fillId="0" borderId="14" xfId="0" applyFont="1" applyBorder="1"/>
    <xf numFmtId="2" fontId="24" fillId="0" borderId="14" xfId="0" applyNumberFormat="1" applyFont="1" applyBorder="1"/>
    <xf numFmtId="0" fontId="24" fillId="0" borderId="14" xfId="0" applyFont="1" applyBorder="1"/>
    <xf numFmtId="2" fontId="24" fillId="0" borderId="0" xfId="0" applyNumberFormat="1" applyFont="1"/>
    <xf numFmtId="0" fontId="24" fillId="0" borderId="0" xfId="0" applyFont="1"/>
    <xf numFmtId="0" fontId="25" fillId="0" borderId="16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3" fillId="0" borderId="0" xfId="0" applyFont="1" applyAlignment="1">
      <alignment horizontal="left"/>
    </xf>
    <xf numFmtId="165" fontId="19" fillId="0" borderId="0" xfId="0" applyNumberFormat="1" applyFont="1"/>
    <xf numFmtId="0" fontId="22" fillId="0" borderId="0" xfId="0" applyFont="1" applyAlignment="1">
      <alignment horizontal="center"/>
    </xf>
    <xf numFmtId="0" fontId="26" fillId="0" borderId="16" xfId="0" applyFont="1" applyBorder="1" applyAlignment="1">
      <alignment horizontal="centerContinuous"/>
    </xf>
    <xf numFmtId="0" fontId="2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9" fillId="0" borderId="0" xfId="0" applyFont="1"/>
    <xf numFmtId="0" fontId="30" fillId="16" borderId="7" xfId="0" applyFont="1" applyFill="1" applyBorder="1"/>
    <xf numFmtId="0" fontId="29" fillId="16" borderId="14" xfId="0" applyFont="1" applyFill="1" applyBorder="1"/>
    <xf numFmtId="0" fontId="4" fillId="16" borderId="6" xfId="0" applyFont="1" applyFill="1" applyBorder="1"/>
    <xf numFmtId="0" fontId="30" fillId="16" borderId="5" xfId="0" applyFont="1" applyFill="1" applyBorder="1"/>
    <xf numFmtId="0" fontId="29" fillId="16" borderId="0" xfId="0" applyFont="1" applyFill="1"/>
    <xf numFmtId="0" fontId="4" fillId="16" borderId="4" xfId="0" applyFont="1" applyFill="1" applyBorder="1"/>
    <xf numFmtId="0" fontId="30" fillId="0" borderId="0" xfId="0" applyFont="1"/>
    <xf numFmtId="0" fontId="30" fillId="16" borderId="3" xfId="0" applyFont="1" applyFill="1" applyBorder="1"/>
    <xf numFmtId="0" fontId="29" fillId="16" borderId="13" xfId="0" applyFont="1" applyFill="1" applyBorder="1"/>
    <xf numFmtId="0" fontId="4" fillId="16" borderId="2" xfId="0" applyFont="1" applyFill="1" applyBorder="1"/>
    <xf numFmtId="0" fontId="4" fillId="0" borderId="1" xfId="0" applyFont="1" applyBorder="1"/>
    <xf numFmtId="166" fontId="4" fillId="0" borderId="0" xfId="0" applyNumberFormat="1" applyFont="1"/>
    <xf numFmtId="2" fontId="4" fillId="0" borderId="0" xfId="0" applyNumberFormat="1" applyFont="1"/>
    <xf numFmtId="2" fontId="19" fillId="0" borderId="0" xfId="0" applyNumberFormat="1" applyFont="1"/>
    <xf numFmtId="0" fontId="19" fillId="0" borderId="1" xfId="0" applyFont="1" applyBorder="1"/>
    <xf numFmtId="0" fontId="21" fillId="2" borderId="0" xfId="0" applyFont="1" applyFill="1"/>
    <xf numFmtId="164" fontId="12" fillId="0" borderId="8" xfId="2" applyNumberFormat="1" applyFont="1" applyFill="1" applyBorder="1"/>
    <xf numFmtId="164" fontId="9" fillId="0" borderId="9" xfId="2" applyNumberFormat="1" applyFont="1" applyBorder="1"/>
    <xf numFmtId="164" fontId="12" fillId="0" borderId="9" xfId="2" applyNumberFormat="1" applyFont="1" applyFill="1" applyBorder="1"/>
    <xf numFmtId="164" fontId="12" fillId="0" borderId="15" xfId="2" applyNumberFormat="1" applyFont="1" applyFill="1" applyBorder="1"/>
    <xf numFmtId="1" fontId="13" fillId="11" borderId="0" xfId="2" applyNumberFormat="1" applyFont="1" applyFill="1" applyAlignment="1">
      <alignment horizontal="center"/>
    </xf>
    <xf numFmtId="0" fontId="9" fillId="15" borderId="0" xfId="2" applyFont="1" applyFill="1" applyAlignment="1">
      <alignment horizontal="left"/>
    </xf>
    <xf numFmtId="0" fontId="31" fillId="0" borderId="0" xfId="2" applyFont="1"/>
    <xf numFmtId="1" fontId="9" fillId="0" borderId="0" xfId="2" applyNumberFormat="1" applyFont="1" applyAlignment="1">
      <alignment horizontal="center"/>
    </xf>
    <xf numFmtId="0" fontId="32" fillId="0" borderId="0" xfId="2" applyFont="1"/>
    <xf numFmtId="0" fontId="14" fillId="0" borderId="0" xfId="2" applyFont="1"/>
    <xf numFmtId="0" fontId="33" fillId="0" borderId="0" xfId="2" applyFont="1"/>
    <xf numFmtId="0" fontId="35" fillId="0" borderId="0" xfId="5" applyFont="1" applyFill="1"/>
  </cellXfs>
  <cellStyles count="6">
    <cellStyle name="Hyperlink" xfId="5" builtinId="8"/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8-4D9D-8F24-1E4EBD94F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749927343001618"/>
                  <c:y val="1.33982419724900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'2.R2&amp;R'!$B$4:$B$12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'2.R2&amp;R'!$C$4:$C$12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DC-4656-B3C7-3D56A13EE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2656"/>
        <c:axId val="617803048"/>
      </c:scatterChart>
      <c:valAx>
        <c:axId val="61780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048"/>
        <c:crosses val="autoZero"/>
        <c:crossBetween val="midCat"/>
      </c:valAx>
      <c:valAx>
        <c:axId val="6178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7550927424489037"/>
                  <c:y val="4.2061141665237032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'2.R2&amp;R'!$B$18:$B$26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'2.R2&amp;R'!$C$18:$C$26</c:f>
              <c:numCache>
                <c:formatCode>General</c:formatCode>
                <c:ptCount val="9"/>
                <c:pt idx="0">
                  <c:v>1693</c:v>
                </c:pt>
                <c:pt idx="1">
                  <c:v>1753</c:v>
                </c:pt>
                <c:pt idx="2">
                  <c:v>1759</c:v>
                </c:pt>
                <c:pt idx="3">
                  <c:v>2164</c:v>
                </c:pt>
                <c:pt idx="4">
                  <c:v>2711</c:v>
                </c:pt>
                <c:pt idx="5">
                  <c:v>2840</c:v>
                </c:pt>
                <c:pt idx="6">
                  <c:v>3209</c:v>
                </c:pt>
                <c:pt idx="7">
                  <c:v>3785</c:v>
                </c:pt>
                <c:pt idx="8">
                  <c:v>4128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0B-4E3D-94DB-778DCBCF5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001239778631028E-2"/>
                  <c:y val="-0.529248080821913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'2.R2&amp;R'!$B$18:$B$26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'2.R2&amp;R'!$D$18:$D$26</c:f>
              <c:numCache>
                <c:formatCode>General</c:formatCode>
                <c:ptCount val="9"/>
                <c:pt idx="0">
                  <c:v>2555</c:v>
                </c:pt>
                <c:pt idx="1">
                  <c:v>2507</c:v>
                </c:pt>
                <c:pt idx="2">
                  <c:v>2018</c:v>
                </c:pt>
                <c:pt idx="3">
                  <c:v>1819</c:v>
                </c:pt>
                <c:pt idx="4">
                  <c:v>1609</c:v>
                </c:pt>
                <c:pt idx="5">
                  <c:v>1653</c:v>
                </c:pt>
                <c:pt idx="6">
                  <c:v>1090</c:v>
                </c:pt>
                <c:pt idx="7">
                  <c:v>693</c:v>
                </c:pt>
                <c:pt idx="8">
                  <c:v>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0D-4602-B7B4-57EA50D2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9291415242435558E-2"/>
                  <c:y val="-0.588418678402889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'2.R2&amp;R'!$B$18:$B$26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'2.R2&amp;R'!$E$18:$E$26</c:f>
              <c:numCache>
                <c:formatCode>General</c:formatCode>
                <c:ptCount val="9"/>
                <c:pt idx="0">
                  <c:v>7346</c:v>
                </c:pt>
                <c:pt idx="1">
                  <c:v>1108</c:v>
                </c:pt>
                <c:pt idx="2">
                  <c:v>7576</c:v>
                </c:pt>
                <c:pt idx="3">
                  <c:v>4318</c:v>
                </c:pt>
                <c:pt idx="4">
                  <c:v>13</c:v>
                </c:pt>
                <c:pt idx="5">
                  <c:v>9962</c:v>
                </c:pt>
                <c:pt idx="6">
                  <c:v>2816</c:v>
                </c:pt>
                <c:pt idx="7">
                  <c:v>1798</c:v>
                </c:pt>
                <c:pt idx="8">
                  <c:v>4355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EA-415C-AE0C-FA4DDA11E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'3.RegForAssociation'!$C$25</c:f>
          <c:strCache>
            <c:ptCount val="1"/>
            <c:pt idx="0">
              <c:v>Demand Curve (R vs. Q): P=1992.14-17.03Q; R2=0.94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'3.RegForAssociation'!$B$1</c:f>
              <c:strCache>
                <c:ptCount val="1"/>
                <c:pt idx="0">
                  <c:v>Price (dollars)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'3.RegForAssociation'!$B$2:$B$7</c:f>
              <c:numCache>
                <c:formatCode>General</c:formatCode>
                <c:ptCount val="6"/>
                <c:pt idx="0">
                  <c:v>1690</c:v>
                </c:pt>
                <c:pt idx="1">
                  <c:v>1580</c:v>
                </c:pt>
                <c:pt idx="2">
                  <c:v>1510</c:v>
                </c:pt>
                <c:pt idx="3">
                  <c:v>1270</c:v>
                </c:pt>
                <c:pt idx="4">
                  <c:v>960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D0-4E8F-8ABA-A40BE194A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'3.RegForAssociation'!$C$26</c:f>
          <c:strCache>
            <c:ptCount val="1"/>
            <c:pt idx="0">
              <c:v>Total Cost Curve (TC vs. Q): TC=13016.58+298.59Q; R2=0.96,   StdDev=1591.3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'3.RegForAssociation'!$C$1</c:f>
              <c:strCache>
                <c:ptCount val="1"/>
                <c:pt idx="0">
                  <c:v>Total Production Cost (dollars)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'3.RegForAssociation'!$C$2:$C$7</c:f>
              <c:numCache>
                <c:formatCode>General</c:formatCode>
                <c:ptCount val="6"/>
                <c:pt idx="0">
                  <c:v>16350</c:v>
                </c:pt>
                <c:pt idx="1">
                  <c:v>22960</c:v>
                </c:pt>
                <c:pt idx="2">
                  <c:v>21800</c:v>
                </c:pt>
                <c:pt idx="3">
                  <c:v>27850</c:v>
                </c:pt>
                <c:pt idx="4">
                  <c:v>27540</c:v>
                </c:pt>
                <c:pt idx="5">
                  <c:v>37740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26-4DE5-A64E-9C9BE9222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'3.RegForAssociation'!$C$25</c:f>
          <c:strCache>
            <c:ptCount val="1"/>
            <c:pt idx="0">
              <c:v>Demand Curve (R vs. Q): P=1992.14-17.03Q; R2=0.94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'3.RegForAssociation'!$B$1</c:f>
              <c:strCache>
                <c:ptCount val="1"/>
                <c:pt idx="0">
                  <c:v>Price (dollars)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'3.RegForAssociation'!$B$2:$B$7</c:f>
              <c:numCache>
                <c:formatCode>General</c:formatCode>
                <c:ptCount val="6"/>
                <c:pt idx="0">
                  <c:v>1690</c:v>
                </c:pt>
                <c:pt idx="1">
                  <c:v>1580</c:v>
                </c:pt>
                <c:pt idx="2">
                  <c:v>1510</c:v>
                </c:pt>
                <c:pt idx="3">
                  <c:v>1270</c:v>
                </c:pt>
                <c:pt idx="4">
                  <c:v>960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45-4BE1-8E03-1D986272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'3.RegForAssociation'!$K$25:$K$26</c:f>
              <c:numCache>
                <c:formatCode>General</c:formatCode>
                <c:ptCount val="2"/>
                <c:pt idx="0">
                  <c:v>0</c:v>
                </c:pt>
                <c:pt idx="1">
                  <c:v>116.9727539230902</c:v>
                </c:pt>
              </c:numCache>
            </c:numRef>
          </c:xVal>
          <c:yVal>
            <c:numRef>
              <c:f>'3.RegForAssociation'!$L$25:$L$26</c:f>
              <c:numCache>
                <c:formatCode>General</c:formatCode>
                <c:ptCount val="2"/>
                <c:pt idx="0">
                  <c:v>1992.143906020558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45-4BE1-8E03-1D986272C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'3.RegForAssociation'!$C$26</c:f>
          <c:strCache>
            <c:ptCount val="1"/>
            <c:pt idx="0">
              <c:v>Total Cost Curve (TC vs. Q): TC=13016.58+298.59Q; R2=0.96,   StdDev=1591.3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'3.RegForAssociation'!$C$1</c:f>
              <c:strCache>
                <c:ptCount val="1"/>
                <c:pt idx="0">
                  <c:v>Total Production Cost (dollars)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'3.RegForAssociation'!$C$2:$C$7</c:f>
              <c:numCache>
                <c:formatCode>General</c:formatCode>
                <c:ptCount val="6"/>
                <c:pt idx="0">
                  <c:v>16350</c:v>
                </c:pt>
                <c:pt idx="1">
                  <c:v>22960</c:v>
                </c:pt>
                <c:pt idx="2">
                  <c:v>21800</c:v>
                </c:pt>
                <c:pt idx="3">
                  <c:v>27850</c:v>
                </c:pt>
                <c:pt idx="4">
                  <c:v>27540</c:v>
                </c:pt>
                <c:pt idx="5">
                  <c:v>37740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5B-43E1-94FA-408060AE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'3.RegForAssociation'!$N$25:$N$26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'3.RegForAssociation'!$O$25:$O$26</c:f>
              <c:numCache>
                <c:formatCode>General</c:formatCode>
                <c:ptCount val="2"/>
                <c:pt idx="0">
                  <c:v>13016.578560939795</c:v>
                </c:pt>
                <c:pt idx="1">
                  <c:v>42875.609397944201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5B-43E1-94FA-408060AE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'4.MaxTrMaxTP'!$M$9</c:f>
          <c:strCache>
            <c:ptCount val="1"/>
            <c:pt idx="0">
              <c:v>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'4.MaxTrMaxTP'!$B$18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'4.MaxTrMaxTP'!$A$19:$A$139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'4.MaxTrMaxTP'!$B$19:$B$139</c:f>
              <c:numCache>
                <c:formatCode>0.00</c:formatCode>
                <c:ptCount val="121"/>
                <c:pt idx="0">
                  <c:v>1992.143906020558</c:v>
                </c:pt>
                <c:pt idx="1">
                  <c:v>1975.1130690161526</c:v>
                </c:pt>
                <c:pt idx="2">
                  <c:v>1958.0822320117475</c:v>
                </c:pt>
                <c:pt idx="3">
                  <c:v>1941.0513950073421</c:v>
                </c:pt>
                <c:pt idx="4">
                  <c:v>1924.0205580029369</c:v>
                </c:pt>
                <c:pt idx="5">
                  <c:v>1906.9897209985315</c:v>
                </c:pt>
                <c:pt idx="6">
                  <c:v>1889.9588839941264</c:v>
                </c:pt>
                <c:pt idx="7">
                  <c:v>1872.928046989721</c:v>
                </c:pt>
                <c:pt idx="8">
                  <c:v>1855.8972099853158</c:v>
                </c:pt>
                <c:pt idx="9">
                  <c:v>1838.8663729809105</c:v>
                </c:pt>
                <c:pt idx="10">
                  <c:v>1821.8355359765051</c:v>
                </c:pt>
                <c:pt idx="11">
                  <c:v>1804.8046989720999</c:v>
                </c:pt>
                <c:pt idx="12">
                  <c:v>1787.7738619676945</c:v>
                </c:pt>
                <c:pt idx="13">
                  <c:v>1770.7430249632894</c:v>
                </c:pt>
                <c:pt idx="14">
                  <c:v>1753.712187958884</c:v>
                </c:pt>
                <c:pt idx="15">
                  <c:v>1736.6813509544786</c:v>
                </c:pt>
                <c:pt idx="16">
                  <c:v>1719.6505139500734</c:v>
                </c:pt>
                <c:pt idx="17">
                  <c:v>1702.6196769456683</c:v>
                </c:pt>
                <c:pt idx="18">
                  <c:v>1685.5888399412629</c:v>
                </c:pt>
                <c:pt idx="19">
                  <c:v>1668.5580029368575</c:v>
                </c:pt>
                <c:pt idx="20">
                  <c:v>1651.5271659324524</c:v>
                </c:pt>
                <c:pt idx="21">
                  <c:v>1634.496328928047</c:v>
                </c:pt>
                <c:pt idx="22">
                  <c:v>1617.4654919236418</c:v>
                </c:pt>
                <c:pt idx="23">
                  <c:v>1600.4346549192364</c:v>
                </c:pt>
                <c:pt idx="24">
                  <c:v>1583.4038179148311</c:v>
                </c:pt>
                <c:pt idx="25">
                  <c:v>1566.3729809104259</c:v>
                </c:pt>
                <c:pt idx="26">
                  <c:v>1549.3421439060207</c:v>
                </c:pt>
                <c:pt idx="27">
                  <c:v>1532.3113069016154</c:v>
                </c:pt>
                <c:pt idx="28">
                  <c:v>1515.28046989721</c:v>
                </c:pt>
                <c:pt idx="29">
                  <c:v>1498.2496328928048</c:v>
                </c:pt>
                <c:pt idx="30">
                  <c:v>1481.2187958883994</c:v>
                </c:pt>
                <c:pt idx="31">
                  <c:v>1464.1879588839943</c:v>
                </c:pt>
                <c:pt idx="32">
                  <c:v>1447.1571218795889</c:v>
                </c:pt>
                <c:pt idx="33">
                  <c:v>1430.1262848751835</c:v>
                </c:pt>
                <c:pt idx="34">
                  <c:v>1413.0954478707783</c:v>
                </c:pt>
                <c:pt idx="35">
                  <c:v>1396.0646108663732</c:v>
                </c:pt>
                <c:pt idx="36">
                  <c:v>1379.0337738619678</c:v>
                </c:pt>
                <c:pt idx="37">
                  <c:v>1362.0029368575624</c:v>
                </c:pt>
                <c:pt idx="38">
                  <c:v>1344.972099853157</c:v>
                </c:pt>
                <c:pt idx="39">
                  <c:v>1327.9412628487519</c:v>
                </c:pt>
                <c:pt idx="40">
                  <c:v>1310.9104258443467</c:v>
                </c:pt>
                <c:pt idx="41">
                  <c:v>1293.8795888399413</c:v>
                </c:pt>
                <c:pt idx="42">
                  <c:v>1276.8487518355359</c:v>
                </c:pt>
                <c:pt idx="43">
                  <c:v>1259.8179148311308</c:v>
                </c:pt>
                <c:pt idx="44">
                  <c:v>1242.7870778267254</c:v>
                </c:pt>
                <c:pt idx="45">
                  <c:v>1225.7562408223203</c:v>
                </c:pt>
                <c:pt idx="46">
                  <c:v>1208.7254038179149</c:v>
                </c:pt>
                <c:pt idx="47">
                  <c:v>1191.6945668135095</c:v>
                </c:pt>
                <c:pt idx="48">
                  <c:v>1174.6637298091043</c:v>
                </c:pt>
                <c:pt idx="49">
                  <c:v>1157.6328928046992</c:v>
                </c:pt>
                <c:pt idx="50">
                  <c:v>1140.6020558002938</c:v>
                </c:pt>
                <c:pt idx="51">
                  <c:v>1123.5712187958884</c:v>
                </c:pt>
                <c:pt idx="52">
                  <c:v>1106.5403817914832</c:v>
                </c:pt>
                <c:pt idx="53">
                  <c:v>1089.5095447870779</c:v>
                </c:pt>
                <c:pt idx="54">
                  <c:v>1072.4787077826727</c:v>
                </c:pt>
                <c:pt idx="55">
                  <c:v>1055.4478707782673</c:v>
                </c:pt>
                <c:pt idx="56">
                  <c:v>1038.4170337738619</c:v>
                </c:pt>
                <c:pt idx="57">
                  <c:v>1021.3861967694568</c:v>
                </c:pt>
                <c:pt idx="58">
                  <c:v>1004.3553597650515</c:v>
                </c:pt>
                <c:pt idx="59">
                  <c:v>987.32452276064623</c:v>
                </c:pt>
                <c:pt idx="60">
                  <c:v>970.29368575624085</c:v>
                </c:pt>
                <c:pt idx="61">
                  <c:v>953.26284875183569</c:v>
                </c:pt>
                <c:pt idx="62">
                  <c:v>936.23201174743031</c:v>
                </c:pt>
                <c:pt idx="63">
                  <c:v>919.20117474302515</c:v>
                </c:pt>
                <c:pt idx="64">
                  <c:v>902.17033773861976</c:v>
                </c:pt>
                <c:pt idx="65">
                  <c:v>885.13950073421438</c:v>
                </c:pt>
                <c:pt idx="66">
                  <c:v>868.10866372980922</c:v>
                </c:pt>
                <c:pt idx="67">
                  <c:v>851.07782672540384</c:v>
                </c:pt>
                <c:pt idx="68">
                  <c:v>834.04698972099868</c:v>
                </c:pt>
                <c:pt idx="69">
                  <c:v>817.0161527165933</c:v>
                </c:pt>
                <c:pt idx="70">
                  <c:v>799.98531571218814</c:v>
                </c:pt>
                <c:pt idx="71">
                  <c:v>782.95447870778276</c:v>
                </c:pt>
                <c:pt idx="72">
                  <c:v>765.9236417033776</c:v>
                </c:pt>
                <c:pt idx="73">
                  <c:v>748.89280469897221</c:v>
                </c:pt>
                <c:pt idx="74">
                  <c:v>731.86196769456683</c:v>
                </c:pt>
                <c:pt idx="75">
                  <c:v>714.83113069016167</c:v>
                </c:pt>
                <c:pt idx="76">
                  <c:v>697.80029368575629</c:v>
                </c:pt>
                <c:pt idx="77">
                  <c:v>680.76945668135113</c:v>
                </c:pt>
                <c:pt idx="78">
                  <c:v>663.73861967694575</c:v>
                </c:pt>
                <c:pt idx="79">
                  <c:v>646.70778267254059</c:v>
                </c:pt>
                <c:pt idx="80">
                  <c:v>629.6769456681352</c:v>
                </c:pt>
                <c:pt idx="81">
                  <c:v>612.64610866372982</c:v>
                </c:pt>
                <c:pt idx="82">
                  <c:v>595.61527165932466</c:v>
                </c:pt>
                <c:pt idx="83">
                  <c:v>578.58443465491928</c:v>
                </c:pt>
                <c:pt idx="84">
                  <c:v>561.55359765051412</c:v>
                </c:pt>
                <c:pt idx="85">
                  <c:v>544.52276064610874</c:v>
                </c:pt>
                <c:pt idx="86">
                  <c:v>527.49192364170358</c:v>
                </c:pt>
                <c:pt idx="87">
                  <c:v>510.46108663729819</c:v>
                </c:pt>
                <c:pt idx="88">
                  <c:v>493.43024963289281</c:v>
                </c:pt>
                <c:pt idx="89">
                  <c:v>476.39941262848765</c:v>
                </c:pt>
                <c:pt idx="90">
                  <c:v>459.36857562408227</c:v>
                </c:pt>
                <c:pt idx="91">
                  <c:v>442.33773861967711</c:v>
                </c:pt>
                <c:pt idx="92">
                  <c:v>425.30690161527173</c:v>
                </c:pt>
                <c:pt idx="93">
                  <c:v>408.27606461086657</c:v>
                </c:pt>
                <c:pt idx="94">
                  <c:v>391.24522760646119</c:v>
                </c:pt>
                <c:pt idx="95">
                  <c:v>374.21439060205603</c:v>
                </c:pt>
                <c:pt idx="96">
                  <c:v>357.18355359765064</c:v>
                </c:pt>
                <c:pt idx="97">
                  <c:v>340.15271659324526</c:v>
                </c:pt>
                <c:pt idx="98">
                  <c:v>323.1218795888401</c:v>
                </c:pt>
                <c:pt idx="99">
                  <c:v>306.09104258443472</c:v>
                </c:pt>
                <c:pt idx="100">
                  <c:v>289.06020558002956</c:v>
                </c:pt>
                <c:pt idx="101">
                  <c:v>272.02936857562418</c:v>
                </c:pt>
                <c:pt idx="102">
                  <c:v>254.99853157121902</c:v>
                </c:pt>
                <c:pt idx="103">
                  <c:v>237.96769456681363</c:v>
                </c:pt>
                <c:pt idx="104">
                  <c:v>220.93685756240848</c:v>
                </c:pt>
                <c:pt idx="105">
                  <c:v>203.90602055800309</c:v>
                </c:pt>
                <c:pt idx="106">
                  <c:v>186.87518355359771</c:v>
                </c:pt>
                <c:pt idx="107">
                  <c:v>169.84434654919255</c:v>
                </c:pt>
                <c:pt idx="108">
                  <c:v>152.81350954478717</c:v>
                </c:pt>
                <c:pt idx="109">
                  <c:v>135.78267254038201</c:v>
                </c:pt>
                <c:pt idx="110">
                  <c:v>118.75183553597662</c:v>
                </c:pt>
                <c:pt idx="111">
                  <c:v>101.72099853157147</c:v>
                </c:pt>
                <c:pt idx="112">
                  <c:v>84.690161527166083</c:v>
                </c:pt>
                <c:pt idx="113">
                  <c:v>67.659324522760699</c:v>
                </c:pt>
                <c:pt idx="114">
                  <c:v>50.628487518355541</c:v>
                </c:pt>
                <c:pt idx="115">
                  <c:v>33.597650513950157</c:v>
                </c:pt>
                <c:pt idx="116">
                  <c:v>16.566813509545</c:v>
                </c:pt>
                <c:pt idx="117">
                  <c:v>-0.46402349486038474</c:v>
                </c:pt>
                <c:pt idx="118">
                  <c:v>-17.494860499265542</c:v>
                </c:pt>
                <c:pt idx="119">
                  <c:v>-34.525697503670926</c:v>
                </c:pt>
                <c:pt idx="120">
                  <c:v>-51.556534508076311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DD-4F16-9602-F3E66439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'4.MaxTrMaxTP'!$M$10</c:f>
          <c:strCache>
            <c:ptCount val="1"/>
            <c:pt idx="0">
              <c:v>TR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'4.MaxTrMaxTP'!$C$18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'4.MaxTrMaxTP'!$A$19:$A$139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'4.MaxTrMaxTP'!$C$19:$C$139</c:f>
              <c:numCache>
                <c:formatCode>0.00</c:formatCode>
                <c:ptCount val="121"/>
                <c:pt idx="0" formatCode="General">
                  <c:v>0</c:v>
                </c:pt>
                <c:pt idx="1">
                  <c:v>1975.1130690161526</c:v>
                </c:pt>
                <c:pt idx="2">
                  <c:v>3916.1644640234949</c:v>
                </c:pt>
                <c:pt idx="3">
                  <c:v>5823.1541850220265</c:v>
                </c:pt>
                <c:pt idx="4">
                  <c:v>7696.0822320117477</c:v>
                </c:pt>
                <c:pt idx="5">
                  <c:v>9534.9486049926581</c:v>
                </c:pt>
                <c:pt idx="6">
                  <c:v>11339.753303964759</c:v>
                </c:pt>
                <c:pt idx="7">
                  <c:v>13110.496328928048</c:v>
                </c:pt>
                <c:pt idx="8">
                  <c:v>14847.177679882527</c:v>
                </c:pt>
                <c:pt idx="9">
                  <c:v>16549.797356828196</c:v>
                </c:pt>
                <c:pt idx="10">
                  <c:v>18218.35535976505</c:v>
                </c:pt>
                <c:pt idx="11">
                  <c:v>19852.851688693099</c:v>
                </c:pt>
                <c:pt idx="12">
                  <c:v>21453.286343612333</c:v>
                </c:pt>
                <c:pt idx="13">
                  <c:v>23019.659324522763</c:v>
                </c:pt>
                <c:pt idx="14">
                  <c:v>24551.970631424374</c:v>
                </c:pt>
                <c:pt idx="15">
                  <c:v>26050.22026431718</c:v>
                </c:pt>
                <c:pt idx="16">
                  <c:v>27514.408223201175</c:v>
                </c:pt>
                <c:pt idx="17">
                  <c:v>28944.534508076362</c:v>
                </c:pt>
                <c:pt idx="18">
                  <c:v>30340.599118942733</c:v>
                </c:pt>
                <c:pt idx="19">
                  <c:v>31702.602055800293</c:v>
                </c:pt>
                <c:pt idx="20">
                  <c:v>33030.543318649048</c:v>
                </c:pt>
                <c:pt idx="21">
                  <c:v>34324.422907488988</c:v>
                </c:pt>
                <c:pt idx="22">
                  <c:v>35584.24082232012</c:v>
                </c:pt>
                <c:pt idx="23">
                  <c:v>36809.997063142437</c:v>
                </c:pt>
                <c:pt idx="24">
                  <c:v>38001.691629955945</c:v>
                </c:pt>
                <c:pt idx="25">
                  <c:v>39159.324522760646</c:v>
                </c:pt>
                <c:pt idx="26">
                  <c:v>40282.895741556538</c:v>
                </c:pt>
                <c:pt idx="27">
                  <c:v>41372.405286343615</c:v>
                </c:pt>
                <c:pt idx="28">
                  <c:v>42427.853157121877</c:v>
                </c:pt>
                <c:pt idx="29">
                  <c:v>43449.239353891338</c:v>
                </c:pt>
                <c:pt idx="30">
                  <c:v>44436.563876651984</c:v>
                </c:pt>
                <c:pt idx="31">
                  <c:v>45389.826725403822</c:v>
                </c:pt>
                <c:pt idx="32">
                  <c:v>46309.027900146844</c:v>
                </c:pt>
                <c:pt idx="33">
                  <c:v>47194.167400881059</c:v>
                </c:pt>
                <c:pt idx="34">
                  <c:v>48045.245227606465</c:v>
                </c:pt>
                <c:pt idx="35">
                  <c:v>48862.261380323063</c:v>
                </c:pt>
                <c:pt idx="36">
                  <c:v>49645.215859030839</c:v>
                </c:pt>
                <c:pt idx="37">
                  <c:v>50394.108663729807</c:v>
                </c:pt>
                <c:pt idx="38">
                  <c:v>51108.939794419966</c:v>
                </c:pt>
                <c:pt idx="39">
                  <c:v>51789.709251101325</c:v>
                </c:pt>
                <c:pt idx="40">
                  <c:v>52436.417033773869</c:v>
                </c:pt>
                <c:pt idx="41">
                  <c:v>53049.063142437597</c:v>
                </c:pt>
                <c:pt idx="42">
                  <c:v>53627.64757709251</c:v>
                </c:pt>
                <c:pt idx="43">
                  <c:v>54172.170337738622</c:v>
                </c:pt>
                <c:pt idx="44">
                  <c:v>54682.631424375919</c:v>
                </c:pt>
                <c:pt idx="45">
                  <c:v>55159.030837004408</c:v>
                </c:pt>
                <c:pt idx="46">
                  <c:v>55601.368575624081</c:v>
                </c:pt>
                <c:pt idx="47">
                  <c:v>56009.644640234947</c:v>
                </c:pt>
                <c:pt idx="48">
                  <c:v>56383.859030837004</c:v>
                </c:pt>
                <c:pt idx="49">
                  <c:v>56724.011747430261</c:v>
                </c:pt>
                <c:pt idx="50">
                  <c:v>57030.102790014687</c:v>
                </c:pt>
                <c:pt idx="51">
                  <c:v>57302.132158590306</c:v>
                </c:pt>
                <c:pt idx="52">
                  <c:v>57540.099853157131</c:v>
                </c:pt>
                <c:pt idx="53">
                  <c:v>57744.005873715127</c:v>
                </c:pt>
                <c:pt idx="54">
                  <c:v>57913.850220264329</c:v>
                </c:pt>
                <c:pt idx="55">
                  <c:v>58049.632892804701</c:v>
                </c:pt>
                <c:pt idx="56">
                  <c:v>58151.353891336272</c:v>
                </c:pt>
                <c:pt idx="57">
                  <c:v>58219.013215859035</c:v>
                </c:pt>
                <c:pt idx="58">
                  <c:v>58252.61086637299</c:v>
                </c:pt>
                <c:pt idx="59">
                  <c:v>58252.14684287813</c:v>
                </c:pt>
                <c:pt idx="60">
                  <c:v>58217.621145374447</c:v>
                </c:pt>
                <c:pt idx="61">
                  <c:v>58149.033773861978</c:v>
                </c:pt>
                <c:pt idx="62">
                  <c:v>58046.384728340679</c:v>
                </c:pt>
                <c:pt idx="63">
                  <c:v>57909.674008810587</c:v>
                </c:pt>
                <c:pt idx="64">
                  <c:v>57738.901615271665</c:v>
                </c:pt>
                <c:pt idx="65">
                  <c:v>57534.067547723935</c:v>
                </c:pt>
                <c:pt idx="66">
                  <c:v>57295.171806167411</c:v>
                </c:pt>
                <c:pt idx="67">
                  <c:v>57022.214390602057</c:v>
                </c:pt>
                <c:pt idx="68">
                  <c:v>56715.19530102791</c:v>
                </c:pt>
                <c:pt idx="69">
                  <c:v>56374.114537444941</c:v>
                </c:pt>
                <c:pt idx="70">
                  <c:v>55998.97209985317</c:v>
                </c:pt>
                <c:pt idx="71">
                  <c:v>55589.767988252577</c:v>
                </c:pt>
                <c:pt idx="72">
                  <c:v>55146.502202643183</c:v>
                </c:pt>
                <c:pt idx="73">
                  <c:v>54669.174743024974</c:v>
                </c:pt>
                <c:pt idx="74">
                  <c:v>54157.785609397943</c:v>
                </c:pt>
                <c:pt idx="75">
                  <c:v>53612.334801762125</c:v>
                </c:pt>
                <c:pt idx="76">
                  <c:v>53032.822320117477</c:v>
                </c:pt>
                <c:pt idx="77">
                  <c:v>52419.248164464036</c:v>
                </c:pt>
                <c:pt idx="78">
                  <c:v>51771.612334801772</c:v>
                </c:pt>
                <c:pt idx="79">
                  <c:v>51089.914831130707</c:v>
                </c:pt>
                <c:pt idx="80">
                  <c:v>50374.155653450813</c:v>
                </c:pt>
                <c:pt idx="81">
                  <c:v>49624.334801762117</c:v>
                </c:pt>
                <c:pt idx="82">
                  <c:v>48840.452276064621</c:v>
                </c:pt>
                <c:pt idx="83">
                  <c:v>48022.508076358303</c:v>
                </c:pt>
                <c:pt idx="84">
                  <c:v>47170.502202643183</c:v>
                </c:pt>
                <c:pt idx="85">
                  <c:v>46284.434654919241</c:v>
                </c:pt>
                <c:pt idx="86">
                  <c:v>45364.305433186506</c:v>
                </c:pt>
                <c:pt idx="87">
                  <c:v>44410.114537444941</c:v>
                </c:pt>
                <c:pt idx="88">
                  <c:v>43421.861967694567</c:v>
                </c:pt>
                <c:pt idx="89">
                  <c:v>42399.5477239354</c:v>
                </c:pt>
                <c:pt idx="90">
                  <c:v>41343.171806167404</c:v>
                </c:pt>
                <c:pt idx="91">
                  <c:v>40252.734214390613</c:v>
                </c:pt>
                <c:pt idx="92">
                  <c:v>39128.234948605001</c:v>
                </c:pt>
                <c:pt idx="93">
                  <c:v>37969.674008810594</c:v>
                </c:pt>
                <c:pt idx="94">
                  <c:v>36777.051395007351</c:v>
                </c:pt>
                <c:pt idx="95">
                  <c:v>35550.367107195321</c:v>
                </c:pt>
                <c:pt idx="96">
                  <c:v>34289.621145374462</c:v>
                </c:pt>
                <c:pt idx="97">
                  <c:v>32994.813509544787</c:v>
                </c:pt>
                <c:pt idx="98">
                  <c:v>31665.94419970633</c:v>
                </c:pt>
                <c:pt idx="99">
                  <c:v>30303.013215859039</c:v>
                </c:pt>
                <c:pt idx="100">
                  <c:v>28906.020558002958</c:v>
                </c:pt>
                <c:pt idx="101">
                  <c:v>27474.966226138044</c:v>
                </c:pt>
                <c:pt idx="102">
                  <c:v>26009.850220264339</c:v>
                </c:pt>
                <c:pt idx="103">
                  <c:v>24510.672540381805</c:v>
                </c:pt>
                <c:pt idx="104">
                  <c:v>22977.433186490482</c:v>
                </c:pt>
                <c:pt idx="105">
                  <c:v>21410.132158590324</c:v>
                </c:pt>
                <c:pt idx="106">
                  <c:v>19808.769456681359</c:v>
                </c:pt>
                <c:pt idx="107">
                  <c:v>18173.345080763604</c:v>
                </c:pt>
                <c:pt idx="108">
                  <c:v>16503.859030837015</c:v>
                </c:pt>
                <c:pt idx="109">
                  <c:v>14800.31130690164</c:v>
                </c:pt>
                <c:pt idx="110">
                  <c:v>13062.701908957428</c:v>
                </c:pt>
                <c:pt idx="111">
                  <c:v>11291.030837004433</c:v>
                </c:pt>
                <c:pt idx="112">
                  <c:v>9485.2980910426013</c:v>
                </c:pt>
                <c:pt idx="113">
                  <c:v>7645.5036710719587</c:v>
                </c:pt>
                <c:pt idx="114">
                  <c:v>5771.6475770925317</c:v>
                </c:pt>
                <c:pt idx="115">
                  <c:v>3863.729809104268</c:v>
                </c:pt>
                <c:pt idx="116">
                  <c:v>1921.75036710722</c:v>
                </c:pt>
                <c:pt idx="117">
                  <c:v>-54.290748898665015</c:v>
                </c:pt>
                <c:pt idx="118">
                  <c:v>-2064.3935389133339</c:v>
                </c:pt>
                <c:pt idx="119">
                  <c:v>-4108.5580029368402</c:v>
                </c:pt>
                <c:pt idx="120">
                  <c:v>-6186.7841409691573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B0-4CE4-B267-8AB438AE6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D-4A14-8FD9-DD0DC64A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'4.MaxTrMaxTP'!$M$11</c:f>
          <c:strCache>
            <c:ptCount val="1"/>
            <c:pt idx="0">
              <c:v>TR &amp; TC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'4.MaxTrMaxTP'!$C$18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'4.MaxTrMaxTP'!$A$19:$A$139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'4.MaxTrMaxTP'!$C$19:$C$139</c:f>
              <c:numCache>
                <c:formatCode>0.00</c:formatCode>
                <c:ptCount val="121"/>
                <c:pt idx="0" formatCode="General">
                  <c:v>0</c:v>
                </c:pt>
                <c:pt idx="1">
                  <c:v>1975.1130690161526</c:v>
                </c:pt>
                <c:pt idx="2">
                  <c:v>3916.1644640234949</c:v>
                </c:pt>
                <c:pt idx="3">
                  <c:v>5823.1541850220265</c:v>
                </c:pt>
                <c:pt idx="4">
                  <c:v>7696.0822320117477</c:v>
                </c:pt>
                <c:pt idx="5">
                  <c:v>9534.9486049926581</c:v>
                </c:pt>
                <c:pt idx="6">
                  <c:v>11339.753303964759</c:v>
                </c:pt>
                <c:pt idx="7">
                  <c:v>13110.496328928048</c:v>
                </c:pt>
                <c:pt idx="8">
                  <c:v>14847.177679882527</c:v>
                </c:pt>
                <c:pt idx="9">
                  <c:v>16549.797356828196</c:v>
                </c:pt>
                <c:pt idx="10">
                  <c:v>18218.35535976505</c:v>
                </c:pt>
                <c:pt idx="11">
                  <c:v>19852.851688693099</c:v>
                </c:pt>
                <c:pt idx="12">
                  <c:v>21453.286343612333</c:v>
                </c:pt>
                <c:pt idx="13">
                  <c:v>23019.659324522763</c:v>
                </c:pt>
                <c:pt idx="14">
                  <c:v>24551.970631424374</c:v>
                </c:pt>
                <c:pt idx="15">
                  <c:v>26050.22026431718</c:v>
                </c:pt>
                <c:pt idx="16">
                  <c:v>27514.408223201175</c:v>
                </c:pt>
                <c:pt idx="17">
                  <c:v>28944.534508076362</c:v>
                </c:pt>
                <c:pt idx="18">
                  <c:v>30340.599118942733</c:v>
                </c:pt>
                <c:pt idx="19">
                  <c:v>31702.602055800293</c:v>
                </c:pt>
                <c:pt idx="20">
                  <c:v>33030.543318649048</c:v>
                </c:pt>
                <c:pt idx="21">
                  <c:v>34324.422907488988</c:v>
                </c:pt>
                <c:pt idx="22">
                  <c:v>35584.24082232012</c:v>
                </c:pt>
                <c:pt idx="23">
                  <c:v>36809.997063142437</c:v>
                </c:pt>
                <c:pt idx="24">
                  <c:v>38001.691629955945</c:v>
                </c:pt>
                <c:pt idx="25">
                  <c:v>39159.324522760646</c:v>
                </c:pt>
                <c:pt idx="26">
                  <c:v>40282.895741556538</c:v>
                </c:pt>
                <c:pt idx="27">
                  <c:v>41372.405286343615</c:v>
                </c:pt>
                <c:pt idx="28">
                  <c:v>42427.853157121877</c:v>
                </c:pt>
                <c:pt idx="29">
                  <c:v>43449.239353891338</c:v>
                </c:pt>
                <c:pt idx="30">
                  <c:v>44436.563876651984</c:v>
                </c:pt>
                <c:pt idx="31">
                  <c:v>45389.826725403822</c:v>
                </c:pt>
                <c:pt idx="32">
                  <c:v>46309.027900146844</c:v>
                </c:pt>
                <c:pt idx="33">
                  <c:v>47194.167400881059</c:v>
                </c:pt>
                <c:pt idx="34">
                  <c:v>48045.245227606465</c:v>
                </c:pt>
                <c:pt idx="35">
                  <c:v>48862.261380323063</c:v>
                </c:pt>
                <c:pt idx="36">
                  <c:v>49645.215859030839</c:v>
                </c:pt>
                <c:pt idx="37">
                  <c:v>50394.108663729807</c:v>
                </c:pt>
                <c:pt idx="38">
                  <c:v>51108.939794419966</c:v>
                </c:pt>
                <c:pt idx="39">
                  <c:v>51789.709251101325</c:v>
                </c:pt>
                <c:pt idx="40">
                  <c:v>52436.417033773869</c:v>
                </c:pt>
                <c:pt idx="41">
                  <c:v>53049.063142437597</c:v>
                </c:pt>
                <c:pt idx="42">
                  <c:v>53627.64757709251</c:v>
                </c:pt>
                <c:pt idx="43">
                  <c:v>54172.170337738622</c:v>
                </c:pt>
                <c:pt idx="44">
                  <c:v>54682.631424375919</c:v>
                </c:pt>
                <c:pt idx="45">
                  <c:v>55159.030837004408</c:v>
                </c:pt>
                <c:pt idx="46">
                  <c:v>55601.368575624081</c:v>
                </c:pt>
                <c:pt idx="47">
                  <c:v>56009.644640234947</c:v>
                </c:pt>
                <c:pt idx="48">
                  <c:v>56383.859030837004</c:v>
                </c:pt>
                <c:pt idx="49">
                  <c:v>56724.011747430261</c:v>
                </c:pt>
                <c:pt idx="50">
                  <c:v>57030.102790014687</c:v>
                </c:pt>
                <c:pt idx="51">
                  <c:v>57302.132158590306</c:v>
                </c:pt>
                <c:pt idx="52">
                  <c:v>57540.099853157131</c:v>
                </c:pt>
                <c:pt idx="53">
                  <c:v>57744.005873715127</c:v>
                </c:pt>
                <c:pt idx="54">
                  <c:v>57913.850220264329</c:v>
                </c:pt>
                <c:pt idx="55">
                  <c:v>58049.632892804701</c:v>
                </c:pt>
                <c:pt idx="56">
                  <c:v>58151.353891336272</c:v>
                </c:pt>
                <c:pt idx="57">
                  <c:v>58219.013215859035</c:v>
                </c:pt>
                <c:pt idx="58">
                  <c:v>58252.61086637299</c:v>
                </c:pt>
                <c:pt idx="59">
                  <c:v>58252.14684287813</c:v>
                </c:pt>
                <c:pt idx="60">
                  <c:v>58217.621145374447</c:v>
                </c:pt>
                <c:pt idx="61">
                  <c:v>58149.033773861978</c:v>
                </c:pt>
                <c:pt idx="62">
                  <c:v>58046.384728340679</c:v>
                </c:pt>
                <c:pt idx="63">
                  <c:v>57909.674008810587</c:v>
                </c:pt>
                <c:pt idx="64">
                  <c:v>57738.901615271665</c:v>
                </c:pt>
                <c:pt idx="65">
                  <c:v>57534.067547723935</c:v>
                </c:pt>
                <c:pt idx="66">
                  <c:v>57295.171806167411</c:v>
                </c:pt>
                <c:pt idx="67">
                  <c:v>57022.214390602057</c:v>
                </c:pt>
                <c:pt idx="68">
                  <c:v>56715.19530102791</c:v>
                </c:pt>
                <c:pt idx="69">
                  <c:v>56374.114537444941</c:v>
                </c:pt>
                <c:pt idx="70">
                  <c:v>55998.97209985317</c:v>
                </c:pt>
                <c:pt idx="71">
                  <c:v>55589.767988252577</c:v>
                </c:pt>
                <c:pt idx="72">
                  <c:v>55146.502202643183</c:v>
                </c:pt>
                <c:pt idx="73">
                  <c:v>54669.174743024974</c:v>
                </c:pt>
                <c:pt idx="74">
                  <c:v>54157.785609397943</c:v>
                </c:pt>
                <c:pt idx="75">
                  <c:v>53612.334801762125</c:v>
                </c:pt>
                <c:pt idx="76">
                  <c:v>53032.822320117477</c:v>
                </c:pt>
                <c:pt idx="77">
                  <c:v>52419.248164464036</c:v>
                </c:pt>
                <c:pt idx="78">
                  <c:v>51771.612334801772</c:v>
                </c:pt>
                <c:pt idx="79">
                  <c:v>51089.914831130707</c:v>
                </c:pt>
                <c:pt idx="80">
                  <c:v>50374.155653450813</c:v>
                </c:pt>
                <c:pt idx="81">
                  <c:v>49624.334801762117</c:v>
                </c:pt>
                <c:pt idx="82">
                  <c:v>48840.452276064621</c:v>
                </c:pt>
                <c:pt idx="83">
                  <c:v>48022.508076358303</c:v>
                </c:pt>
                <c:pt idx="84">
                  <c:v>47170.502202643183</c:v>
                </c:pt>
                <c:pt idx="85">
                  <c:v>46284.434654919241</c:v>
                </c:pt>
                <c:pt idx="86">
                  <c:v>45364.305433186506</c:v>
                </c:pt>
                <c:pt idx="87">
                  <c:v>44410.114537444941</c:v>
                </c:pt>
                <c:pt idx="88">
                  <c:v>43421.861967694567</c:v>
                </c:pt>
                <c:pt idx="89">
                  <c:v>42399.5477239354</c:v>
                </c:pt>
                <c:pt idx="90">
                  <c:v>41343.171806167404</c:v>
                </c:pt>
                <c:pt idx="91">
                  <c:v>40252.734214390613</c:v>
                </c:pt>
                <c:pt idx="92">
                  <c:v>39128.234948605001</c:v>
                </c:pt>
                <c:pt idx="93">
                  <c:v>37969.674008810594</c:v>
                </c:pt>
                <c:pt idx="94">
                  <c:v>36777.051395007351</c:v>
                </c:pt>
                <c:pt idx="95">
                  <c:v>35550.367107195321</c:v>
                </c:pt>
                <c:pt idx="96">
                  <c:v>34289.621145374462</c:v>
                </c:pt>
                <c:pt idx="97">
                  <c:v>32994.813509544787</c:v>
                </c:pt>
                <c:pt idx="98">
                  <c:v>31665.94419970633</c:v>
                </c:pt>
                <c:pt idx="99">
                  <c:v>30303.013215859039</c:v>
                </c:pt>
                <c:pt idx="100">
                  <c:v>28906.020558002958</c:v>
                </c:pt>
                <c:pt idx="101">
                  <c:v>27474.966226138044</c:v>
                </c:pt>
                <c:pt idx="102">
                  <c:v>26009.850220264339</c:v>
                </c:pt>
                <c:pt idx="103">
                  <c:v>24510.672540381805</c:v>
                </c:pt>
                <c:pt idx="104">
                  <c:v>22977.433186490482</c:v>
                </c:pt>
                <c:pt idx="105">
                  <c:v>21410.132158590324</c:v>
                </c:pt>
                <c:pt idx="106">
                  <c:v>19808.769456681359</c:v>
                </c:pt>
                <c:pt idx="107">
                  <c:v>18173.345080763604</c:v>
                </c:pt>
                <c:pt idx="108">
                  <c:v>16503.859030837015</c:v>
                </c:pt>
                <c:pt idx="109">
                  <c:v>14800.31130690164</c:v>
                </c:pt>
                <c:pt idx="110">
                  <c:v>13062.701908957428</c:v>
                </c:pt>
                <c:pt idx="111">
                  <c:v>11291.030837004433</c:v>
                </c:pt>
                <c:pt idx="112">
                  <c:v>9485.2980910426013</c:v>
                </c:pt>
                <c:pt idx="113">
                  <c:v>7645.5036710719587</c:v>
                </c:pt>
                <c:pt idx="114">
                  <c:v>5771.6475770925317</c:v>
                </c:pt>
                <c:pt idx="115">
                  <c:v>3863.729809104268</c:v>
                </c:pt>
                <c:pt idx="116">
                  <c:v>1921.75036710722</c:v>
                </c:pt>
                <c:pt idx="117">
                  <c:v>-54.290748898665015</c:v>
                </c:pt>
                <c:pt idx="118">
                  <c:v>-2064.3935389133339</c:v>
                </c:pt>
                <c:pt idx="119">
                  <c:v>-4108.5580029368402</c:v>
                </c:pt>
                <c:pt idx="120">
                  <c:v>-6186.7841409691573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C3-4392-A493-5FF5933E89CC}"/>
            </c:ext>
          </c:extLst>
        </c:ser>
        <c:ser>
          <c:idx val="1"/>
          <c:order val="1"/>
          <c:tx>
            <c:strRef>
              <c:f>'4.MaxTrMaxTP'!$F$18</c:f>
              <c:strCache>
                <c:ptCount val="1"/>
                <c:pt idx="0">
                  <c:v>TC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'4.MaxTrMaxTP'!$A$19:$A$139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'4.MaxTrMaxTP'!$F$19:$F$139</c:f>
              <c:numCache>
                <c:formatCode>General</c:formatCode>
                <c:ptCount val="121"/>
                <c:pt idx="0">
                  <c:v>13016.578560939795</c:v>
                </c:pt>
                <c:pt idx="1">
                  <c:v>13315.168869309839</c:v>
                </c:pt>
                <c:pt idx="2">
                  <c:v>13613.759177679884</c:v>
                </c:pt>
                <c:pt idx="3">
                  <c:v>13912.349486049927</c:v>
                </c:pt>
                <c:pt idx="4">
                  <c:v>14210.939794419972</c:v>
                </c:pt>
                <c:pt idx="5">
                  <c:v>14509.530102790015</c:v>
                </c:pt>
                <c:pt idx="6">
                  <c:v>14808.12041116006</c:v>
                </c:pt>
                <c:pt idx="7">
                  <c:v>15106.710719530103</c:v>
                </c:pt>
                <c:pt idx="8">
                  <c:v>15405.301027900148</c:v>
                </c:pt>
                <c:pt idx="9">
                  <c:v>15703.891336270191</c:v>
                </c:pt>
                <c:pt idx="10">
                  <c:v>16002.481644640236</c:v>
                </c:pt>
                <c:pt idx="11">
                  <c:v>16301.07195301028</c:v>
                </c:pt>
                <c:pt idx="12">
                  <c:v>16599.662261380323</c:v>
                </c:pt>
                <c:pt idx="13">
                  <c:v>16898.252569750366</c:v>
                </c:pt>
                <c:pt idx="14">
                  <c:v>17196.842878120413</c:v>
                </c:pt>
                <c:pt idx="15">
                  <c:v>17495.433186490456</c:v>
                </c:pt>
                <c:pt idx="16">
                  <c:v>17794.023494860499</c:v>
                </c:pt>
                <c:pt idx="17">
                  <c:v>18092.613803230546</c:v>
                </c:pt>
                <c:pt idx="18">
                  <c:v>18391.204111600589</c:v>
                </c:pt>
                <c:pt idx="19">
                  <c:v>18689.794419970633</c:v>
                </c:pt>
                <c:pt idx="20">
                  <c:v>18988.384728340676</c:v>
                </c:pt>
                <c:pt idx="21">
                  <c:v>19286.975036710719</c:v>
                </c:pt>
                <c:pt idx="22">
                  <c:v>19585.565345080766</c:v>
                </c:pt>
                <c:pt idx="23">
                  <c:v>19884.155653450809</c:v>
                </c:pt>
                <c:pt idx="24">
                  <c:v>20182.745961820852</c:v>
                </c:pt>
                <c:pt idx="25">
                  <c:v>20481.336270190895</c:v>
                </c:pt>
                <c:pt idx="26">
                  <c:v>20779.926578560939</c:v>
                </c:pt>
                <c:pt idx="27">
                  <c:v>21078.516886930985</c:v>
                </c:pt>
                <c:pt idx="28">
                  <c:v>21377.107195301029</c:v>
                </c:pt>
                <c:pt idx="29">
                  <c:v>21675.697503671072</c:v>
                </c:pt>
                <c:pt idx="30">
                  <c:v>21974.287812041119</c:v>
                </c:pt>
                <c:pt idx="31">
                  <c:v>22272.878120411162</c:v>
                </c:pt>
                <c:pt idx="32">
                  <c:v>22571.468428781205</c:v>
                </c:pt>
                <c:pt idx="33">
                  <c:v>22870.058737151248</c:v>
                </c:pt>
                <c:pt idx="34">
                  <c:v>23168.649045521292</c:v>
                </c:pt>
                <c:pt idx="35">
                  <c:v>23467.239353891338</c:v>
                </c:pt>
                <c:pt idx="36">
                  <c:v>23765.829662261382</c:v>
                </c:pt>
                <c:pt idx="37">
                  <c:v>24064.419970631425</c:v>
                </c:pt>
                <c:pt idx="38">
                  <c:v>24363.010279001472</c:v>
                </c:pt>
                <c:pt idx="39">
                  <c:v>24661.600587371511</c:v>
                </c:pt>
                <c:pt idx="40">
                  <c:v>24960.190895741558</c:v>
                </c:pt>
                <c:pt idx="41">
                  <c:v>25258.781204111601</c:v>
                </c:pt>
                <c:pt idx="42">
                  <c:v>25557.371512481644</c:v>
                </c:pt>
                <c:pt idx="43">
                  <c:v>25855.961820851691</c:v>
                </c:pt>
                <c:pt idx="44">
                  <c:v>26154.552129221735</c:v>
                </c:pt>
                <c:pt idx="45">
                  <c:v>26453.142437591778</c:v>
                </c:pt>
                <c:pt idx="46">
                  <c:v>26751.732745961825</c:v>
                </c:pt>
                <c:pt idx="47">
                  <c:v>27050.323054331864</c:v>
                </c:pt>
                <c:pt idx="48">
                  <c:v>27348.913362701911</c:v>
                </c:pt>
                <c:pt idx="49">
                  <c:v>27647.503671071954</c:v>
                </c:pt>
                <c:pt idx="50">
                  <c:v>27946.093979441997</c:v>
                </c:pt>
                <c:pt idx="51">
                  <c:v>28244.684287812044</c:v>
                </c:pt>
                <c:pt idx="52">
                  <c:v>28543.274596182084</c:v>
                </c:pt>
                <c:pt idx="53">
                  <c:v>28841.864904552131</c:v>
                </c:pt>
                <c:pt idx="54">
                  <c:v>29140.455212922174</c:v>
                </c:pt>
                <c:pt idx="55">
                  <c:v>29439.045521292217</c:v>
                </c:pt>
                <c:pt idx="56">
                  <c:v>29737.635829662264</c:v>
                </c:pt>
                <c:pt idx="57">
                  <c:v>30036.226138032303</c:v>
                </c:pt>
                <c:pt idx="58">
                  <c:v>30334.81644640235</c:v>
                </c:pt>
                <c:pt idx="59">
                  <c:v>30633.406754772397</c:v>
                </c:pt>
                <c:pt idx="60">
                  <c:v>30931.997063142437</c:v>
                </c:pt>
                <c:pt idx="61">
                  <c:v>31230.587371512484</c:v>
                </c:pt>
                <c:pt idx="62">
                  <c:v>31529.17767988253</c:v>
                </c:pt>
                <c:pt idx="63">
                  <c:v>31827.76798825257</c:v>
                </c:pt>
                <c:pt idx="64">
                  <c:v>32126.358296622617</c:v>
                </c:pt>
                <c:pt idx="65">
                  <c:v>32424.948604992656</c:v>
                </c:pt>
                <c:pt idx="66">
                  <c:v>32723.538913362703</c:v>
                </c:pt>
                <c:pt idx="67">
                  <c:v>33022.12922173275</c:v>
                </c:pt>
                <c:pt idx="68">
                  <c:v>33320.71953010279</c:v>
                </c:pt>
                <c:pt idx="69">
                  <c:v>33619.309838472836</c:v>
                </c:pt>
                <c:pt idx="70">
                  <c:v>33917.900146842876</c:v>
                </c:pt>
                <c:pt idx="71">
                  <c:v>34216.490455212923</c:v>
                </c:pt>
                <c:pt idx="72">
                  <c:v>34515.08076358297</c:v>
                </c:pt>
                <c:pt idx="73">
                  <c:v>34813.671071953009</c:v>
                </c:pt>
                <c:pt idx="74">
                  <c:v>35112.261380323056</c:v>
                </c:pt>
                <c:pt idx="75">
                  <c:v>35410.851688693103</c:v>
                </c:pt>
                <c:pt idx="76">
                  <c:v>35709.441997063142</c:v>
                </c:pt>
                <c:pt idx="77">
                  <c:v>36008.032305433189</c:v>
                </c:pt>
                <c:pt idx="78">
                  <c:v>36306.622613803229</c:v>
                </c:pt>
                <c:pt idx="79">
                  <c:v>36605.212922173276</c:v>
                </c:pt>
                <c:pt idx="80">
                  <c:v>36903.803230543323</c:v>
                </c:pt>
                <c:pt idx="81">
                  <c:v>37202.393538913362</c:v>
                </c:pt>
                <c:pt idx="82">
                  <c:v>37500.983847283409</c:v>
                </c:pt>
                <c:pt idx="83">
                  <c:v>37799.574155653449</c:v>
                </c:pt>
                <c:pt idx="84">
                  <c:v>38098.164464023495</c:v>
                </c:pt>
                <c:pt idx="85">
                  <c:v>38396.754772393542</c:v>
                </c:pt>
                <c:pt idx="86">
                  <c:v>38695.345080763582</c:v>
                </c:pt>
                <c:pt idx="87">
                  <c:v>38993.935389133629</c:v>
                </c:pt>
                <c:pt idx="88">
                  <c:v>39292.525697503675</c:v>
                </c:pt>
                <c:pt idx="89">
                  <c:v>39591.116005873715</c:v>
                </c:pt>
                <c:pt idx="90">
                  <c:v>39889.706314243762</c:v>
                </c:pt>
                <c:pt idx="91">
                  <c:v>40188.296622613801</c:v>
                </c:pt>
                <c:pt idx="92">
                  <c:v>40486.886930983848</c:v>
                </c:pt>
                <c:pt idx="93">
                  <c:v>40785.477239353895</c:v>
                </c:pt>
                <c:pt idx="94">
                  <c:v>41084.067547723935</c:v>
                </c:pt>
                <c:pt idx="95">
                  <c:v>41382.657856093982</c:v>
                </c:pt>
                <c:pt idx="96">
                  <c:v>41681.248164464021</c:v>
                </c:pt>
                <c:pt idx="97">
                  <c:v>41979.838472834068</c:v>
                </c:pt>
                <c:pt idx="98">
                  <c:v>42278.428781204115</c:v>
                </c:pt>
                <c:pt idx="99">
                  <c:v>42577.019089574154</c:v>
                </c:pt>
                <c:pt idx="100">
                  <c:v>42875.609397944201</c:v>
                </c:pt>
                <c:pt idx="101">
                  <c:v>43174.199706314248</c:v>
                </c:pt>
                <c:pt idx="102">
                  <c:v>43472.790014684288</c:v>
                </c:pt>
                <c:pt idx="103">
                  <c:v>43771.380323054334</c:v>
                </c:pt>
                <c:pt idx="104">
                  <c:v>44069.970631424374</c:v>
                </c:pt>
                <c:pt idx="105">
                  <c:v>44368.560939794421</c:v>
                </c:pt>
                <c:pt idx="106">
                  <c:v>44667.151248164468</c:v>
                </c:pt>
                <c:pt idx="107">
                  <c:v>44965.741556534507</c:v>
                </c:pt>
                <c:pt idx="108">
                  <c:v>45264.331864904554</c:v>
                </c:pt>
                <c:pt idx="109">
                  <c:v>45562.922173274601</c:v>
                </c:pt>
                <c:pt idx="110">
                  <c:v>45861.512481644641</c:v>
                </c:pt>
                <c:pt idx="111">
                  <c:v>46160.102790014687</c:v>
                </c:pt>
                <c:pt idx="112">
                  <c:v>46458.693098384727</c:v>
                </c:pt>
                <c:pt idx="113">
                  <c:v>46757.283406754774</c:v>
                </c:pt>
                <c:pt idx="114">
                  <c:v>47055.873715124813</c:v>
                </c:pt>
                <c:pt idx="115">
                  <c:v>47354.46402349486</c:v>
                </c:pt>
                <c:pt idx="116">
                  <c:v>47653.054331864907</c:v>
                </c:pt>
                <c:pt idx="117">
                  <c:v>47951.644640234947</c:v>
                </c:pt>
                <c:pt idx="118">
                  <c:v>48250.234948604993</c:v>
                </c:pt>
                <c:pt idx="119">
                  <c:v>48548.825256975033</c:v>
                </c:pt>
                <c:pt idx="120">
                  <c:v>48847.41556534508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C3-4392-A493-5FF5933E8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'4.MaxTrMaxTP'!$N$10</c:f>
          <c:strCache>
            <c:ptCount val="1"/>
            <c:pt idx="0">
              <c:v>TP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'4.MaxTrMaxTP'!$G$18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'4.MaxTrMaxTP'!$A$19:$A$139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'4.MaxTrMaxTP'!$G$19:$G$139</c:f>
              <c:numCache>
                <c:formatCode>General</c:formatCode>
                <c:ptCount val="121"/>
                <c:pt idx="0">
                  <c:v>-13016.578560939795</c:v>
                </c:pt>
                <c:pt idx="1">
                  <c:v>-11340.055800293685</c:v>
                </c:pt>
                <c:pt idx="2">
                  <c:v>-9697.5947136563882</c:v>
                </c:pt>
                <c:pt idx="3">
                  <c:v>-8089.1953010279003</c:v>
                </c:pt>
                <c:pt idx="4">
                  <c:v>-6514.8575624082241</c:v>
                </c:pt>
                <c:pt idx="5">
                  <c:v>-4974.5814977973569</c:v>
                </c:pt>
                <c:pt idx="6">
                  <c:v>-3468.3671071953013</c:v>
                </c:pt>
                <c:pt idx="7">
                  <c:v>-1996.2143906020556</c:v>
                </c:pt>
                <c:pt idx="8">
                  <c:v>-558.12334801762154</c:v>
                </c:pt>
                <c:pt idx="9">
                  <c:v>845.90602055800446</c:v>
                </c:pt>
                <c:pt idx="10">
                  <c:v>2215.8737151248133</c:v>
                </c:pt>
                <c:pt idx="11">
                  <c:v>3551.7797356828196</c:v>
                </c:pt>
                <c:pt idx="12">
                  <c:v>4853.6240822320106</c:v>
                </c:pt>
                <c:pt idx="13">
                  <c:v>6121.4067547723971</c:v>
                </c:pt>
                <c:pt idx="14">
                  <c:v>7355.1277533039611</c:v>
                </c:pt>
                <c:pt idx="15">
                  <c:v>8554.7870778267243</c:v>
                </c:pt>
                <c:pt idx="16">
                  <c:v>9720.3847283406758</c:v>
                </c:pt>
                <c:pt idx="17">
                  <c:v>10851.920704845816</c:v>
                </c:pt>
                <c:pt idx="18">
                  <c:v>11949.395007342144</c:v>
                </c:pt>
                <c:pt idx="19">
                  <c:v>13012.80763582966</c:v>
                </c:pt>
                <c:pt idx="20">
                  <c:v>14042.158590308372</c:v>
                </c:pt>
                <c:pt idx="21">
                  <c:v>15037.447870778269</c:v>
                </c:pt>
                <c:pt idx="22">
                  <c:v>15998.675477239354</c:v>
                </c:pt>
                <c:pt idx="23">
                  <c:v>16925.841409691628</c:v>
                </c:pt>
                <c:pt idx="24">
                  <c:v>17818.945668135093</c:v>
                </c:pt>
                <c:pt idx="25">
                  <c:v>18677.98825256975</c:v>
                </c:pt>
                <c:pt idx="26">
                  <c:v>19502.9691629956</c:v>
                </c:pt>
                <c:pt idx="27">
                  <c:v>20293.88839941263</c:v>
                </c:pt>
                <c:pt idx="28">
                  <c:v>21050.745961820849</c:v>
                </c:pt>
                <c:pt idx="29">
                  <c:v>21773.541850220266</c:v>
                </c:pt>
                <c:pt idx="30">
                  <c:v>22462.276064610865</c:v>
                </c:pt>
                <c:pt idx="31">
                  <c:v>23116.94860499266</c:v>
                </c:pt>
                <c:pt idx="32">
                  <c:v>23737.559471365639</c:v>
                </c:pt>
                <c:pt idx="33">
                  <c:v>24324.10866372981</c:v>
                </c:pt>
                <c:pt idx="34">
                  <c:v>24876.596182085173</c:v>
                </c:pt>
                <c:pt idx="35">
                  <c:v>25395.022026431725</c:v>
                </c:pt>
                <c:pt idx="36">
                  <c:v>25879.386196769457</c:v>
                </c:pt>
                <c:pt idx="37">
                  <c:v>26329.688693098382</c:v>
                </c:pt>
                <c:pt idx="38">
                  <c:v>26745.929515418495</c:v>
                </c:pt>
                <c:pt idx="39">
                  <c:v>27128.108663729814</c:v>
                </c:pt>
                <c:pt idx="40">
                  <c:v>27476.226138032311</c:v>
                </c:pt>
                <c:pt idx="41">
                  <c:v>27790.281938325996</c:v>
                </c:pt>
                <c:pt idx="42">
                  <c:v>28070.276064610865</c:v>
                </c:pt>
                <c:pt idx="43">
                  <c:v>28316.208516886931</c:v>
                </c:pt>
                <c:pt idx="44">
                  <c:v>28528.079295154184</c:v>
                </c:pt>
                <c:pt idx="45">
                  <c:v>28705.88839941263</c:v>
                </c:pt>
                <c:pt idx="46">
                  <c:v>28849.635829662257</c:v>
                </c:pt>
                <c:pt idx="47">
                  <c:v>28959.321585903082</c:v>
                </c:pt>
                <c:pt idx="48">
                  <c:v>29034.945668135093</c:v>
                </c:pt>
                <c:pt idx="49">
                  <c:v>29076.508076358306</c:v>
                </c:pt>
                <c:pt idx="50">
                  <c:v>29084.00881057269</c:v>
                </c:pt>
                <c:pt idx="51">
                  <c:v>29057.447870778262</c:v>
                </c:pt>
                <c:pt idx="52">
                  <c:v>28996.825256975048</c:v>
                </c:pt>
                <c:pt idx="53">
                  <c:v>28902.140969162996</c:v>
                </c:pt>
                <c:pt idx="54">
                  <c:v>28773.395007342155</c:v>
                </c:pt>
                <c:pt idx="55">
                  <c:v>28610.587371512484</c:v>
                </c:pt>
                <c:pt idx="56">
                  <c:v>28413.718061674008</c:v>
                </c:pt>
                <c:pt idx="57">
                  <c:v>28182.787077826732</c:v>
                </c:pt>
                <c:pt idx="58">
                  <c:v>27917.79441997064</c:v>
                </c:pt>
                <c:pt idx="59">
                  <c:v>27618.740088105733</c:v>
                </c:pt>
                <c:pt idx="60">
                  <c:v>27285.624082232011</c:v>
                </c:pt>
                <c:pt idx="61">
                  <c:v>26918.446402349495</c:v>
                </c:pt>
                <c:pt idx="62">
                  <c:v>26517.207048458149</c:v>
                </c:pt>
                <c:pt idx="63">
                  <c:v>26081.906020558017</c:v>
                </c:pt>
                <c:pt idx="64">
                  <c:v>25612.543318649048</c:v>
                </c:pt>
                <c:pt idx="65">
                  <c:v>25109.118942731278</c:v>
                </c:pt>
                <c:pt idx="66">
                  <c:v>24571.632892804708</c:v>
                </c:pt>
                <c:pt idx="67">
                  <c:v>24000.085168869307</c:v>
                </c:pt>
                <c:pt idx="68">
                  <c:v>23394.475770925121</c:v>
                </c:pt>
                <c:pt idx="69">
                  <c:v>22754.804698972104</c:v>
                </c:pt>
                <c:pt idx="70">
                  <c:v>22081.071953010294</c:v>
                </c:pt>
                <c:pt idx="71">
                  <c:v>21373.277533039654</c:v>
                </c:pt>
                <c:pt idx="72">
                  <c:v>20631.421439060214</c:v>
                </c:pt>
                <c:pt idx="73">
                  <c:v>19855.503671071965</c:v>
                </c:pt>
                <c:pt idx="74">
                  <c:v>19045.524229074887</c:v>
                </c:pt>
                <c:pt idx="75">
                  <c:v>18201.483113069022</c:v>
                </c:pt>
                <c:pt idx="76">
                  <c:v>17323.380323054334</c:v>
                </c:pt>
                <c:pt idx="77">
                  <c:v>16411.215859030846</c:v>
                </c:pt>
                <c:pt idx="78">
                  <c:v>15464.989720998543</c:v>
                </c:pt>
                <c:pt idx="79">
                  <c:v>14484.701908957431</c:v>
                </c:pt>
                <c:pt idx="80">
                  <c:v>13470.35242290749</c:v>
                </c:pt>
                <c:pt idx="81">
                  <c:v>12421.941262848755</c:v>
                </c:pt>
                <c:pt idx="82">
                  <c:v>11339.468428781212</c:v>
                </c:pt>
                <c:pt idx="83">
                  <c:v>10222.933920704854</c:v>
                </c:pt>
                <c:pt idx="84">
                  <c:v>9072.337738619688</c:v>
                </c:pt>
                <c:pt idx="85">
                  <c:v>7887.6798825256992</c:v>
                </c:pt>
                <c:pt idx="86">
                  <c:v>6668.9603524229242</c:v>
                </c:pt>
                <c:pt idx="87">
                  <c:v>5416.179148311312</c:v>
                </c:pt>
                <c:pt idx="88">
                  <c:v>4129.3362701908918</c:v>
                </c:pt>
                <c:pt idx="89">
                  <c:v>2808.4317180616854</c:v>
                </c:pt>
                <c:pt idx="90">
                  <c:v>1453.4654919236418</c:v>
                </c:pt>
                <c:pt idx="91">
                  <c:v>64.437591776812042</c:v>
                </c:pt>
                <c:pt idx="92">
                  <c:v>-1358.6519823788476</c:v>
                </c:pt>
                <c:pt idx="93">
                  <c:v>-2815.8032305433007</c:v>
                </c:pt>
                <c:pt idx="94">
                  <c:v>-4307.0161527165837</c:v>
                </c:pt>
                <c:pt idx="95">
                  <c:v>-5832.2907488986602</c:v>
                </c:pt>
                <c:pt idx="96">
                  <c:v>-7391.6270190895593</c:v>
                </c:pt>
                <c:pt idx="97">
                  <c:v>-8985.024963289281</c:v>
                </c:pt>
                <c:pt idx="98">
                  <c:v>-10612.484581497785</c:v>
                </c:pt>
                <c:pt idx="99">
                  <c:v>-12274.005873715116</c:v>
                </c:pt>
                <c:pt idx="100">
                  <c:v>-13969.588839941243</c:v>
                </c:pt>
                <c:pt idx="101">
                  <c:v>-15699.233480176204</c:v>
                </c:pt>
                <c:pt idx="102">
                  <c:v>-17462.939794419948</c:v>
                </c:pt>
                <c:pt idx="103">
                  <c:v>-19260.707782672529</c:v>
                </c:pt>
                <c:pt idx="104">
                  <c:v>-21092.537444933892</c:v>
                </c:pt>
                <c:pt idx="105">
                  <c:v>-22958.428781204097</c:v>
                </c:pt>
                <c:pt idx="106">
                  <c:v>-24858.381791483109</c:v>
                </c:pt>
                <c:pt idx="107">
                  <c:v>-26792.396475770904</c:v>
                </c:pt>
                <c:pt idx="108">
                  <c:v>-28760.472834067539</c:v>
                </c:pt>
                <c:pt idx="109">
                  <c:v>-30762.610866372961</c:v>
                </c:pt>
                <c:pt idx="110">
                  <c:v>-32798.810572687216</c:v>
                </c:pt>
                <c:pt idx="111">
                  <c:v>-34869.071953010251</c:v>
                </c:pt>
                <c:pt idx="112">
                  <c:v>-36973.395007342129</c:v>
                </c:pt>
                <c:pt idx="113">
                  <c:v>-39111.779735682816</c:v>
                </c:pt>
                <c:pt idx="114">
                  <c:v>-41284.226138032282</c:v>
                </c:pt>
                <c:pt idx="115">
                  <c:v>-43490.734214390592</c:v>
                </c:pt>
                <c:pt idx="116">
                  <c:v>-45731.303964757688</c:v>
                </c:pt>
                <c:pt idx="117">
                  <c:v>-48005.935389133614</c:v>
                </c:pt>
                <c:pt idx="118">
                  <c:v>-50314.628487518326</c:v>
                </c:pt>
                <c:pt idx="119">
                  <c:v>-52657.383259911876</c:v>
                </c:pt>
                <c:pt idx="120">
                  <c:v>-55034.199706314233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A3-411E-94EB-7707502F3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'5.RegreSSE&amp;SST'!$P$2</c:f>
          <c:strCache>
            <c:ptCount val="1"/>
            <c:pt idx="0">
              <c:v>Regression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'5.RegreSSE&amp;SST'!$B$2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'5.RegreSSE&amp;SST'!$A$3:$A$52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'5.RegreSSE&amp;SST'!$B$3:$B$52</c:f>
              <c:numCache>
                <c:formatCode>General</c:formatCode>
                <c:ptCount val="50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39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50</c:v>
                </c:pt>
                <c:pt idx="15">
                  <c:v>51</c:v>
                </c:pt>
                <c:pt idx="16">
                  <c:v>51</c:v>
                </c:pt>
                <c:pt idx="17">
                  <c:v>53</c:v>
                </c:pt>
                <c:pt idx="18">
                  <c:v>56</c:v>
                </c:pt>
                <c:pt idx="19">
                  <c:v>61</c:v>
                </c:pt>
                <c:pt idx="20">
                  <c:v>62</c:v>
                </c:pt>
                <c:pt idx="21">
                  <c:v>65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72</c:v>
                </c:pt>
                <c:pt idx="26">
                  <c:v>82</c:v>
                </c:pt>
                <c:pt idx="2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D-46A1-AEAF-8263DD15336B}"/>
            </c:ext>
          </c:extLst>
        </c:ser>
        <c:ser>
          <c:idx val="1"/>
          <c:order val="1"/>
          <c:tx>
            <c:strRef>
              <c:f>'5.RegreSSE&amp;SST'!$C$2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'5.RegreSSE&amp;SST'!$A$3:$A$52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'5.RegreSSE&amp;SST'!$C$3:$C$52</c:f>
              <c:numCache>
                <c:formatCode>0.0</c:formatCode>
                <c:ptCount val="50"/>
                <c:pt idx="0">
                  <c:v>25.113300492610847</c:v>
                </c:pt>
                <c:pt idx="1">
                  <c:v>27.059934318555015</c:v>
                </c:pt>
                <c:pt idx="2">
                  <c:v>29.006568144499187</c:v>
                </c:pt>
                <c:pt idx="3">
                  <c:v>30.953201970443356</c:v>
                </c:pt>
                <c:pt idx="4">
                  <c:v>32.899835796387528</c:v>
                </c:pt>
                <c:pt idx="5">
                  <c:v>34.846469622331696</c:v>
                </c:pt>
                <c:pt idx="6">
                  <c:v>36.793103448275872</c:v>
                </c:pt>
                <c:pt idx="7">
                  <c:v>38.73973727422004</c:v>
                </c:pt>
                <c:pt idx="8">
                  <c:v>40.686371100164209</c:v>
                </c:pt>
                <c:pt idx="9">
                  <c:v>42.633004926108384</c:v>
                </c:pt>
                <c:pt idx="10">
                  <c:v>44.579638752052546</c:v>
                </c:pt>
                <c:pt idx="11">
                  <c:v>46.526272577996721</c:v>
                </c:pt>
                <c:pt idx="12">
                  <c:v>48.47290640394089</c:v>
                </c:pt>
                <c:pt idx="13">
                  <c:v>50.419540229885058</c:v>
                </c:pt>
                <c:pt idx="14">
                  <c:v>52.366174055829234</c:v>
                </c:pt>
                <c:pt idx="15">
                  <c:v>54.312807881773402</c:v>
                </c:pt>
                <c:pt idx="16">
                  <c:v>56.259441707717571</c:v>
                </c:pt>
                <c:pt idx="17">
                  <c:v>58.206075533661746</c:v>
                </c:pt>
                <c:pt idx="18">
                  <c:v>60.152709359605907</c:v>
                </c:pt>
                <c:pt idx="19">
                  <c:v>62.099343185550083</c:v>
                </c:pt>
                <c:pt idx="20">
                  <c:v>64.045977011494259</c:v>
                </c:pt>
                <c:pt idx="21">
                  <c:v>65.99261083743842</c:v>
                </c:pt>
                <c:pt idx="22">
                  <c:v>67.939244663382595</c:v>
                </c:pt>
                <c:pt idx="23">
                  <c:v>69.885878489326771</c:v>
                </c:pt>
                <c:pt idx="24">
                  <c:v>71.832512315270932</c:v>
                </c:pt>
                <c:pt idx="25">
                  <c:v>73.779146141215108</c:v>
                </c:pt>
                <c:pt idx="26">
                  <c:v>75.725779967159284</c:v>
                </c:pt>
                <c:pt idx="27">
                  <c:v>77.672413793103445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D-46A1-AEAF-8263DD15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31288"/>
        <c:axId val="663231680"/>
      </c:scatterChart>
      <c:valAx>
        <c:axId val="663231288"/>
        <c:scaling>
          <c:orientation val="minMax"/>
          <c:max val="2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1680"/>
        <c:crosses val="autoZero"/>
        <c:crossBetween val="midCat"/>
      </c:valAx>
      <c:valAx>
        <c:axId val="66323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1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'3.AllFormula&amp;Solver'!#REF!</c:f>
          <c:strCache>
            <c:ptCount val="1"/>
            <c:pt idx="0">
              <c:v>#REF!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'6.AllRegFormula&amp;Solver'!$B$1</c:f>
              <c:strCache>
                <c:ptCount val="1"/>
                <c:pt idx="0">
                  <c:v>At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'6.AllRegFormula&amp;Solver'!$A$2:$A$29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'6.AllRegFormula&amp;Solver'!$B$2:$B$29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D-4CC8-82AF-D4DE5D29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scatterChart>
        <c:scatterStyle val="smoothMarker"/>
        <c:varyColors val="0"/>
        <c:ser>
          <c:idx val="1"/>
          <c:order val="1"/>
          <c:tx>
            <c:strRef>
              <c:f>'6.AllRegFormula&amp;Solver'!$C$1</c:f>
              <c:strCache>
                <c:ptCount val="1"/>
                <c:pt idx="0">
                  <c:v>Ft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'6.AllRegFormula&amp;Solver'!$A$2:$A$31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'6.AllRegFormula&amp;Solver'!$C$2:$C$31</c:f>
              <c:numCache>
                <c:formatCode>General</c:formatCode>
                <c:ptCount val="30"/>
                <c:pt idx="0">
                  <c:v>24.450738915028023</c:v>
                </c:pt>
                <c:pt idx="1">
                  <c:v>26.242747671121542</c:v>
                </c:pt>
                <c:pt idx="2">
                  <c:v>28.034756427215058</c:v>
                </c:pt>
                <c:pt idx="3">
                  <c:v>29.826765183308577</c:v>
                </c:pt>
                <c:pt idx="4">
                  <c:v>31.618773939402097</c:v>
                </c:pt>
                <c:pt idx="5">
                  <c:v>33.410782695495612</c:v>
                </c:pt>
                <c:pt idx="6">
                  <c:v>35.202791451589135</c:v>
                </c:pt>
                <c:pt idx="7">
                  <c:v>36.994800207682651</c:v>
                </c:pt>
                <c:pt idx="8">
                  <c:v>38.786808963776167</c:v>
                </c:pt>
                <c:pt idx="9">
                  <c:v>40.57881771986969</c:v>
                </c:pt>
                <c:pt idx="10">
                  <c:v>42.370826475963213</c:v>
                </c:pt>
                <c:pt idx="11">
                  <c:v>44.162835232056729</c:v>
                </c:pt>
                <c:pt idx="12">
                  <c:v>45.954843988150245</c:v>
                </c:pt>
                <c:pt idx="13">
                  <c:v>47.746852744243768</c:v>
                </c:pt>
                <c:pt idx="14">
                  <c:v>49.538861500337283</c:v>
                </c:pt>
                <c:pt idx="15">
                  <c:v>51.330870256430799</c:v>
                </c:pt>
                <c:pt idx="16">
                  <c:v>53.122879012524322</c:v>
                </c:pt>
                <c:pt idx="17">
                  <c:v>54.914887768617838</c:v>
                </c:pt>
                <c:pt idx="18">
                  <c:v>56.706896524711361</c:v>
                </c:pt>
                <c:pt idx="19">
                  <c:v>58.498905280804877</c:v>
                </c:pt>
                <c:pt idx="20">
                  <c:v>60.2909140368984</c:v>
                </c:pt>
                <c:pt idx="21">
                  <c:v>62.082922792991916</c:v>
                </c:pt>
                <c:pt idx="22">
                  <c:v>63.874931549085431</c:v>
                </c:pt>
                <c:pt idx="23">
                  <c:v>65.666940305178954</c:v>
                </c:pt>
                <c:pt idx="24">
                  <c:v>67.458949061272477</c:v>
                </c:pt>
                <c:pt idx="25">
                  <c:v>69.250957817365986</c:v>
                </c:pt>
                <c:pt idx="26">
                  <c:v>71.042966573459509</c:v>
                </c:pt>
                <c:pt idx="27">
                  <c:v>72.834975329553032</c:v>
                </c:pt>
                <c:pt idx="28">
                  <c:v>74.626984085646541</c:v>
                </c:pt>
                <c:pt idx="29">
                  <c:v>76.418992841740064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4D-4CC8-82AF-D4DE5D299DF8}"/>
            </c:ext>
          </c:extLst>
        </c:ser>
        <c:ser>
          <c:idx val="2"/>
          <c:order val="2"/>
          <c:tx>
            <c:strRef>
              <c:f>'6.AllRegFormula&amp;Solver'!$F$2:$F$29</c:f>
              <c:strCache>
                <c:ptCount val="28"/>
                <c:pt idx="0">
                  <c:v>48.64285714</c:v>
                </c:pt>
                <c:pt idx="1">
                  <c:v>48.64285714</c:v>
                </c:pt>
                <c:pt idx="2">
                  <c:v>48.64285714</c:v>
                </c:pt>
                <c:pt idx="3">
                  <c:v>48.64285714</c:v>
                </c:pt>
                <c:pt idx="4">
                  <c:v>48.64285714</c:v>
                </c:pt>
                <c:pt idx="5">
                  <c:v>48.64285714</c:v>
                </c:pt>
                <c:pt idx="6">
                  <c:v>48.64285714</c:v>
                </c:pt>
                <c:pt idx="7">
                  <c:v>48.64285714</c:v>
                </c:pt>
                <c:pt idx="8">
                  <c:v>48.64285714</c:v>
                </c:pt>
                <c:pt idx="9">
                  <c:v>48.64285714</c:v>
                </c:pt>
                <c:pt idx="10">
                  <c:v>48.64285714</c:v>
                </c:pt>
                <c:pt idx="11">
                  <c:v>48.64285714</c:v>
                </c:pt>
                <c:pt idx="12">
                  <c:v>48.64285714</c:v>
                </c:pt>
                <c:pt idx="13">
                  <c:v>48.64285714</c:v>
                </c:pt>
                <c:pt idx="14">
                  <c:v>48.64285714</c:v>
                </c:pt>
                <c:pt idx="15">
                  <c:v>48.64285714</c:v>
                </c:pt>
                <c:pt idx="16">
                  <c:v>48.64285714</c:v>
                </c:pt>
                <c:pt idx="17">
                  <c:v>48.64285714</c:v>
                </c:pt>
                <c:pt idx="18">
                  <c:v>48.64285714</c:v>
                </c:pt>
                <c:pt idx="19">
                  <c:v>48.64285714</c:v>
                </c:pt>
                <c:pt idx="20">
                  <c:v>48.64285714</c:v>
                </c:pt>
                <c:pt idx="21">
                  <c:v>48.64285714</c:v>
                </c:pt>
                <c:pt idx="22">
                  <c:v>48.64285714</c:v>
                </c:pt>
                <c:pt idx="23">
                  <c:v>48.64285714</c:v>
                </c:pt>
                <c:pt idx="24">
                  <c:v>48.64285714</c:v>
                </c:pt>
                <c:pt idx="25">
                  <c:v>48.64285714</c:v>
                </c:pt>
                <c:pt idx="26">
                  <c:v>48.64285714</c:v>
                </c:pt>
                <c:pt idx="27">
                  <c:v>48.64285714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'6.AllRegFormula&amp;Solver'!$A$2:$A$29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'6.AllRegFormula&amp;Solver'!$F$2:$F$29</c:f>
              <c:numCache>
                <c:formatCode>General</c:formatCode>
                <c:ptCount val="28"/>
                <c:pt idx="0">
                  <c:v>48.642857142857146</c:v>
                </c:pt>
                <c:pt idx="1">
                  <c:v>48.642857142857146</c:v>
                </c:pt>
                <c:pt idx="2">
                  <c:v>48.642857142857146</c:v>
                </c:pt>
                <c:pt idx="3">
                  <c:v>48.642857142857146</c:v>
                </c:pt>
                <c:pt idx="4">
                  <c:v>48.642857142857146</c:v>
                </c:pt>
                <c:pt idx="5">
                  <c:v>48.642857142857146</c:v>
                </c:pt>
                <c:pt idx="6">
                  <c:v>48.642857142857146</c:v>
                </c:pt>
                <c:pt idx="7">
                  <c:v>48.642857142857146</c:v>
                </c:pt>
                <c:pt idx="8">
                  <c:v>48.642857142857146</c:v>
                </c:pt>
                <c:pt idx="9">
                  <c:v>48.642857142857146</c:v>
                </c:pt>
                <c:pt idx="10">
                  <c:v>48.642857142857146</c:v>
                </c:pt>
                <c:pt idx="11">
                  <c:v>48.642857142857146</c:v>
                </c:pt>
                <c:pt idx="12">
                  <c:v>48.642857142857146</c:v>
                </c:pt>
                <c:pt idx="13">
                  <c:v>48.642857142857146</c:v>
                </c:pt>
                <c:pt idx="14">
                  <c:v>48.642857142857146</c:v>
                </c:pt>
                <c:pt idx="15">
                  <c:v>48.642857142857146</c:v>
                </c:pt>
                <c:pt idx="16">
                  <c:v>48.642857142857146</c:v>
                </c:pt>
                <c:pt idx="17">
                  <c:v>48.642857142857146</c:v>
                </c:pt>
                <c:pt idx="18">
                  <c:v>48.642857142857146</c:v>
                </c:pt>
                <c:pt idx="19">
                  <c:v>48.642857142857146</c:v>
                </c:pt>
                <c:pt idx="20">
                  <c:v>48.642857142857146</c:v>
                </c:pt>
                <c:pt idx="21">
                  <c:v>48.642857142857146</c:v>
                </c:pt>
                <c:pt idx="22">
                  <c:v>48.642857142857146</c:v>
                </c:pt>
                <c:pt idx="23">
                  <c:v>48.642857142857146</c:v>
                </c:pt>
                <c:pt idx="24">
                  <c:v>48.642857142857146</c:v>
                </c:pt>
                <c:pt idx="25">
                  <c:v>48.642857142857146</c:v>
                </c:pt>
                <c:pt idx="26">
                  <c:v>48.642857142857146</c:v>
                </c:pt>
                <c:pt idx="27">
                  <c:v>48.642857142857146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4D-4CC8-82AF-D4DE5D299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'1.Trend&amp;Season5P'!$A$4:$A$78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'1.Trend&amp;Season5P'!$C$4:$C$78</c:f>
              <c:numCache>
                <c:formatCode>0</c:formatCode>
                <c:ptCount val="75"/>
                <c:pt idx="0">
                  <c:v>1120</c:v>
                </c:pt>
                <c:pt idx="1">
                  <c:v>1461</c:v>
                </c:pt>
                <c:pt idx="2">
                  <c:v>1719</c:v>
                </c:pt>
                <c:pt idx="3">
                  <c:v>1692</c:v>
                </c:pt>
                <c:pt idx="4">
                  <c:v>1362</c:v>
                </c:pt>
                <c:pt idx="5">
                  <c:v>1505</c:v>
                </c:pt>
                <c:pt idx="6">
                  <c:v>1823</c:v>
                </c:pt>
                <c:pt idx="7">
                  <c:v>2041</c:v>
                </c:pt>
                <c:pt idx="8">
                  <c:v>2045</c:v>
                </c:pt>
                <c:pt idx="9">
                  <c:v>1780</c:v>
                </c:pt>
                <c:pt idx="10">
                  <c:v>1866</c:v>
                </c:pt>
                <c:pt idx="11">
                  <c:v>2079</c:v>
                </c:pt>
                <c:pt idx="12">
                  <c:v>2977</c:v>
                </c:pt>
                <c:pt idx="13">
                  <c:v>2300</c:v>
                </c:pt>
                <c:pt idx="14">
                  <c:v>2043</c:v>
                </c:pt>
                <c:pt idx="15">
                  <c:v>2108</c:v>
                </c:pt>
                <c:pt idx="16">
                  <c:v>2488</c:v>
                </c:pt>
                <c:pt idx="17">
                  <c:v>3176</c:v>
                </c:pt>
                <c:pt idx="18">
                  <c:v>2532</c:v>
                </c:pt>
                <c:pt idx="19">
                  <c:v>2474</c:v>
                </c:pt>
                <c:pt idx="20">
                  <c:v>2596</c:v>
                </c:pt>
                <c:pt idx="21">
                  <c:v>3039</c:v>
                </c:pt>
                <c:pt idx="22">
                  <c:v>3674</c:v>
                </c:pt>
                <c:pt idx="23">
                  <c:v>3489</c:v>
                </c:pt>
                <c:pt idx="24">
                  <c:v>2914</c:v>
                </c:pt>
                <c:pt idx="25">
                  <c:v>2723</c:v>
                </c:pt>
                <c:pt idx="26">
                  <c:v>3440</c:v>
                </c:pt>
                <c:pt idx="27">
                  <c:v>4085</c:v>
                </c:pt>
                <c:pt idx="28">
                  <c:v>3608</c:v>
                </c:pt>
                <c:pt idx="29">
                  <c:v>3057</c:v>
                </c:pt>
                <c:pt idx="30">
                  <c:v>3152</c:v>
                </c:pt>
                <c:pt idx="31">
                  <c:v>4138</c:v>
                </c:pt>
                <c:pt idx="32">
                  <c:v>4569</c:v>
                </c:pt>
                <c:pt idx="33">
                  <c:v>3875</c:v>
                </c:pt>
                <c:pt idx="34">
                  <c:v>3446</c:v>
                </c:pt>
                <c:pt idx="35">
                  <c:v>3371</c:v>
                </c:pt>
                <c:pt idx="36">
                  <c:v>3948</c:v>
                </c:pt>
                <c:pt idx="37">
                  <c:v>4932</c:v>
                </c:pt>
                <c:pt idx="38">
                  <c:v>4541</c:v>
                </c:pt>
                <c:pt idx="39">
                  <c:v>3825</c:v>
                </c:pt>
                <c:pt idx="40">
                  <c:v>3752</c:v>
                </c:pt>
                <c:pt idx="41">
                  <c:v>4684</c:v>
                </c:pt>
                <c:pt idx="42">
                  <c:v>5464</c:v>
                </c:pt>
                <c:pt idx="43">
                  <c:v>4813</c:v>
                </c:pt>
                <c:pt idx="44">
                  <c:v>4251</c:v>
                </c:pt>
                <c:pt idx="45">
                  <c:v>4209</c:v>
                </c:pt>
                <c:pt idx="46">
                  <c:v>4963</c:v>
                </c:pt>
                <c:pt idx="47">
                  <c:v>6340</c:v>
                </c:pt>
                <c:pt idx="48">
                  <c:v>5678</c:v>
                </c:pt>
                <c:pt idx="49">
                  <c:v>4483</c:v>
                </c:pt>
                <c:pt idx="50">
                  <c:v>4798</c:v>
                </c:pt>
                <c:pt idx="51">
                  <c:v>5479</c:v>
                </c:pt>
                <c:pt idx="52">
                  <c:v>5616</c:v>
                </c:pt>
                <c:pt idx="53">
                  <c:v>5762</c:v>
                </c:pt>
                <c:pt idx="54">
                  <c:v>4740</c:v>
                </c:pt>
                <c:pt idx="55">
                  <c:v>5189</c:v>
                </c:pt>
                <c:pt idx="56">
                  <c:v>6383</c:v>
                </c:pt>
                <c:pt idx="57">
                  <c:v>7473</c:v>
                </c:pt>
                <c:pt idx="58">
                  <c:v>6110</c:v>
                </c:pt>
                <c:pt idx="59">
                  <c:v>5294</c:v>
                </c:pt>
                <c:pt idx="60">
                  <c:v>5087</c:v>
                </c:pt>
                <c:pt idx="61">
                  <c:v>6800</c:v>
                </c:pt>
                <c:pt idx="62">
                  <c:v>6534</c:v>
                </c:pt>
                <c:pt idx="63">
                  <c:v>6708</c:v>
                </c:pt>
                <c:pt idx="64">
                  <c:v>5734</c:v>
                </c:pt>
                <c:pt idx="65">
                  <c:v>5374</c:v>
                </c:pt>
                <c:pt idx="66">
                  <c:v>6780</c:v>
                </c:pt>
                <c:pt idx="67">
                  <c:v>6999</c:v>
                </c:pt>
                <c:pt idx="68">
                  <c:v>6735</c:v>
                </c:pt>
                <c:pt idx="69">
                  <c:v>6144</c:v>
                </c:pt>
                <c:pt idx="70">
                  <c:v>5859</c:v>
                </c:pt>
                <c:pt idx="71">
                  <c:v>7351</c:v>
                </c:pt>
                <c:pt idx="72">
                  <c:v>8831</c:v>
                </c:pt>
                <c:pt idx="73">
                  <c:v>7406</c:v>
                </c:pt>
                <c:pt idx="74">
                  <c:v>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DE-4E13-9E73-3FBDEA19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'1.Trend&amp;Season5P'!$D$3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'1.Trend&amp;Season5P'!$A$4:$A$78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'1.Trend&amp;Season5P'!$D$4:$D$78</c:f>
              <c:numCache>
                <c:formatCode>General</c:formatCode>
                <c:ptCount val="75"/>
                <c:pt idx="2" formatCode="0">
                  <c:v>1470.8</c:v>
                </c:pt>
                <c:pt idx="3" formatCode="0">
                  <c:v>1547.8</c:v>
                </c:pt>
                <c:pt idx="4" formatCode="0">
                  <c:v>1620.2</c:v>
                </c:pt>
                <c:pt idx="5" formatCode="0">
                  <c:v>1684.6</c:v>
                </c:pt>
                <c:pt idx="6" formatCode="0">
                  <c:v>1755.2</c:v>
                </c:pt>
                <c:pt idx="7" formatCode="0">
                  <c:v>1838.8</c:v>
                </c:pt>
                <c:pt idx="8" formatCode="0">
                  <c:v>1911</c:v>
                </c:pt>
                <c:pt idx="9" formatCode="0">
                  <c:v>1962.2</c:v>
                </c:pt>
                <c:pt idx="10" formatCode="0">
                  <c:v>2149.4</c:v>
                </c:pt>
                <c:pt idx="11" formatCode="0">
                  <c:v>2200.4</c:v>
                </c:pt>
                <c:pt idx="12" formatCode="0">
                  <c:v>2253</c:v>
                </c:pt>
                <c:pt idx="13" formatCode="0">
                  <c:v>2301.4</c:v>
                </c:pt>
                <c:pt idx="14" formatCode="0">
                  <c:v>2383.1999999999998</c:v>
                </c:pt>
                <c:pt idx="15" formatCode="0">
                  <c:v>2423</c:v>
                </c:pt>
                <c:pt idx="16" formatCode="0">
                  <c:v>2469.4</c:v>
                </c:pt>
                <c:pt idx="17" formatCode="0">
                  <c:v>2555.6</c:v>
                </c:pt>
                <c:pt idx="18" formatCode="0">
                  <c:v>2653.2</c:v>
                </c:pt>
                <c:pt idx="19" formatCode="0">
                  <c:v>2763.4</c:v>
                </c:pt>
                <c:pt idx="20" formatCode="0">
                  <c:v>2863</c:v>
                </c:pt>
                <c:pt idx="21" formatCode="0">
                  <c:v>3054.4</c:v>
                </c:pt>
                <c:pt idx="22" formatCode="0">
                  <c:v>3142.4</c:v>
                </c:pt>
                <c:pt idx="23" formatCode="0">
                  <c:v>3167.8</c:v>
                </c:pt>
                <c:pt idx="24" formatCode="0">
                  <c:v>3248</c:v>
                </c:pt>
                <c:pt idx="25" formatCode="0">
                  <c:v>3330.2</c:v>
                </c:pt>
                <c:pt idx="26" formatCode="0">
                  <c:v>3354</c:v>
                </c:pt>
                <c:pt idx="27" formatCode="0">
                  <c:v>3382.6</c:v>
                </c:pt>
                <c:pt idx="28" formatCode="0">
                  <c:v>3468.4</c:v>
                </c:pt>
                <c:pt idx="29" formatCode="0">
                  <c:v>3608</c:v>
                </c:pt>
                <c:pt idx="30" formatCode="0">
                  <c:v>3704.8</c:v>
                </c:pt>
                <c:pt idx="31" formatCode="0">
                  <c:v>3758.2</c:v>
                </c:pt>
                <c:pt idx="32" formatCode="0">
                  <c:v>3836</c:v>
                </c:pt>
                <c:pt idx="33" formatCode="0">
                  <c:v>3879.8</c:v>
                </c:pt>
                <c:pt idx="34" formatCode="0">
                  <c:v>3841.8</c:v>
                </c:pt>
                <c:pt idx="35" formatCode="0">
                  <c:v>3914.4</c:v>
                </c:pt>
                <c:pt idx="36" formatCode="0">
                  <c:v>4047.6</c:v>
                </c:pt>
                <c:pt idx="37" formatCode="0">
                  <c:v>4123.3999999999996</c:v>
                </c:pt>
                <c:pt idx="38" formatCode="0">
                  <c:v>4199.6000000000004</c:v>
                </c:pt>
                <c:pt idx="39" formatCode="0">
                  <c:v>4346.8</c:v>
                </c:pt>
                <c:pt idx="40" formatCode="0">
                  <c:v>4453.2</c:v>
                </c:pt>
                <c:pt idx="41" formatCode="0">
                  <c:v>4507.6000000000004</c:v>
                </c:pt>
                <c:pt idx="42" formatCode="0">
                  <c:v>4592.8</c:v>
                </c:pt>
                <c:pt idx="43" formatCode="0">
                  <c:v>4684.2</c:v>
                </c:pt>
                <c:pt idx="44" formatCode="0">
                  <c:v>4740</c:v>
                </c:pt>
                <c:pt idx="45" formatCode="0">
                  <c:v>4915.2</c:v>
                </c:pt>
                <c:pt idx="46" formatCode="0">
                  <c:v>5088.2</c:v>
                </c:pt>
                <c:pt idx="47" formatCode="0">
                  <c:v>5134.6000000000004</c:v>
                </c:pt>
                <c:pt idx="48" formatCode="0">
                  <c:v>5252.4</c:v>
                </c:pt>
                <c:pt idx="49" formatCode="0">
                  <c:v>5355.6</c:v>
                </c:pt>
                <c:pt idx="50" formatCode="0">
                  <c:v>5210.8</c:v>
                </c:pt>
                <c:pt idx="51" formatCode="0">
                  <c:v>5227.6000000000004</c:v>
                </c:pt>
                <c:pt idx="52" formatCode="0">
                  <c:v>5279</c:v>
                </c:pt>
                <c:pt idx="53" formatCode="0">
                  <c:v>5357.2</c:v>
                </c:pt>
                <c:pt idx="54" formatCode="0">
                  <c:v>5538</c:v>
                </c:pt>
                <c:pt idx="55" formatCode="0">
                  <c:v>5909.4</c:v>
                </c:pt>
                <c:pt idx="56" formatCode="0">
                  <c:v>5979</c:v>
                </c:pt>
                <c:pt idx="57" formatCode="0">
                  <c:v>6089.8</c:v>
                </c:pt>
                <c:pt idx="58" formatCode="0">
                  <c:v>6069.4</c:v>
                </c:pt>
                <c:pt idx="59" formatCode="0">
                  <c:v>6152.8</c:v>
                </c:pt>
                <c:pt idx="60" formatCode="0">
                  <c:v>5965</c:v>
                </c:pt>
                <c:pt idx="61" formatCode="0">
                  <c:v>6084.6</c:v>
                </c:pt>
                <c:pt idx="62" formatCode="0">
                  <c:v>6172.6</c:v>
                </c:pt>
                <c:pt idx="63" formatCode="0">
                  <c:v>6230</c:v>
                </c:pt>
                <c:pt idx="64" formatCode="0">
                  <c:v>6226</c:v>
                </c:pt>
                <c:pt idx="65" formatCode="0">
                  <c:v>6319</c:v>
                </c:pt>
                <c:pt idx="66" formatCode="0">
                  <c:v>6324.4</c:v>
                </c:pt>
                <c:pt idx="67" formatCode="0">
                  <c:v>6406.4</c:v>
                </c:pt>
                <c:pt idx="68" formatCode="0">
                  <c:v>6503.4</c:v>
                </c:pt>
                <c:pt idx="69" formatCode="0">
                  <c:v>6617.6</c:v>
                </c:pt>
                <c:pt idx="70" formatCode="0">
                  <c:v>6984</c:v>
                </c:pt>
                <c:pt idx="71" formatCode="0">
                  <c:v>7118.2</c:v>
                </c:pt>
                <c:pt idx="72" formatCode="0">
                  <c:v>7165.8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35-45B4-A496-371699591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'1.Trend&amp;Season5P'!$E$3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'1.Trend&amp;Season5P'!$A$4:$A$78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'1.Trend&amp;Season5P'!$E$4:$E$78</c:f>
              <c:numCache>
                <c:formatCode>0.0</c:formatCode>
                <c:ptCount val="75"/>
                <c:pt idx="0">
                  <c:v>1282.398021462107</c:v>
                </c:pt>
                <c:pt idx="1">
                  <c:v>1361.8869215291759</c:v>
                </c:pt>
                <c:pt idx="2">
                  <c:v>1441.375821596245</c:v>
                </c:pt>
                <c:pt idx="3">
                  <c:v>1520.8647216633142</c:v>
                </c:pt>
                <c:pt idx="4">
                  <c:v>1600.3536217303831</c:v>
                </c:pt>
                <c:pt idx="5">
                  <c:v>1679.8425217974523</c:v>
                </c:pt>
                <c:pt idx="6">
                  <c:v>1759.3314218645214</c:v>
                </c:pt>
                <c:pt idx="7">
                  <c:v>1838.8203219315906</c:v>
                </c:pt>
                <c:pt idx="8">
                  <c:v>1918.3092219986595</c:v>
                </c:pt>
                <c:pt idx="9">
                  <c:v>1997.7981220657286</c:v>
                </c:pt>
                <c:pt idx="10">
                  <c:v>2077.2870221327976</c:v>
                </c:pt>
                <c:pt idx="11">
                  <c:v>2156.7759221998667</c:v>
                </c:pt>
                <c:pt idx="12">
                  <c:v>2236.2648222669359</c:v>
                </c:pt>
                <c:pt idx="13">
                  <c:v>2315.753722334005</c:v>
                </c:pt>
                <c:pt idx="14">
                  <c:v>2395.2426224010742</c:v>
                </c:pt>
                <c:pt idx="15">
                  <c:v>2474.7315224681433</c:v>
                </c:pt>
                <c:pt idx="16">
                  <c:v>2554.2204225352125</c:v>
                </c:pt>
                <c:pt idx="17">
                  <c:v>2633.7093226022812</c:v>
                </c:pt>
                <c:pt idx="18">
                  <c:v>2713.1982226693503</c:v>
                </c:pt>
                <c:pt idx="19">
                  <c:v>2792.6871227364195</c:v>
                </c:pt>
                <c:pt idx="20">
                  <c:v>2872.1760228034882</c:v>
                </c:pt>
                <c:pt idx="21">
                  <c:v>2951.6649228705573</c:v>
                </c:pt>
                <c:pt idx="22">
                  <c:v>3031.1538229376265</c:v>
                </c:pt>
                <c:pt idx="23">
                  <c:v>3110.6427230046957</c:v>
                </c:pt>
                <c:pt idx="24">
                  <c:v>3190.1316230717648</c:v>
                </c:pt>
                <c:pt idx="25">
                  <c:v>3269.620523138834</c:v>
                </c:pt>
                <c:pt idx="26">
                  <c:v>3349.1094232059031</c:v>
                </c:pt>
                <c:pt idx="27">
                  <c:v>3428.5983232729723</c:v>
                </c:pt>
                <c:pt idx="28">
                  <c:v>3508.087223340041</c:v>
                </c:pt>
                <c:pt idx="29">
                  <c:v>3587.5761234071101</c:v>
                </c:pt>
                <c:pt idx="30">
                  <c:v>3667.0650234741793</c:v>
                </c:pt>
                <c:pt idx="31">
                  <c:v>3746.5539235412484</c:v>
                </c:pt>
                <c:pt idx="32">
                  <c:v>3826.0428236083176</c:v>
                </c:pt>
                <c:pt idx="33">
                  <c:v>3905.5317236753867</c:v>
                </c:pt>
                <c:pt idx="34">
                  <c:v>3985.0206237424559</c:v>
                </c:pt>
                <c:pt idx="35">
                  <c:v>4064.5095238095246</c:v>
                </c:pt>
                <c:pt idx="36">
                  <c:v>4143.9984238765937</c:v>
                </c:pt>
                <c:pt idx="37">
                  <c:v>4223.4873239436629</c:v>
                </c:pt>
                <c:pt idx="38">
                  <c:v>4302.976224010732</c:v>
                </c:pt>
                <c:pt idx="39">
                  <c:v>4382.4651240778012</c:v>
                </c:pt>
                <c:pt idx="40">
                  <c:v>4461.9540241448703</c:v>
                </c:pt>
                <c:pt idx="41">
                  <c:v>4541.4429242119386</c:v>
                </c:pt>
                <c:pt idx="42">
                  <c:v>4620.9318242790087</c:v>
                </c:pt>
                <c:pt idx="43">
                  <c:v>4700.4207243460769</c:v>
                </c:pt>
                <c:pt idx="44">
                  <c:v>4779.909624413147</c:v>
                </c:pt>
                <c:pt idx="45">
                  <c:v>4859.3985244802152</c:v>
                </c:pt>
                <c:pt idx="46">
                  <c:v>4938.8874245472853</c:v>
                </c:pt>
                <c:pt idx="47">
                  <c:v>5018.3763246143535</c:v>
                </c:pt>
                <c:pt idx="48">
                  <c:v>5097.8652246814227</c:v>
                </c:pt>
                <c:pt idx="49">
                  <c:v>5177.3541247484918</c:v>
                </c:pt>
                <c:pt idx="50">
                  <c:v>5256.843024815561</c:v>
                </c:pt>
                <c:pt idx="51">
                  <c:v>5336.3319248826301</c:v>
                </c:pt>
                <c:pt idx="52">
                  <c:v>5415.8208249496993</c:v>
                </c:pt>
                <c:pt idx="53">
                  <c:v>5495.3097250167684</c:v>
                </c:pt>
                <c:pt idx="54">
                  <c:v>5574.7986250838376</c:v>
                </c:pt>
                <c:pt idx="55">
                  <c:v>5654.2875251509067</c:v>
                </c:pt>
                <c:pt idx="56">
                  <c:v>5733.7764252179759</c:v>
                </c:pt>
                <c:pt idx="57">
                  <c:v>5813.2653252850441</c:v>
                </c:pt>
                <c:pt idx="58">
                  <c:v>5892.7542253521133</c:v>
                </c:pt>
                <c:pt idx="59">
                  <c:v>5972.2431254191824</c:v>
                </c:pt>
                <c:pt idx="60">
                  <c:v>6051.7320254862516</c:v>
                </c:pt>
                <c:pt idx="61">
                  <c:v>6131.2209255533207</c:v>
                </c:pt>
                <c:pt idx="62">
                  <c:v>6210.7098256203899</c:v>
                </c:pt>
                <c:pt idx="63">
                  <c:v>6290.198725687459</c:v>
                </c:pt>
                <c:pt idx="64">
                  <c:v>6369.6876257545282</c:v>
                </c:pt>
                <c:pt idx="65">
                  <c:v>6449.1765258215974</c:v>
                </c:pt>
                <c:pt idx="66">
                  <c:v>6528.6654258886665</c:v>
                </c:pt>
                <c:pt idx="67">
                  <c:v>6608.1543259557357</c:v>
                </c:pt>
                <c:pt idx="68">
                  <c:v>6687.6432260228048</c:v>
                </c:pt>
                <c:pt idx="69">
                  <c:v>6767.132126089874</c:v>
                </c:pt>
                <c:pt idx="70">
                  <c:v>6846.6210261569422</c:v>
                </c:pt>
                <c:pt idx="71">
                  <c:v>6926.1099262240114</c:v>
                </c:pt>
                <c:pt idx="72">
                  <c:v>7005.5988262910805</c:v>
                </c:pt>
                <c:pt idx="73">
                  <c:v>7085.0877263581497</c:v>
                </c:pt>
                <c:pt idx="74">
                  <c:v>7164.5766264252188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6-44BE-9450-569D80798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'1.Trend&amp;Season5P'!$H$3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'1.Trend&amp;Season5P'!$A$4:$A$78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'1.Trend&amp;Season5P'!$C$4:$C$78</c:f>
              <c:numCache>
                <c:formatCode>0</c:formatCode>
                <c:ptCount val="75"/>
                <c:pt idx="0">
                  <c:v>1120</c:v>
                </c:pt>
                <c:pt idx="1">
                  <c:v>1461</c:v>
                </c:pt>
                <c:pt idx="2">
                  <c:v>1719</c:v>
                </c:pt>
                <c:pt idx="3">
                  <c:v>1692</c:v>
                </c:pt>
                <c:pt idx="4">
                  <c:v>1362</c:v>
                </c:pt>
                <c:pt idx="5">
                  <c:v>1505</c:v>
                </c:pt>
                <c:pt idx="6">
                  <c:v>1823</c:v>
                </c:pt>
                <c:pt idx="7">
                  <c:v>2041</c:v>
                </c:pt>
                <c:pt idx="8">
                  <c:v>2045</c:v>
                </c:pt>
                <c:pt idx="9">
                  <c:v>1780</c:v>
                </c:pt>
                <c:pt idx="10">
                  <c:v>1866</c:v>
                </c:pt>
                <c:pt idx="11">
                  <c:v>2079</c:v>
                </c:pt>
                <c:pt idx="12">
                  <c:v>2977</c:v>
                </c:pt>
                <c:pt idx="13">
                  <c:v>2300</c:v>
                </c:pt>
                <c:pt idx="14">
                  <c:v>2043</c:v>
                </c:pt>
                <c:pt idx="15">
                  <c:v>2108</c:v>
                </c:pt>
                <c:pt idx="16">
                  <c:v>2488</c:v>
                </c:pt>
                <c:pt idx="17">
                  <c:v>3176</c:v>
                </c:pt>
                <c:pt idx="18">
                  <c:v>2532</c:v>
                </c:pt>
                <c:pt idx="19">
                  <c:v>2474</c:v>
                </c:pt>
                <c:pt idx="20">
                  <c:v>2596</c:v>
                </c:pt>
                <c:pt idx="21">
                  <c:v>3039</c:v>
                </c:pt>
                <c:pt idx="22">
                  <c:v>3674</c:v>
                </c:pt>
                <c:pt idx="23">
                  <c:v>3489</c:v>
                </c:pt>
                <c:pt idx="24">
                  <c:v>2914</c:v>
                </c:pt>
                <c:pt idx="25">
                  <c:v>2723</c:v>
                </c:pt>
                <c:pt idx="26">
                  <c:v>3440</c:v>
                </c:pt>
                <c:pt idx="27">
                  <c:v>4085</c:v>
                </c:pt>
                <c:pt idx="28">
                  <c:v>3608</c:v>
                </c:pt>
                <c:pt idx="29">
                  <c:v>3057</c:v>
                </c:pt>
                <c:pt idx="30">
                  <c:v>3152</c:v>
                </c:pt>
                <c:pt idx="31">
                  <c:v>4138</c:v>
                </c:pt>
                <c:pt idx="32">
                  <c:v>4569</c:v>
                </c:pt>
                <c:pt idx="33">
                  <c:v>3875</c:v>
                </c:pt>
                <c:pt idx="34">
                  <c:v>3446</c:v>
                </c:pt>
                <c:pt idx="35">
                  <c:v>3371</c:v>
                </c:pt>
                <c:pt idx="36">
                  <c:v>3948</c:v>
                </c:pt>
                <c:pt idx="37">
                  <c:v>4932</c:v>
                </c:pt>
                <c:pt idx="38">
                  <c:v>4541</c:v>
                </c:pt>
                <c:pt idx="39">
                  <c:v>3825</c:v>
                </c:pt>
                <c:pt idx="40">
                  <c:v>3752</c:v>
                </c:pt>
                <c:pt idx="41">
                  <c:v>4684</c:v>
                </c:pt>
                <c:pt idx="42">
                  <c:v>5464</c:v>
                </c:pt>
                <c:pt idx="43">
                  <c:v>4813</c:v>
                </c:pt>
                <c:pt idx="44">
                  <c:v>4251</c:v>
                </c:pt>
                <c:pt idx="45">
                  <c:v>4209</c:v>
                </c:pt>
                <c:pt idx="46">
                  <c:v>4963</c:v>
                </c:pt>
                <c:pt idx="47">
                  <c:v>6340</c:v>
                </c:pt>
                <c:pt idx="48">
                  <c:v>5678</c:v>
                </c:pt>
                <c:pt idx="49">
                  <c:v>4483</c:v>
                </c:pt>
                <c:pt idx="50">
                  <c:v>4798</c:v>
                </c:pt>
                <c:pt idx="51">
                  <c:v>5479</c:v>
                </c:pt>
                <c:pt idx="52">
                  <c:v>5616</c:v>
                </c:pt>
                <c:pt idx="53">
                  <c:v>5762</c:v>
                </c:pt>
                <c:pt idx="54">
                  <c:v>4740</c:v>
                </c:pt>
                <c:pt idx="55">
                  <c:v>5189</c:v>
                </c:pt>
                <c:pt idx="56">
                  <c:v>6383</c:v>
                </c:pt>
                <c:pt idx="57">
                  <c:v>7473</c:v>
                </c:pt>
                <c:pt idx="58">
                  <c:v>6110</c:v>
                </c:pt>
                <c:pt idx="59">
                  <c:v>5294</c:v>
                </c:pt>
                <c:pt idx="60">
                  <c:v>5087</c:v>
                </c:pt>
                <c:pt idx="61">
                  <c:v>6800</c:v>
                </c:pt>
                <c:pt idx="62">
                  <c:v>6534</c:v>
                </c:pt>
                <c:pt idx="63">
                  <c:v>6708</c:v>
                </c:pt>
                <c:pt idx="64">
                  <c:v>5734</c:v>
                </c:pt>
                <c:pt idx="65">
                  <c:v>5374</c:v>
                </c:pt>
                <c:pt idx="66">
                  <c:v>6780</c:v>
                </c:pt>
                <c:pt idx="67">
                  <c:v>6999</c:v>
                </c:pt>
                <c:pt idx="68">
                  <c:v>6735</c:v>
                </c:pt>
                <c:pt idx="69">
                  <c:v>6144</c:v>
                </c:pt>
                <c:pt idx="70">
                  <c:v>5859</c:v>
                </c:pt>
                <c:pt idx="71">
                  <c:v>7351</c:v>
                </c:pt>
                <c:pt idx="72">
                  <c:v>8831</c:v>
                </c:pt>
                <c:pt idx="73">
                  <c:v>7406</c:v>
                </c:pt>
                <c:pt idx="74">
                  <c:v>6382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3-4805-9951-2692FBA5BDE3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'1.Trend&amp;Season5P'!$A$4:$A$78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'1.Trend&amp;Season5P'!$H$4:$H$83</c:f>
              <c:numCache>
                <c:formatCode>0.00</c:formatCode>
                <c:ptCount val="80"/>
                <c:pt idx="0">
                  <c:v>1110.6261044772873</c:v>
                </c:pt>
                <c:pt idx="1">
                  <c:v>1409.160246779006</c:v>
                </c:pt>
                <c:pt idx="2">
                  <c:v>1702.3844873772532</c:v>
                </c:pt>
                <c:pt idx="3">
                  <c:v>1583.6261987070432</c:v>
                </c:pt>
                <c:pt idx="4">
                  <c:v>1403.3248962376874</c:v>
                </c:pt>
                <c:pt idx="5">
                  <c:v>1454.8345559610916</c:v>
                </c:pt>
                <c:pt idx="6">
                  <c:v>1820.4006965695476</c:v>
                </c:pt>
                <c:pt idx="7">
                  <c:v>2171.7994323393482</c:v>
                </c:pt>
                <c:pt idx="8">
                  <c:v>1997.4720288442084</c:v>
                </c:pt>
                <c:pt idx="9">
                  <c:v>1751.8377215408084</c:v>
                </c:pt>
                <c:pt idx="10">
                  <c:v>1799.0430074448961</c:v>
                </c:pt>
                <c:pt idx="11">
                  <c:v>2231.6411463600889</c:v>
                </c:pt>
                <c:pt idx="12">
                  <c:v>2641.2143773014427</c:v>
                </c:pt>
                <c:pt idx="13">
                  <c:v>2411.3178589813738</c:v>
                </c:pt>
                <c:pt idx="14">
                  <c:v>2100.3505468439298</c:v>
                </c:pt>
                <c:pt idx="15">
                  <c:v>2143.2514589287011</c:v>
                </c:pt>
                <c:pt idx="16">
                  <c:v>2642.8815961506307</c:v>
                </c:pt>
                <c:pt idx="17">
                  <c:v>3110.6293222635377</c:v>
                </c:pt>
                <c:pt idx="18">
                  <c:v>2825.1636891185394</c:v>
                </c:pt>
                <c:pt idx="19">
                  <c:v>2448.8633721470505</c:v>
                </c:pt>
                <c:pt idx="20">
                  <c:v>2487.459910412505</c:v>
                </c:pt>
                <c:pt idx="21">
                  <c:v>3054.1220459411716</c:v>
                </c:pt>
                <c:pt idx="22">
                  <c:v>3580.0442672256322</c:v>
                </c:pt>
                <c:pt idx="23">
                  <c:v>3239.0095192557046</c:v>
                </c:pt>
                <c:pt idx="24">
                  <c:v>2797.3761974501717</c:v>
                </c:pt>
                <c:pt idx="25">
                  <c:v>2831.6683618963098</c:v>
                </c:pt>
                <c:pt idx="26">
                  <c:v>3465.3624957317134</c:v>
                </c:pt>
                <c:pt idx="27">
                  <c:v>4049.4592121877272</c:v>
                </c:pt>
                <c:pt idx="28">
                  <c:v>3652.8553493928698</c:v>
                </c:pt>
                <c:pt idx="29">
                  <c:v>3145.8890227532925</c:v>
                </c:pt>
                <c:pt idx="30">
                  <c:v>3175.8768133801141</c:v>
                </c:pt>
                <c:pt idx="31">
                  <c:v>3876.6029455222542</c:v>
                </c:pt>
                <c:pt idx="32">
                  <c:v>4518.8741571498222</c:v>
                </c:pt>
                <c:pt idx="33">
                  <c:v>4066.7011795300355</c:v>
                </c:pt>
                <c:pt idx="34">
                  <c:v>3494.4018480564141</c:v>
                </c:pt>
                <c:pt idx="35">
                  <c:v>3520.0852648639188</c:v>
                </c:pt>
                <c:pt idx="36">
                  <c:v>4287.843395312796</c:v>
                </c:pt>
                <c:pt idx="37">
                  <c:v>4988.2891021119167</c:v>
                </c:pt>
                <c:pt idx="38">
                  <c:v>4480.5470096672007</c:v>
                </c:pt>
                <c:pt idx="39">
                  <c:v>3842.9146733595348</c:v>
                </c:pt>
                <c:pt idx="40">
                  <c:v>3864.2937163477236</c:v>
                </c:pt>
                <c:pt idx="41">
                  <c:v>4699.0838451033369</c:v>
                </c:pt>
                <c:pt idx="42">
                  <c:v>5457.7040470740121</c:v>
                </c:pt>
                <c:pt idx="43">
                  <c:v>4894.3928398043654</c:v>
                </c:pt>
                <c:pt idx="44">
                  <c:v>4191.427498662656</c:v>
                </c:pt>
                <c:pt idx="45">
                  <c:v>4208.5021678315279</c:v>
                </c:pt>
                <c:pt idx="46">
                  <c:v>5110.3242948938796</c:v>
                </c:pt>
                <c:pt idx="47">
                  <c:v>5927.1189920361057</c:v>
                </c:pt>
                <c:pt idx="48">
                  <c:v>5308.238669941531</c:v>
                </c:pt>
                <c:pt idx="49">
                  <c:v>4539.9403239657768</c:v>
                </c:pt>
                <c:pt idx="50">
                  <c:v>4552.7106193153322</c:v>
                </c:pt>
                <c:pt idx="51">
                  <c:v>5521.5647446844205</c:v>
                </c:pt>
                <c:pt idx="52">
                  <c:v>6396.5339369982012</c:v>
                </c:pt>
                <c:pt idx="53">
                  <c:v>5722.0845000786967</c:v>
                </c:pt>
                <c:pt idx="54">
                  <c:v>4888.4531492688984</c:v>
                </c:pt>
                <c:pt idx="55">
                  <c:v>4896.9190707991374</c:v>
                </c:pt>
                <c:pt idx="56">
                  <c:v>5932.8051944749623</c:v>
                </c:pt>
                <c:pt idx="57">
                  <c:v>6865.9488819602957</c:v>
                </c:pt>
                <c:pt idx="58">
                  <c:v>6135.9303302158614</c:v>
                </c:pt>
                <c:pt idx="59">
                  <c:v>5236.9659745720191</c:v>
                </c:pt>
                <c:pt idx="60">
                  <c:v>5241.1275222829418</c:v>
                </c:pt>
                <c:pt idx="61">
                  <c:v>6344.0456442655031</c:v>
                </c:pt>
                <c:pt idx="62">
                  <c:v>7335.3638269223902</c:v>
                </c:pt>
                <c:pt idx="63">
                  <c:v>6549.7761603530271</c:v>
                </c:pt>
                <c:pt idx="64">
                  <c:v>5585.4787998751399</c:v>
                </c:pt>
                <c:pt idx="65">
                  <c:v>5585.3359737667461</c:v>
                </c:pt>
                <c:pt idx="66">
                  <c:v>6755.2860940560449</c:v>
                </c:pt>
                <c:pt idx="67">
                  <c:v>7804.7787718844856</c:v>
                </c:pt>
                <c:pt idx="68">
                  <c:v>6963.6219904901936</c:v>
                </c:pt>
                <c:pt idx="69">
                  <c:v>5933.9916251782615</c:v>
                </c:pt>
                <c:pt idx="70">
                  <c:v>5929.5444252505504</c:v>
                </c:pt>
                <c:pt idx="71">
                  <c:v>7166.5265438465849</c:v>
                </c:pt>
                <c:pt idx="72">
                  <c:v>8274.1937168465793</c:v>
                </c:pt>
                <c:pt idx="73">
                  <c:v>7377.4678206273584</c:v>
                </c:pt>
                <c:pt idx="74">
                  <c:v>6282.5044504813823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03-4805-9951-2692FBA5B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'7pBase'!$A$2:$A$36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'7pBase'!$E$2:$E$36</c:f>
              <c:numCache>
                <c:formatCode>General</c:formatCode>
                <c:ptCount val="35"/>
                <c:pt idx="0">
                  <c:v>101</c:v>
                </c:pt>
                <c:pt idx="1">
                  <c:v>238</c:v>
                </c:pt>
                <c:pt idx="2">
                  <c:v>274</c:v>
                </c:pt>
                <c:pt idx="3">
                  <c:v>335</c:v>
                </c:pt>
                <c:pt idx="4">
                  <c:v>218</c:v>
                </c:pt>
                <c:pt idx="5">
                  <c:v>253</c:v>
                </c:pt>
                <c:pt idx="6">
                  <c:v>174</c:v>
                </c:pt>
                <c:pt idx="7">
                  <c:v>178</c:v>
                </c:pt>
                <c:pt idx="8">
                  <c:v>313</c:v>
                </c:pt>
                <c:pt idx="9">
                  <c:v>255</c:v>
                </c:pt>
                <c:pt idx="10">
                  <c:v>478</c:v>
                </c:pt>
                <c:pt idx="11">
                  <c:v>332</c:v>
                </c:pt>
                <c:pt idx="12">
                  <c:v>267</c:v>
                </c:pt>
                <c:pt idx="13">
                  <c:v>252</c:v>
                </c:pt>
                <c:pt idx="14">
                  <c:v>263</c:v>
                </c:pt>
                <c:pt idx="15">
                  <c:v>280</c:v>
                </c:pt>
                <c:pt idx="16">
                  <c:v>347</c:v>
                </c:pt>
                <c:pt idx="17">
                  <c:v>455</c:v>
                </c:pt>
                <c:pt idx="18">
                  <c:v>320</c:v>
                </c:pt>
                <c:pt idx="19">
                  <c:v>409</c:v>
                </c:pt>
                <c:pt idx="20">
                  <c:v>320</c:v>
                </c:pt>
                <c:pt idx="21">
                  <c:v>316</c:v>
                </c:pt>
                <c:pt idx="22">
                  <c:v>444</c:v>
                </c:pt>
                <c:pt idx="23">
                  <c:v>469</c:v>
                </c:pt>
                <c:pt idx="24">
                  <c:v>648</c:v>
                </c:pt>
                <c:pt idx="25">
                  <c:v>485</c:v>
                </c:pt>
                <c:pt idx="26">
                  <c:v>419</c:v>
                </c:pt>
                <c:pt idx="27">
                  <c:v>394</c:v>
                </c:pt>
                <c:pt idx="28">
                  <c:v>387</c:v>
                </c:pt>
                <c:pt idx="29">
                  <c:v>435</c:v>
                </c:pt>
                <c:pt idx="30">
                  <c:v>424</c:v>
                </c:pt>
                <c:pt idx="31">
                  <c:v>572</c:v>
                </c:pt>
                <c:pt idx="32">
                  <c:v>492</c:v>
                </c:pt>
                <c:pt idx="33">
                  <c:v>477</c:v>
                </c:pt>
                <c:pt idx="34">
                  <c:v>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24-4699-BB22-DE8A1B88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scatterChart>
        <c:scatterStyle val="smoothMarker"/>
        <c:varyColors val="0"/>
        <c:ser>
          <c:idx val="1"/>
          <c:order val="1"/>
          <c:tx>
            <c:strRef>
              <c:f>'7pBase'!$G$1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B24-4699-BB22-DE8A1B88444D}"/>
              </c:ext>
            </c:extLst>
          </c:dPt>
          <c:xVal>
            <c:numRef>
              <c:f>'7pBase'!$A$2:$A$36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'7pBase'!$G$2:$G$35</c:f>
              <c:numCache>
                <c:formatCode>General</c:formatCode>
                <c:ptCount val="34"/>
                <c:pt idx="0">
                  <c:v>199.40344827586199</c:v>
                </c:pt>
                <c:pt idx="1">
                  <c:v>208.73497536945806</c:v>
                </c:pt>
                <c:pt idx="2">
                  <c:v>218.06650246305412</c:v>
                </c:pt>
                <c:pt idx="3">
                  <c:v>227.39802955665016</c:v>
                </c:pt>
                <c:pt idx="4">
                  <c:v>236.72955665024622</c:v>
                </c:pt>
                <c:pt idx="5">
                  <c:v>246.06108374384229</c:v>
                </c:pt>
                <c:pt idx="6">
                  <c:v>255.39261083743833</c:v>
                </c:pt>
                <c:pt idx="7">
                  <c:v>264.72413793103442</c:v>
                </c:pt>
                <c:pt idx="8">
                  <c:v>274.05566502463046</c:v>
                </c:pt>
                <c:pt idx="9">
                  <c:v>283.38719211822649</c:v>
                </c:pt>
                <c:pt idx="10">
                  <c:v>292.71871921182259</c:v>
                </c:pt>
                <c:pt idx="11">
                  <c:v>302.05024630541868</c:v>
                </c:pt>
                <c:pt idx="12">
                  <c:v>311.38177339901472</c:v>
                </c:pt>
                <c:pt idx="13">
                  <c:v>320.71330049261076</c:v>
                </c:pt>
                <c:pt idx="14">
                  <c:v>330.04482758620679</c:v>
                </c:pt>
                <c:pt idx="15">
                  <c:v>339.37635467980289</c:v>
                </c:pt>
                <c:pt idx="16">
                  <c:v>348.70788177339898</c:v>
                </c:pt>
                <c:pt idx="17">
                  <c:v>358.03940886699502</c:v>
                </c:pt>
                <c:pt idx="18">
                  <c:v>367.37093596059105</c:v>
                </c:pt>
                <c:pt idx="19">
                  <c:v>376.70246305418709</c:v>
                </c:pt>
                <c:pt idx="20">
                  <c:v>386.03399014778319</c:v>
                </c:pt>
                <c:pt idx="21">
                  <c:v>395.36551724137928</c:v>
                </c:pt>
                <c:pt idx="22">
                  <c:v>404.69704433497532</c:v>
                </c:pt>
                <c:pt idx="23">
                  <c:v>414.02857142857135</c:v>
                </c:pt>
                <c:pt idx="24">
                  <c:v>423.36009852216739</c:v>
                </c:pt>
                <c:pt idx="25">
                  <c:v>432.69162561576348</c:v>
                </c:pt>
                <c:pt idx="26">
                  <c:v>442.02315270935958</c:v>
                </c:pt>
                <c:pt idx="27">
                  <c:v>451.35467980295562</c:v>
                </c:pt>
                <c:pt idx="28">
                  <c:v>460.68620689655165</c:v>
                </c:pt>
                <c:pt idx="29">
                  <c:v>470.01773399014769</c:v>
                </c:pt>
                <c:pt idx="30">
                  <c:v>479.34926108374384</c:v>
                </c:pt>
                <c:pt idx="31">
                  <c:v>488.68078817733988</c:v>
                </c:pt>
                <c:pt idx="32">
                  <c:v>498.01231527093591</c:v>
                </c:pt>
                <c:pt idx="33">
                  <c:v>507.34384236453195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24-4699-BB22-DE8A1B88444D}"/>
            </c:ext>
          </c:extLst>
        </c:ser>
        <c:ser>
          <c:idx val="2"/>
          <c:order val="2"/>
          <c:tx>
            <c:strRef>
              <c:f>'7pBase'!$F$1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'7pBase'!$A$5:$A$33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'7pBase'!$F$5:$F$33</c:f>
              <c:numCache>
                <c:formatCode>General</c:formatCode>
                <c:ptCount val="29"/>
                <c:pt idx="0">
                  <c:v>227.57142857142858</c:v>
                </c:pt>
                <c:pt idx="1">
                  <c:v>238.57142857142858</c:v>
                </c:pt>
                <c:pt idx="2">
                  <c:v>249.28571428571428</c:v>
                </c:pt>
                <c:pt idx="3">
                  <c:v>246.57142857142858</c:v>
                </c:pt>
                <c:pt idx="4">
                  <c:v>267</c:v>
                </c:pt>
                <c:pt idx="5">
                  <c:v>283.28571428571428</c:v>
                </c:pt>
                <c:pt idx="6">
                  <c:v>285.28571428571428</c:v>
                </c:pt>
                <c:pt idx="7">
                  <c:v>296.42857142857144</c:v>
                </c:pt>
                <c:pt idx="8">
                  <c:v>308.57142857142856</c:v>
                </c:pt>
                <c:pt idx="9">
                  <c:v>303.85714285714283</c:v>
                </c:pt>
                <c:pt idx="10">
                  <c:v>317</c:v>
                </c:pt>
                <c:pt idx="11">
                  <c:v>313.71428571428572</c:v>
                </c:pt>
                <c:pt idx="12">
                  <c:v>312</c:v>
                </c:pt>
                <c:pt idx="13">
                  <c:v>332.28571428571428</c:v>
                </c:pt>
                <c:pt idx="14">
                  <c:v>342</c:v>
                </c:pt>
                <c:pt idx="15">
                  <c:v>349.57142857142856</c:v>
                </c:pt>
                <c:pt idx="16">
                  <c:v>373</c:v>
                </c:pt>
                <c:pt idx="17">
                  <c:v>390.42857142857144</c:v>
                </c:pt>
                <c:pt idx="18">
                  <c:v>418</c:v>
                </c:pt>
                <c:pt idx="19">
                  <c:v>441.57142857142856</c:v>
                </c:pt>
                <c:pt idx="20">
                  <c:v>443</c:v>
                </c:pt>
                <c:pt idx="21">
                  <c:v>453.57142857142856</c:v>
                </c:pt>
                <c:pt idx="22">
                  <c:v>463.71428571428572</c:v>
                </c:pt>
                <c:pt idx="23">
                  <c:v>462.42857142857144</c:v>
                </c:pt>
                <c:pt idx="24">
                  <c:v>456</c:v>
                </c:pt>
                <c:pt idx="25">
                  <c:v>445.14285714285717</c:v>
                </c:pt>
                <c:pt idx="26">
                  <c:v>446.14285714285717</c:v>
                </c:pt>
                <c:pt idx="27">
                  <c:v>454.42857142857144</c:v>
                </c:pt>
                <c:pt idx="28">
                  <c:v>462.71428571428572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B24-4699-BB22-DE8A1B88444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'7pBase'!$A$2:$A$36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'7pBase'!$J$2:$J$36</c:f>
              <c:numCache>
                <c:formatCode>General</c:formatCode>
                <c:ptCount val="35"/>
                <c:pt idx="0">
                  <c:v>144.17195998193779</c:v>
                </c:pt>
                <c:pt idx="1">
                  <c:v>214.16051041994311</c:v>
                </c:pt>
                <c:pt idx="2">
                  <c:v>225.42551436450805</c:v>
                </c:pt>
                <c:pt idx="3">
                  <c:v>321.90804842781961</c:v>
                </c:pt>
                <c:pt idx="4">
                  <c:v>236.7252560357781</c:v>
                </c:pt>
                <c:pt idx="5">
                  <c:v>239.14729493830302</c:v>
                </c:pt>
                <c:pt idx="6">
                  <c:v>206.54860573693034</c:v>
                </c:pt>
                <c:pt idx="7">
                  <c:v>191.39988876845359</c:v>
                </c:pt>
                <c:pt idx="8">
                  <c:v>281.17904534814033</c:v>
                </c:pt>
                <c:pt idx="9">
                  <c:v>292.95055786199066</c:v>
                </c:pt>
                <c:pt idx="10">
                  <c:v>414.37699272716958</c:v>
                </c:pt>
                <c:pt idx="11">
                  <c:v>302.04475902416095</c:v>
                </c:pt>
                <c:pt idx="12">
                  <c:v>302.63261328633212</c:v>
                </c:pt>
                <c:pt idx="13">
                  <c:v>259.37667045583646</c:v>
                </c:pt>
                <c:pt idx="14">
                  <c:v>238.62781755496937</c:v>
                </c:pt>
                <c:pt idx="15">
                  <c:v>348.19758027633765</c:v>
                </c:pt>
                <c:pt idx="16">
                  <c:v>360.47560135947339</c:v>
                </c:pt>
                <c:pt idx="17">
                  <c:v>506.84593702651955</c:v>
                </c:pt>
                <c:pt idx="18">
                  <c:v>367.36426201254369</c:v>
                </c:pt>
                <c:pt idx="19">
                  <c:v>366.11793163436118</c:v>
                </c:pt>
                <c:pt idx="20">
                  <c:v>312.20473517474261</c:v>
                </c:pt>
                <c:pt idx="21">
                  <c:v>285.8557463414852</c:v>
                </c:pt>
                <c:pt idx="22">
                  <c:v>415.2161152045349</c:v>
                </c:pt>
                <c:pt idx="23">
                  <c:v>428.000644856956</c:v>
                </c:pt>
                <c:pt idx="24">
                  <c:v>599.31488132586946</c:v>
                </c:pt>
                <c:pt idx="25">
                  <c:v>432.68376500092648</c:v>
                </c:pt>
                <c:pt idx="26">
                  <c:v>429.60324998239037</c:v>
                </c:pt>
                <c:pt idx="27">
                  <c:v>365.0327998936487</c:v>
                </c:pt>
                <c:pt idx="28">
                  <c:v>333.08367512800095</c:v>
                </c:pt>
                <c:pt idx="29">
                  <c:v>482.23465013273216</c:v>
                </c:pt>
                <c:pt idx="30">
                  <c:v>495.52568835443878</c:v>
                </c:pt>
                <c:pt idx="31">
                  <c:v>691.78382562521949</c:v>
                </c:pt>
                <c:pt idx="32">
                  <c:v>498.00326798930934</c:v>
                </c:pt>
                <c:pt idx="33">
                  <c:v>493.08856833041943</c:v>
                </c:pt>
                <c:pt idx="34">
                  <c:v>417.86086461255479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B24-4699-BB22-DE8A1B88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827440"/>
        <c:axId val="893819120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valAx>
        <c:axId val="8938191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27440"/>
        <c:crosses val="max"/>
        <c:crossBetween val="midCat"/>
      </c:valAx>
      <c:valAx>
        <c:axId val="89382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381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'7pBase'!$U$2:$U$8</c:f>
              <c:numCache>
                <c:formatCode>General</c:formatCode>
                <c:ptCount val="7"/>
                <c:pt idx="0">
                  <c:v>0.7251915702508519</c:v>
                </c:pt>
                <c:pt idx="1">
                  <c:v>1.0290791451004149</c:v>
                </c:pt>
                <c:pt idx="2">
                  <c:v>1.036856656292277</c:v>
                </c:pt>
                <c:pt idx="3">
                  <c:v>1.4198738043119525</c:v>
                </c:pt>
                <c:pt idx="4">
                  <c:v>1.0029902677772111</c:v>
                </c:pt>
                <c:pt idx="5">
                  <c:v>0.97482610149584215</c:v>
                </c:pt>
                <c:pt idx="6">
                  <c:v>0.8111824547714509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7-4E35-95DD-A09C22384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3-46CD-B4B9-32E799FB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'7.TrendAndSeasChopraMine4p'!$M$1</c:f>
          <c:strCache>
            <c:ptCount val="1"/>
            <c:pt idx="0">
              <c:v>Ft(TrSeasAdjExpSmoo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'7.TrendAndSeasChopraMine4p'!$B$1</c:f>
              <c:strCache>
                <c:ptCount val="1"/>
                <c:pt idx="0">
                  <c:v>TrendData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'7.TrendAndSeasChopraMine4p'!$A$3:$A$30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'7.TrendAndSeasChopraMine4p'!$B$3:$B$30</c:f>
              <c:numCache>
                <c:formatCode>General</c:formatCode>
                <c:ptCount val="28"/>
                <c:pt idx="0">
                  <c:v>21</c:v>
                </c:pt>
                <c:pt idx="1">
                  <c:v>27</c:v>
                </c:pt>
                <c:pt idx="2">
                  <c:v>38</c:v>
                </c:pt>
                <c:pt idx="3">
                  <c:v>28</c:v>
                </c:pt>
                <c:pt idx="4">
                  <c:v>38</c:v>
                </c:pt>
                <c:pt idx="5">
                  <c:v>49</c:v>
                </c:pt>
                <c:pt idx="6">
                  <c:v>47</c:v>
                </c:pt>
                <c:pt idx="7">
                  <c:v>35</c:v>
                </c:pt>
                <c:pt idx="8">
                  <c:v>42</c:v>
                </c:pt>
                <c:pt idx="9">
                  <c:v>55</c:v>
                </c:pt>
                <c:pt idx="10">
                  <c:v>56</c:v>
                </c:pt>
                <c:pt idx="11">
                  <c:v>32</c:v>
                </c:pt>
                <c:pt idx="12">
                  <c:v>35</c:v>
                </c:pt>
                <c:pt idx="13">
                  <c:v>55</c:v>
                </c:pt>
                <c:pt idx="14">
                  <c:v>50</c:v>
                </c:pt>
                <c:pt idx="15">
                  <c:v>46</c:v>
                </c:pt>
                <c:pt idx="16">
                  <c:v>44</c:v>
                </c:pt>
                <c:pt idx="17">
                  <c:v>45</c:v>
                </c:pt>
                <c:pt idx="18">
                  <c:v>59</c:v>
                </c:pt>
                <c:pt idx="19">
                  <c:v>49</c:v>
                </c:pt>
                <c:pt idx="20">
                  <c:v>39</c:v>
                </c:pt>
                <c:pt idx="21">
                  <c:v>73</c:v>
                </c:pt>
                <c:pt idx="22">
                  <c:v>75</c:v>
                </c:pt>
                <c:pt idx="23">
                  <c:v>56</c:v>
                </c:pt>
                <c:pt idx="24">
                  <c:v>60</c:v>
                </c:pt>
                <c:pt idx="25">
                  <c:v>71</c:v>
                </c:pt>
                <c:pt idx="26">
                  <c:v>84</c:v>
                </c:pt>
                <c:pt idx="27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2E-479B-9C97-12B627FB14AD}"/>
            </c:ext>
          </c:extLst>
        </c:ser>
        <c:ser>
          <c:idx val="0"/>
          <c:order val="1"/>
          <c:tx>
            <c:strRef>
              <c:f>'7.TrendAndSeasChopraMine4p'!$M$1</c:f>
              <c:strCache>
                <c:ptCount val="1"/>
                <c:pt idx="0">
                  <c:v>Ft(TrSeasAdjExpSmoo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'7.TrendAndSeasChopraMine4p'!$A$3:$A$34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xVal>
          <c:yVal>
            <c:numRef>
              <c:f>'7.TrendAndSeasChopraMine4p'!$M$3:$M$34</c:f>
              <c:numCache>
                <c:formatCode>0.0000</c:formatCode>
                <c:ptCount val="32"/>
                <c:pt idx="0">
                  <c:v>27.474864240286269</c:v>
                </c:pt>
                <c:pt idx="1">
                  <c:v>28.288139956007932</c:v>
                </c:pt>
                <c:pt idx="2">
                  <c:v>39.467867736224356</c:v>
                </c:pt>
                <c:pt idx="3">
                  <c:v>29.025422245928031</c:v>
                </c:pt>
                <c:pt idx="4">
                  <c:v>39.166320987669884</c:v>
                </c:pt>
                <c:pt idx="5">
                  <c:v>50.494355728483796</c:v>
                </c:pt>
                <c:pt idx="6">
                  <c:v>48.503688650513396</c:v>
                </c:pt>
                <c:pt idx="7">
                  <c:v>36.059515722185495</c:v>
                </c:pt>
                <c:pt idx="8">
                  <c:v>43.159988147156476</c:v>
                </c:pt>
                <c:pt idx="9">
                  <c:v>56.496090736247808</c:v>
                </c:pt>
                <c:pt idx="10">
                  <c:v>57.538528577840019</c:v>
                </c:pt>
                <c:pt idx="11">
                  <c:v>32.967320179475976</c:v>
                </c:pt>
                <c:pt idx="12">
                  <c:v>36.016429930603891</c:v>
                </c:pt>
                <c:pt idx="13">
                  <c:v>56.425945147863494</c:v>
                </c:pt>
                <c:pt idx="14">
                  <c:v>51.389606808328857</c:v>
                </c:pt>
                <c:pt idx="15">
                  <c:v>47.093507445961507</c:v>
                </c:pt>
                <c:pt idx="16">
                  <c:v>45.076038526650223</c:v>
                </c:pt>
                <c:pt idx="17">
                  <c:v>46.229694916848203</c:v>
                </c:pt>
                <c:pt idx="18">
                  <c:v>60.430276632038364</c:v>
                </c:pt>
                <c:pt idx="19">
                  <c:v>50.080672125503462</c:v>
                </c:pt>
                <c:pt idx="20">
                  <c:v>39.960724091193839</c:v>
                </c:pt>
                <c:pt idx="21">
                  <c:v>74.514883020433416</c:v>
                </c:pt>
                <c:pt idx="22">
                  <c:v>76.556801125692857</c:v>
                </c:pt>
                <c:pt idx="23">
                  <c:v>57.115896503667166</c:v>
                </c:pt>
                <c:pt idx="24">
                  <c:v>61.169105618276788</c:v>
                </c:pt>
                <c:pt idx="25">
                  <c:v>72.414126072113618</c:v>
                </c:pt>
                <c:pt idx="26">
                  <c:v>85.590886771920296</c:v>
                </c:pt>
                <c:pt idx="27">
                  <c:v>42.885005315405451</c:v>
                </c:pt>
                <c:pt idx="28" formatCode="0.00">
                  <c:v>44.712658799175117</c:v>
                </c:pt>
                <c:pt idx="29" formatCode="0.00">
                  <c:v>59.475526622835929</c:v>
                </c:pt>
                <c:pt idx="30" formatCode="0.00">
                  <c:v>64.433404061044953</c:v>
                </c:pt>
                <c:pt idx="31" formatCode="0.00">
                  <c:v>45.540021261621796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2E-479B-9C97-12B627FB1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32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'7.TrendAndSeasChopraMine4p'!$I$1</c:f>
          <c:strCache>
            <c:ptCount val="1"/>
            <c:pt idx="0">
              <c:v>Ft (Stat.Reg)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'7.TrendAndSeasChopraMine4p'!$B$1</c:f>
              <c:strCache>
                <c:ptCount val="1"/>
                <c:pt idx="0">
                  <c:v>TrendData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'7.TrendAndSeasChopraMine4p'!$A$3:$A$30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'7.TrendAndSeasChopraMine4p'!$B$3:$B$30</c:f>
              <c:numCache>
                <c:formatCode>General</c:formatCode>
                <c:ptCount val="28"/>
                <c:pt idx="0">
                  <c:v>21</c:v>
                </c:pt>
                <c:pt idx="1">
                  <c:v>27</c:v>
                </c:pt>
                <c:pt idx="2">
                  <c:v>38</c:v>
                </c:pt>
                <c:pt idx="3">
                  <c:v>28</c:v>
                </c:pt>
                <c:pt idx="4">
                  <c:v>38</c:v>
                </c:pt>
                <c:pt idx="5">
                  <c:v>49</c:v>
                </c:pt>
                <c:pt idx="6">
                  <c:v>47</c:v>
                </c:pt>
                <c:pt idx="7">
                  <c:v>35</c:v>
                </c:pt>
                <c:pt idx="8">
                  <c:v>42</c:v>
                </c:pt>
                <c:pt idx="9">
                  <c:v>55</c:v>
                </c:pt>
                <c:pt idx="10">
                  <c:v>56</c:v>
                </c:pt>
                <c:pt idx="11">
                  <c:v>32</c:v>
                </c:pt>
                <c:pt idx="12">
                  <c:v>35</c:v>
                </c:pt>
                <c:pt idx="13">
                  <c:v>55</c:v>
                </c:pt>
                <c:pt idx="14">
                  <c:v>50</c:v>
                </c:pt>
                <c:pt idx="15">
                  <c:v>46</c:v>
                </c:pt>
                <c:pt idx="16">
                  <c:v>44</c:v>
                </c:pt>
                <c:pt idx="17">
                  <c:v>45</c:v>
                </c:pt>
                <c:pt idx="18">
                  <c:v>59</c:v>
                </c:pt>
                <c:pt idx="19">
                  <c:v>49</c:v>
                </c:pt>
                <c:pt idx="20">
                  <c:v>39</c:v>
                </c:pt>
                <c:pt idx="21">
                  <c:v>73</c:v>
                </c:pt>
                <c:pt idx="22">
                  <c:v>75</c:v>
                </c:pt>
                <c:pt idx="23">
                  <c:v>56</c:v>
                </c:pt>
                <c:pt idx="24">
                  <c:v>60</c:v>
                </c:pt>
                <c:pt idx="25">
                  <c:v>71</c:v>
                </c:pt>
                <c:pt idx="26">
                  <c:v>84</c:v>
                </c:pt>
                <c:pt idx="27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28-4239-A2CD-3973028C4AE9}"/>
            </c:ext>
          </c:extLst>
        </c:ser>
        <c:ser>
          <c:idx val="0"/>
          <c:order val="1"/>
          <c:tx>
            <c:strRef>
              <c:f>'7.TrendAndSeasChopraMine4p'!$M$1</c:f>
              <c:strCache>
                <c:ptCount val="1"/>
                <c:pt idx="0">
                  <c:v>Ft(TrSeasAdjExpSmoo</c:v>
                </c:pt>
              </c:strCache>
            </c:strRef>
          </c:tx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'7.TrendAndSeasChopraMine4p'!$A$3:$A$34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xVal>
          <c:yVal>
            <c:numRef>
              <c:f>'7.TrendAndSeasChopraMine4p'!$I$3:$I$34</c:f>
              <c:numCache>
                <c:formatCode>0.00</c:formatCode>
                <c:ptCount val="32"/>
                <c:pt idx="0">
                  <c:v>27.474864240286269</c:v>
                </c:pt>
                <c:pt idx="1">
                  <c:v>37.222571176867334</c:v>
                </c:pt>
                <c:pt idx="2">
                  <c:v>41.029053287233381</c:v>
                </c:pt>
                <c:pt idx="3">
                  <c:v>29.476340867545851</c:v>
                </c:pt>
                <c:pt idx="4">
                  <c:v>31.818445307733892</c:v>
                </c:pt>
                <c:pt idx="5">
                  <c:v>42.88345899062093</c:v>
                </c:pt>
                <c:pt idx="6">
                  <c:v>47.040288633420154</c:v>
                </c:pt>
                <c:pt idx="7">
                  <c:v>33.642375770592636</c:v>
                </c:pt>
                <c:pt idx="8">
                  <c:v>36.162026375181505</c:v>
                </c:pt>
                <c:pt idx="9">
                  <c:v>48.544346804374527</c:v>
                </c:pt>
                <c:pt idx="10">
                  <c:v>53.051523979606927</c:v>
                </c:pt>
                <c:pt idx="11">
                  <c:v>37.808410673639422</c:v>
                </c:pt>
                <c:pt idx="12">
                  <c:v>40.505607442629127</c:v>
                </c:pt>
                <c:pt idx="13">
                  <c:v>54.205234618128138</c:v>
                </c:pt>
                <c:pt idx="14">
                  <c:v>59.062759325793706</c:v>
                </c:pt>
                <c:pt idx="15">
                  <c:v>41.974445576686215</c:v>
                </c:pt>
                <c:pt idx="16">
                  <c:v>44.849188510076743</c:v>
                </c:pt>
                <c:pt idx="17">
                  <c:v>59.866122431881735</c:v>
                </c:pt>
                <c:pt idx="18">
                  <c:v>65.073994671980486</c:v>
                </c:pt>
                <c:pt idx="19">
                  <c:v>46.140480479733</c:v>
                </c:pt>
                <c:pt idx="20">
                  <c:v>49.192769577524359</c:v>
                </c:pt>
                <c:pt idx="21">
                  <c:v>65.527010245635324</c:v>
                </c:pt>
                <c:pt idx="22">
                  <c:v>71.085230018167252</c:v>
                </c:pt>
                <c:pt idx="23">
                  <c:v>50.306515382779793</c:v>
                </c:pt>
                <c:pt idx="24">
                  <c:v>53.536350644971975</c:v>
                </c:pt>
                <c:pt idx="25">
                  <c:v>71.187898059388928</c:v>
                </c:pt>
                <c:pt idx="26">
                  <c:v>77.096465364354017</c:v>
                </c:pt>
                <c:pt idx="27">
                  <c:v>54.472550285826571</c:v>
                </c:pt>
                <c:pt idx="28">
                  <c:v>57.879931712419591</c:v>
                </c:pt>
                <c:pt idx="29">
                  <c:v>76.848785873142532</c:v>
                </c:pt>
                <c:pt idx="30">
                  <c:v>83.107700710540811</c:v>
                </c:pt>
                <c:pt idx="31">
                  <c:v>58.638585188873371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28-4239-A2CD-3973028C4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32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'7b.TrendAndSeasChopraBook'!$B$1</c:f>
          <c:strCache>
            <c:ptCount val="1"/>
            <c:pt idx="0">
              <c:v>TrendData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'7b.TrendAndSeasChopraBook'!$B$1</c:f>
              <c:strCache>
                <c:ptCount val="1"/>
                <c:pt idx="0">
                  <c:v>TrendData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'7b.TrendAndSeasChopraBook'!$A$3:$A$30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'7b.TrendAndSeasChopraBook'!$B$3:$B$30</c:f>
              <c:numCache>
                <c:formatCode>General</c:formatCode>
                <c:ptCount val="28"/>
                <c:pt idx="0">
                  <c:v>8000</c:v>
                </c:pt>
                <c:pt idx="1">
                  <c:v>13000</c:v>
                </c:pt>
                <c:pt idx="2">
                  <c:v>23000</c:v>
                </c:pt>
                <c:pt idx="3">
                  <c:v>34000</c:v>
                </c:pt>
                <c:pt idx="4">
                  <c:v>10000</c:v>
                </c:pt>
                <c:pt idx="5">
                  <c:v>18000</c:v>
                </c:pt>
                <c:pt idx="6">
                  <c:v>23000</c:v>
                </c:pt>
                <c:pt idx="7">
                  <c:v>38000</c:v>
                </c:pt>
                <c:pt idx="8">
                  <c:v>12000</c:v>
                </c:pt>
                <c:pt idx="9">
                  <c:v>13000</c:v>
                </c:pt>
                <c:pt idx="10">
                  <c:v>32000</c:v>
                </c:pt>
                <c:pt idx="11">
                  <c:v>41000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2-4F8C-94D7-8AC28A960991}"/>
            </c:ext>
          </c:extLst>
        </c:ser>
        <c:ser>
          <c:idx val="0"/>
          <c:order val="1"/>
          <c:tx>
            <c:strRef>
              <c:f>'7b.TrendAndSeasChopraBook'!$M$1</c:f>
              <c:strCache>
                <c:ptCount val="1"/>
                <c:pt idx="0">
                  <c:v>Ft(TrSeasAdjExpSmoo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'7b.TrendAndSeasChopraBook'!$A$3:$A$34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xVal>
          <c:yVal>
            <c:numRef>
              <c:f>'7b.TrendAndSeasChopraBook'!$M$3:$M$18</c:f>
              <c:numCache>
                <c:formatCode>0.0000</c:formatCode>
                <c:ptCount val="16"/>
                <c:pt idx="0">
                  <c:v>8966.3233717127368</c:v>
                </c:pt>
                <c:pt idx="1">
                  <c:v>13609.735442881156</c:v>
                </c:pt>
                <c:pt idx="2">
                  <c:v>23897.321943273386</c:v>
                </c:pt>
                <c:pt idx="3">
                  <c:v>34828.043037682626</c:v>
                </c:pt>
                <c:pt idx="4">
                  <c:v>10015.272708869217</c:v>
                </c:pt>
                <c:pt idx="5">
                  <c:v>15174.266436441609</c:v>
                </c:pt>
                <c:pt idx="6">
                  <c:v>26476.956904982584</c:v>
                </c:pt>
                <c:pt idx="7">
                  <c:v>38588.416503408538</c:v>
                </c:pt>
                <c:pt idx="8">
                  <c:v>11153.162711683479</c:v>
                </c:pt>
                <c:pt idx="9">
                  <c:v>16812.154065218456</c:v>
                </c:pt>
                <c:pt idx="10">
                  <c:v>28668.678237399676</c:v>
                </c:pt>
                <c:pt idx="11">
                  <c:v>42194.989557426314</c:v>
                </c:pt>
                <c:pt idx="12">
                  <c:v>11973.423559735484</c:v>
                </c:pt>
                <c:pt idx="13">
                  <c:v>17646.463281136883</c:v>
                </c:pt>
                <c:pt idx="14">
                  <c:v>30949.702417485096</c:v>
                </c:pt>
                <c:pt idx="15">
                  <c:v>44808.514306899138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62-4F8C-94D7-8AC28A960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32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'7c.Trend&amp;Season'!$A$4:$A$78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'7c.Trend&amp;Season'!$B$4:$B$78</c:f>
              <c:numCache>
                <c:formatCode>0</c:formatCode>
                <c:ptCount val="75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B-4B2B-8C2E-46AAA498B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'7c.Trend&amp;Season'!$C$3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'7c.Trend&amp;Season'!$A$6:$A$29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numCache>
            </c:numRef>
          </c:xVal>
          <c:yVal>
            <c:numRef>
              <c:f>'7c.Trend&amp;Season'!$C$6:$C$29</c:f>
              <c:numCache>
                <c:formatCode>0</c:formatCode>
                <c:ptCount val="24"/>
                <c:pt idx="0">
                  <c:v>35</c:v>
                </c:pt>
                <c:pt idx="1">
                  <c:v>36.25</c:v>
                </c:pt>
                <c:pt idx="2">
                  <c:v>38.75</c:v>
                </c:pt>
                <c:pt idx="3">
                  <c:v>40.75</c:v>
                </c:pt>
                <c:pt idx="4">
                  <c:v>44.375</c:v>
                </c:pt>
                <c:pt idx="5">
                  <c:v>45.375</c:v>
                </c:pt>
                <c:pt idx="6">
                  <c:v>47.25</c:v>
                </c:pt>
                <c:pt idx="7">
                  <c:v>48.625</c:v>
                </c:pt>
                <c:pt idx="8">
                  <c:v>47.75</c:v>
                </c:pt>
                <c:pt idx="9">
                  <c:v>47.375</c:v>
                </c:pt>
                <c:pt idx="10">
                  <c:v>46.5</c:v>
                </c:pt>
                <c:pt idx="11">
                  <c:v>49</c:v>
                </c:pt>
                <c:pt idx="12">
                  <c:v>51.125</c:v>
                </c:pt>
                <c:pt idx="13">
                  <c:v>54</c:v>
                </c:pt>
                <c:pt idx="14">
                  <c:v>56.625</c:v>
                </c:pt>
                <c:pt idx="15">
                  <c:v>56</c:v>
                </c:pt>
                <c:pt idx="16">
                  <c:v>57.875</c:v>
                </c:pt>
                <c:pt idx="17">
                  <c:v>60.25</c:v>
                </c:pt>
                <c:pt idx="18">
                  <c:v>62.625</c:v>
                </c:pt>
                <c:pt idx="19">
                  <c:v>63</c:v>
                </c:pt>
                <c:pt idx="20">
                  <c:v>60.375</c:v>
                </c:pt>
                <c:pt idx="21">
                  <c:v>58.25</c:v>
                </c:pt>
                <c:pt idx="22">
                  <c:v>58.25</c:v>
                </c:pt>
                <c:pt idx="23">
                  <c:v>62.125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30-476E-8EDD-D223B7303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'7c.Trend&amp;Season'!$D$3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'7c.Trend&amp;Season'!$C$3</c:f>
              <c:strCache>
                <c:ptCount val="1"/>
                <c:pt idx="0">
                  <c:v>Centered-MA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'7c.Trend&amp;Season'!$A$4:$A$31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'7c.Trend&amp;Season'!$C$4:$C$31</c:f>
              <c:numCache>
                <c:formatCode>General</c:formatCode>
                <c:ptCount val="28"/>
                <c:pt idx="2" formatCode="0">
                  <c:v>35</c:v>
                </c:pt>
                <c:pt idx="3" formatCode="0">
                  <c:v>36.25</c:v>
                </c:pt>
                <c:pt idx="4" formatCode="0">
                  <c:v>38.75</c:v>
                </c:pt>
                <c:pt idx="5" formatCode="0">
                  <c:v>40.75</c:v>
                </c:pt>
                <c:pt idx="6" formatCode="0">
                  <c:v>44.375</c:v>
                </c:pt>
                <c:pt idx="7" formatCode="0">
                  <c:v>45.375</c:v>
                </c:pt>
                <c:pt idx="8" formatCode="0">
                  <c:v>47.25</c:v>
                </c:pt>
                <c:pt idx="9" formatCode="0">
                  <c:v>48.625</c:v>
                </c:pt>
                <c:pt idx="10" formatCode="0">
                  <c:v>47.75</c:v>
                </c:pt>
                <c:pt idx="11" formatCode="0">
                  <c:v>47.375</c:v>
                </c:pt>
                <c:pt idx="12" formatCode="0">
                  <c:v>46.5</c:v>
                </c:pt>
                <c:pt idx="13" formatCode="0">
                  <c:v>49</c:v>
                </c:pt>
                <c:pt idx="14" formatCode="0">
                  <c:v>51.125</c:v>
                </c:pt>
                <c:pt idx="15" formatCode="0">
                  <c:v>54</c:v>
                </c:pt>
                <c:pt idx="16" formatCode="0">
                  <c:v>56.625</c:v>
                </c:pt>
                <c:pt idx="17" formatCode="0">
                  <c:v>56</c:v>
                </c:pt>
                <c:pt idx="18" formatCode="0">
                  <c:v>57.875</c:v>
                </c:pt>
                <c:pt idx="19" formatCode="0">
                  <c:v>60.25</c:v>
                </c:pt>
                <c:pt idx="20" formatCode="0">
                  <c:v>62.625</c:v>
                </c:pt>
                <c:pt idx="21" formatCode="0">
                  <c:v>63</c:v>
                </c:pt>
                <c:pt idx="22" formatCode="0">
                  <c:v>60.375</c:v>
                </c:pt>
                <c:pt idx="23" formatCode="0">
                  <c:v>58.25</c:v>
                </c:pt>
                <c:pt idx="24" formatCode="0">
                  <c:v>58.25</c:v>
                </c:pt>
                <c:pt idx="25" formatCode="0">
                  <c:v>62.125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20-4FA6-9237-F53EFA30D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'7c.Trend&amp;Season'!$A$4:$A$31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'7c.Trend&amp;Season'!$D$4:$D$31</c:f>
              <c:numCache>
                <c:formatCode>0.0</c:formatCode>
                <c:ptCount val="28"/>
                <c:pt idx="0">
                  <c:v>35.600289855072468</c:v>
                </c:pt>
                <c:pt idx="1">
                  <c:v>36.751811594202898</c:v>
                </c:pt>
                <c:pt idx="2">
                  <c:v>37.903333333333336</c:v>
                </c:pt>
                <c:pt idx="3">
                  <c:v>39.054855072463766</c:v>
                </c:pt>
                <c:pt idx="4">
                  <c:v>40.206376811594204</c:v>
                </c:pt>
                <c:pt idx="5">
                  <c:v>41.357898550724641</c:v>
                </c:pt>
                <c:pt idx="6">
                  <c:v>42.509420289855072</c:v>
                </c:pt>
                <c:pt idx="7">
                  <c:v>43.660942028985509</c:v>
                </c:pt>
                <c:pt idx="8">
                  <c:v>44.812463768115947</c:v>
                </c:pt>
                <c:pt idx="9">
                  <c:v>45.963985507246377</c:v>
                </c:pt>
                <c:pt idx="10">
                  <c:v>47.115507246376815</c:v>
                </c:pt>
                <c:pt idx="11">
                  <c:v>48.267028985507253</c:v>
                </c:pt>
                <c:pt idx="12">
                  <c:v>49.418550724637683</c:v>
                </c:pt>
                <c:pt idx="13">
                  <c:v>50.57007246376812</c:v>
                </c:pt>
                <c:pt idx="14">
                  <c:v>51.721594202898558</c:v>
                </c:pt>
                <c:pt idx="15">
                  <c:v>52.873115942028988</c:v>
                </c:pt>
                <c:pt idx="16">
                  <c:v>54.024637681159419</c:v>
                </c:pt>
                <c:pt idx="17">
                  <c:v>55.176159420289856</c:v>
                </c:pt>
                <c:pt idx="18">
                  <c:v>56.327681159420294</c:v>
                </c:pt>
                <c:pt idx="19">
                  <c:v>57.479202898550724</c:v>
                </c:pt>
                <c:pt idx="20">
                  <c:v>58.630724637681162</c:v>
                </c:pt>
                <c:pt idx="21">
                  <c:v>59.782246376811599</c:v>
                </c:pt>
                <c:pt idx="22">
                  <c:v>60.93376811594203</c:v>
                </c:pt>
                <c:pt idx="23">
                  <c:v>62.085289855072467</c:v>
                </c:pt>
                <c:pt idx="24">
                  <c:v>63.236811594202905</c:v>
                </c:pt>
                <c:pt idx="25">
                  <c:v>64.388333333333335</c:v>
                </c:pt>
                <c:pt idx="26">
                  <c:v>65.53985507246378</c:v>
                </c:pt>
                <c:pt idx="27">
                  <c:v>66.69137681159421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50E-48C3-8172-89A05CB1E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'7c.Trend&amp;Season'!$G$3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'7c.Trend&amp;Season'!$A$4:$A$31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'7c.Trend&amp;Season'!$B$4:$B$31</c:f>
              <c:numCache>
                <c:formatCode>0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9-4A19-9B27-DCA2BF4C70F0}"/>
            </c:ext>
          </c:extLst>
        </c:ser>
        <c:ser>
          <c:idx val="1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'7c.Trend&amp;Season'!$A$4:$A$78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'7c.Trend&amp;Season'!$G$4:$G$83</c:f>
              <c:numCache>
                <c:formatCode>0.00</c:formatCode>
                <c:ptCount val="80"/>
                <c:pt idx="0">
                  <c:v>29.361217268185175</c:v>
                </c:pt>
                <c:pt idx="1">
                  <c:v>38.146208938257594</c:v>
                </c:pt>
                <c:pt idx="2">
                  <c:v>50.064698089078732</c:v>
                </c:pt>
                <c:pt idx="3">
                  <c:v>31.886742168009778</c:v>
                </c:pt>
                <c:pt idx="4">
                  <c:v>33.160071727998485</c:v>
                </c:pt>
                <c:pt idx="5">
                  <c:v>42.927055046507029</c:v>
                </c:pt>
                <c:pt idx="6">
                  <c:v>56.148657798435096</c:v>
                </c:pt>
                <c:pt idx="7">
                  <c:v>35.647429716677621</c:v>
                </c:pt>
                <c:pt idx="8">
                  <c:v>36.958926187811798</c:v>
                </c:pt>
                <c:pt idx="9">
                  <c:v>47.707901154756456</c:v>
                </c:pt>
                <c:pt idx="10">
                  <c:v>62.232617507791474</c:v>
                </c:pt>
                <c:pt idx="11">
                  <c:v>39.408117265345467</c:v>
                </c:pt>
                <c:pt idx="12">
                  <c:v>40.757780647625104</c:v>
                </c:pt>
                <c:pt idx="13">
                  <c:v>52.488747263005891</c:v>
                </c:pt>
                <c:pt idx="14">
                  <c:v>68.316577217147852</c:v>
                </c:pt>
                <c:pt idx="15">
                  <c:v>43.168804814013306</c:v>
                </c:pt>
                <c:pt idx="16">
                  <c:v>44.55663510743841</c:v>
                </c:pt>
                <c:pt idx="17">
                  <c:v>57.269593371255318</c:v>
                </c:pt>
                <c:pt idx="18">
                  <c:v>74.400536926504216</c:v>
                </c:pt>
                <c:pt idx="19">
                  <c:v>46.929492362681145</c:v>
                </c:pt>
                <c:pt idx="20">
                  <c:v>48.355489567251723</c:v>
                </c:pt>
                <c:pt idx="21">
                  <c:v>62.050439479504753</c:v>
                </c:pt>
                <c:pt idx="22">
                  <c:v>80.484496635860594</c:v>
                </c:pt>
                <c:pt idx="23">
                  <c:v>50.690179911348991</c:v>
                </c:pt>
                <c:pt idx="24">
                  <c:v>52.154344027065036</c:v>
                </c:pt>
                <c:pt idx="25">
                  <c:v>66.831285587754181</c:v>
                </c:pt>
                <c:pt idx="26">
                  <c:v>86.568456345216973</c:v>
                </c:pt>
                <c:pt idx="27">
                  <c:v>54.450867460016838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79-4A19-9B27-DCA2BF4C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MultiRefSeas!#REF!</c:f>
          <c:strCache>
            <c:ptCount val="1"/>
            <c:pt idx="0">
              <c:v>#REF!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'9.MultiRefSeas'!$A$4:$A$31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'9.MultiRefSeas'!$F$4:$F$31</c:f>
              <c:numCache>
                <c:formatCode>General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MultiRefSeas!#REF!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8F7-4A09-8629-BC88CDEFF4FD}"/>
            </c:ext>
          </c:extLst>
        </c:ser>
        <c:ser>
          <c:idx val="0"/>
          <c:order val="1"/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'9.MultiRefSeas'!$A$4:$A$32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'9.MultiRefSeas'!$G$4:$G$32</c:f>
              <c:numCache>
                <c:formatCode>0.000000</c:formatCode>
                <c:ptCount val="29"/>
                <c:pt idx="0">
                  <c:v>26.526785714285719</c:v>
                </c:pt>
                <c:pt idx="1">
                  <c:v>38.241071428571431</c:v>
                </c:pt>
                <c:pt idx="2">
                  <c:v>54.383928571428562</c:v>
                </c:pt>
                <c:pt idx="3">
                  <c:v>29.098214285714285</c:v>
                </c:pt>
                <c:pt idx="4">
                  <c:v>31.303571428571434</c:v>
                </c:pt>
                <c:pt idx="5">
                  <c:v>43.017857142857139</c:v>
                </c:pt>
                <c:pt idx="6">
                  <c:v>59.160714285714278</c:v>
                </c:pt>
                <c:pt idx="7">
                  <c:v>33.875</c:v>
                </c:pt>
                <c:pt idx="8">
                  <c:v>36.080357142857146</c:v>
                </c:pt>
                <c:pt idx="9">
                  <c:v>47.794642857142861</c:v>
                </c:pt>
                <c:pt idx="10">
                  <c:v>63.937499999999986</c:v>
                </c:pt>
                <c:pt idx="11">
                  <c:v>38.651785714285715</c:v>
                </c:pt>
                <c:pt idx="12">
                  <c:v>40.857142857142854</c:v>
                </c:pt>
                <c:pt idx="13">
                  <c:v>52.571428571428569</c:v>
                </c:pt>
                <c:pt idx="14">
                  <c:v>68.714285714285708</c:v>
                </c:pt>
                <c:pt idx="15">
                  <c:v>43.428571428571431</c:v>
                </c:pt>
                <c:pt idx="16">
                  <c:v>45.633928571428569</c:v>
                </c:pt>
                <c:pt idx="17">
                  <c:v>57.348214285714278</c:v>
                </c:pt>
                <c:pt idx="18">
                  <c:v>73.491071428571416</c:v>
                </c:pt>
                <c:pt idx="19">
                  <c:v>48.205357142857139</c:v>
                </c:pt>
                <c:pt idx="20">
                  <c:v>50.410714285714285</c:v>
                </c:pt>
                <c:pt idx="21">
                  <c:v>62.125</c:v>
                </c:pt>
                <c:pt idx="22">
                  <c:v>78.267857142857139</c:v>
                </c:pt>
                <c:pt idx="23">
                  <c:v>52.982142857142854</c:v>
                </c:pt>
                <c:pt idx="24">
                  <c:v>55.187499999999993</c:v>
                </c:pt>
                <c:pt idx="25">
                  <c:v>66.901785714285708</c:v>
                </c:pt>
                <c:pt idx="26">
                  <c:v>83.044642857142847</c:v>
                </c:pt>
                <c:pt idx="27">
                  <c:v>57.758928571428569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MultiRefSeas!#REF!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8F7-4A09-8629-BC88CDEFF4FD}"/>
            </c:ext>
          </c:extLst>
        </c:ser>
        <c:ser>
          <c:idx val="2"/>
          <c:order val="2"/>
          <c:xVal>
            <c:numRef>
              <c:f>'9.MultiRefSeas'!$A$4:$A$31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'9.MultiRefSeas'!$G$4:$G$31</c:f>
              <c:numCache>
                <c:formatCode>0.000000</c:formatCode>
                <c:ptCount val="28"/>
                <c:pt idx="0">
                  <c:v>26.526785714285719</c:v>
                </c:pt>
                <c:pt idx="1">
                  <c:v>38.241071428571431</c:v>
                </c:pt>
                <c:pt idx="2">
                  <c:v>54.383928571428562</c:v>
                </c:pt>
                <c:pt idx="3">
                  <c:v>29.098214285714285</c:v>
                </c:pt>
                <c:pt idx="4">
                  <c:v>31.303571428571434</c:v>
                </c:pt>
                <c:pt idx="5">
                  <c:v>43.017857142857139</c:v>
                </c:pt>
                <c:pt idx="6">
                  <c:v>59.160714285714278</c:v>
                </c:pt>
                <c:pt idx="7">
                  <c:v>33.875</c:v>
                </c:pt>
                <c:pt idx="8">
                  <c:v>36.080357142857146</c:v>
                </c:pt>
                <c:pt idx="9">
                  <c:v>47.794642857142861</c:v>
                </c:pt>
                <c:pt idx="10">
                  <c:v>63.937499999999986</c:v>
                </c:pt>
                <c:pt idx="11">
                  <c:v>38.651785714285715</c:v>
                </c:pt>
                <c:pt idx="12">
                  <c:v>40.857142857142854</c:v>
                </c:pt>
                <c:pt idx="13">
                  <c:v>52.571428571428569</c:v>
                </c:pt>
                <c:pt idx="14">
                  <c:v>68.714285714285708</c:v>
                </c:pt>
                <c:pt idx="15">
                  <c:v>43.428571428571431</c:v>
                </c:pt>
                <c:pt idx="16">
                  <c:v>45.633928571428569</c:v>
                </c:pt>
                <c:pt idx="17">
                  <c:v>57.348214285714278</c:v>
                </c:pt>
                <c:pt idx="18">
                  <c:v>73.491071428571416</c:v>
                </c:pt>
                <c:pt idx="19">
                  <c:v>48.205357142857139</c:v>
                </c:pt>
                <c:pt idx="20">
                  <c:v>50.410714285714285</c:v>
                </c:pt>
                <c:pt idx="21">
                  <c:v>62.125</c:v>
                </c:pt>
                <c:pt idx="22">
                  <c:v>78.267857142857139</c:v>
                </c:pt>
                <c:pt idx="23">
                  <c:v>52.982142857142854</c:v>
                </c:pt>
                <c:pt idx="24">
                  <c:v>55.187499999999993</c:v>
                </c:pt>
                <c:pt idx="25">
                  <c:v>66.901785714285708</c:v>
                </c:pt>
                <c:pt idx="26">
                  <c:v>83.044642857142847</c:v>
                </c:pt>
                <c:pt idx="27">
                  <c:v>57.758928571428569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F7-4A09-8629-BC88CDEFF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9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'0.ArdiData28Fixed'!$B$2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'0.ArdiData28Fixed'!$B$3:$B$30</c:f>
              <c:numCache>
                <c:formatCode>General</c:formatCode>
                <c:ptCount val="28"/>
                <c:pt idx="0">
                  <c:v>50</c:v>
                </c:pt>
                <c:pt idx="1">
                  <c:v>25</c:v>
                </c:pt>
                <c:pt idx="2">
                  <c:v>33</c:v>
                </c:pt>
                <c:pt idx="3">
                  <c:v>72</c:v>
                </c:pt>
                <c:pt idx="4">
                  <c:v>67</c:v>
                </c:pt>
                <c:pt idx="5">
                  <c:v>35</c:v>
                </c:pt>
                <c:pt idx="6">
                  <c:v>42</c:v>
                </c:pt>
                <c:pt idx="7">
                  <c:v>44</c:v>
                </c:pt>
                <c:pt idx="8">
                  <c:v>51</c:v>
                </c:pt>
                <c:pt idx="9">
                  <c:v>39</c:v>
                </c:pt>
                <c:pt idx="10">
                  <c:v>46</c:v>
                </c:pt>
                <c:pt idx="11">
                  <c:v>41</c:v>
                </c:pt>
                <c:pt idx="12">
                  <c:v>69</c:v>
                </c:pt>
                <c:pt idx="13">
                  <c:v>28</c:v>
                </c:pt>
                <c:pt idx="14">
                  <c:v>82</c:v>
                </c:pt>
                <c:pt idx="15">
                  <c:v>65</c:v>
                </c:pt>
                <c:pt idx="16">
                  <c:v>47</c:v>
                </c:pt>
                <c:pt idx="17">
                  <c:v>53</c:v>
                </c:pt>
                <c:pt idx="18">
                  <c:v>90</c:v>
                </c:pt>
                <c:pt idx="19">
                  <c:v>56</c:v>
                </c:pt>
                <c:pt idx="20">
                  <c:v>51</c:v>
                </c:pt>
                <c:pt idx="21">
                  <c:v>40</c:v>
                </c:pt>
                <c:pt idx="22">
                  <c:v>61</c:v>
                </c:pt>
                <c:pt idx="23">
                  <c:v>72</c:v>
                </c:pt>
                <c:pt idx="24">
                  <c:v>39</c:v>
                </c:pt>
                <c:pt idx="25">
                  <c:v>31</c:v>
                </c:pt>
                <c:pt idx="26">
                  <c:v>62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1-4215-9285-1D3727437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'0.ArdiData28Fixed'!$C$3:$C$30</c:f>
              <c:numCache>
                <c:formatCode>General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39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50</c:v>
                </c:pt>
                <c:pt idx="15">
                  <c:v>51</c:v>
                </c:pt>
                <c:pt idx="16">
                  <c:v>51</c:v>
                </c:pt>
                <c:pt idx="17">
                  <c:v>53</c:v>
                </c:pt>
                <c:pt idx="18">
                  <c:v>56</c:v>
                </c:pt>
                <c:pt idx="19">
                  <c:v>61</c:v>
                </c:pt>
                <c:pt idx="20">
                  <c:v>62</c:v>
                </c:pt>
                <c:pt idx="21">
                  <c:v>65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72</c:v>
                </c:pt>
                <c:pt idx="26">
                  <c:v>82</c:v>
                </c:pt>
                <c:pt idx="2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A-4F83-B2BA-0110ABCB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'0.ArdiData28Fixed'!$D$3:$D$30</c:f>
              <c:numCache>
                <c:formatCode>General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F-4765-8F98-D8F4D5A25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'0.ArdiData28Fixed'!$E$2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'0.ArdiData28Fixed'!$E$3:$E$30</c:f>
              <c:numCache>
                <c:formatCode>General</c:formatCode>
                <c:ptCount val="28"/>
                <c:pt idx="0">
                  <c:v>39</c:v>
                </c:pt>
                <c:pt idx="1">
                  <c:v>67</c:v>
                </c:pt>
                <c:pt idx="2">
                  <c:v>50</c:v>
                </c:pt>
                <c:pt idx="3">
                  <c:v>35</c:v>
                </c:pt>
                <c:pt idx="4">
                  <c:v>28</c:v>
                </c:pt>
                <c:pt idx="5">
                  <c:v>61</c:v>
                </c:pt>
                <c:pt idx="6">
                  <c:v>51</c:v>
                </c:pt>
                <c:pt idx="7">
                  <c:v>46</c:v>
                </c:pt>
                <c:pt idx="8">
                  <c:v>48</c:v>
                </c:pt>
                <c:pt idx="9">
                  <c:v>56</c:v>
                </c:pt>
                <c:pt idx="10">
                  <c:v>72</c:v>
                </c:pt>
                <c:pt idx="11">
                  <c:v>40</c:v>
                </c:pt>
                <c:pt idx="12">
                  <c:v>42</c:v>
                </c:pt>
                <c:pt idx="13">
                  <c:v>72</c:v>
                </c:pt>
                <c:pt idx="14">
                  <c:v>53</c:v>
                </c:pt>
                <c:pt idx="15">
                  <c:v>41</c:v>
                </c:pt>
                <c:pt idx="16">
                  <c:v>25</c:v>
                </c:pt>
                <c:pt idx="17">
                  <c:v>69</c:v>
                </c:pt>
                <c:pt idx="18">
                  <c:v>90</c:v>
                </c:pt>
                <c:pt idx="19">
                  <c:v>33</c:v>
                </c:pt>
                <c:pt idx="20">
                  <c:v>31</c:v>
                </c:pt>
                <c:pt idx="21">
                  <c:v>82</c:v>
                </c:pt>
                <c:pt idx="22">
                  <c:v>62</c:v>
                </c:pt>
                <c:pt idx="23">
                  <c:v>47</c:v>
                </c:pt>
                <c:pt idx="24">
                  <c:v>39</c:v>
                </c:pt>
                <c:pt idx="25">
                  <c:v>51</c:v>
                </c:pt>
                <c:pt idx="26">
                  <c:v>65</c:v>
                </c:pt>
                <c:pt idx="27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E-4C6C-93DA-830ACEE8E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5-43BC-99C1-2126A15C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'1.RegLineDataAnalyFormula'!$C$3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'1.RegLineDataAnalyFormula'!$B$1</c:f>
              <c:strCache>
                <c:ptCount val="1"/>
                <c:pt idx="0">
                  <c:v>At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176054694781722"/>
                  <c:y val="-5.566655040161939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'1.RegLineDataAnalyFormula'!$A$2:$A$29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'1.RegLineDataAnalyFormula'!$B$2:$B$29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B-4521-90D3-C49B8C6701E5}"/>
            </c:ext>
          </c:extLst>
        </c:ser>
        <c:ser>
          <c:idx val="1"/>
          <c:order val="1"/>
          <c:tx>
            <c:strRef>
              <c:f>'1.RegLineDataAnalyFormula'!$C$4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'1.RegLineDataAnalyFormula'!$A$2:$A$31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'1.RegLineDataAnalyFormula'!$C$5:$C$34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B-4521-90D3-C49B8C670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1" Type="http://schemas.openxmlformats.org/officeDocument/2006/relationships/customXml" Target="../ink/ink1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3.xml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135374</xdr:colOff>
      <xdr:row>17</xdr:row>
      <xdr:rowOff>70229</xdr:rowOff>
    </xdr:from>
    <xdr:to>
      <xdr:col>12</xdr:col>
      <xdr:colOff>553284</xdr:colOff>
      <xdr:row>30</xdr:row>
      <xdr:rowOff>103565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20F49A-E213-4FB6-99DB-D2413577B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F18DF-16D7-4B83-B050-F338EA791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1644A8-33A1-4561-B49A-F64CFC509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77208</xdr:colOff>
      <xdr:row>31</xdr:row>
      <xdr:rowOff>190464</xdr:rowOff>
    </xdr:from>
    <xdr:to>
      <xdr:col>13</xdr:col>
      <xdr:colOff>22798</xdr:colOff>
      <xdr:row>47</xdr:row>
      <xdr:rowOff>82270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EE3F32-9F18-4285-AC65-B9F1F96F4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220312</xdr:colOff>
      <xdr:row>31</xdr:row>
      <xdr:rowOff>145058</xdr:rowOff>
    </xdr:from>
    <xdr:to>
      <xdr:col>18</xdr:col>
      <xdr:colOff>569797</xdr:colOff>
      <xdr:row>47</xdr:row>
      <xdr:rowOff>47404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AE20FC-428E-43F8-83D6-7B43A12A0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153217</xdr:colOff>
      <xdr:row>31</xdr:row>
      <xdr:rowOff>178239</xdr:rowOff>
    </xdr:from>
    <xdr:to>
      <xdr:col>26</xdr:col>
      <xdr:colOff>79704</xdr:colOff>
      <xdr:row>47</xdr:row>
      <xdr:rowOff>87776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F23B1E-55B9-4144-9B2F-63561CEE3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347741</xdr:colOff>
      <xdr:row>31</xdr:row>
      <xdr:rowOff>200727</xdr:rowOff>
    </xdr:from>
    <xdr:to>
      <xdr:col>33</xdr:col>
      <xdr:colOff>241536</xdr:colOff>
      <xdr:row>47</xdr:row>
      <xdr:rowOff>92532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B4A7571-B516-4DC0-B3C7-12FED4F1E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E6DFDF4-575E-4F00-9130-EA84D1E20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770945</xdr:colOff>
      <xdr:row>4</xdr:row>
      <xdr:rowOff>122200</xdr:rowOff>
    </xdr:from>
    <xdr:to>
      <xdr:col>23</xdr:col>
      <xdr:colOff>129160</xdr:colOff>
      <xdr:row>19</xdr:row>
      <xdr:rowOff>182680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0FBAE6-0808-4C51-9B03-B313D49BE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685800</xdr:colOff>
      <xdr:row>26</xdr:row>
      <xdr:rowOff>114300</xdr:rowOff>
    </xdr:from>
    <xdr:to>
      <xdr:col>18</xdr:col>
      <xdr:colOff>132915</xdr:colOff>
      <xdr:row>42</xdr:row>
      <xdr:rowOff>162080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20B3E69-AA9F-4A58-ABEF-FB9EBF9E9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275645</xdr:colOff>
      <xdr:row>5</xdr:row>
      <xdr:rowOff>71400</xdr:rowOff>
    </xdr:from>
    <xdr:to>
      <xdr:col>30</xdr:col>
      <xdr:colOff>141860</xdr:colOff>
      <xdr:row>20</xdr:row>
      <xdr:rowOff>131880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B1F4EA-C8D8-4808-933F-7451A5A53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16065</xdr:colOff>
      <xdr:row>9</xdr:row>
      <xdr:rowOff>39057</xdr:rowOff>
    </xdr:from>
    <xdr:to>
      <xdr:col>14</xdr:col>
      <xdr:colOff>480425</xdr:colOff>
      <xdr:row>24</xdr:row>
      <xdr:rowOff>160512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598488</xdr:colOff>
      <xdr:row>9</xdr:row>
      <xdr:rowOff>8316</xdr:rowOff>
    </xdr:from>
    <xdr:to>
      <xdr:col>23</xdr:col>
      <xdr:colOff>198627</xdr:colOff>
      <xdr:row>24</xdr:row>
      <xdr:rowOff>153656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134714</xdr:colOff>
      <xdr:row>26</xdr:row>
      <xdr:rowOff>130668</xdr:rowOff>
    </xdr:from>
    <xdr:to>
      <xdr:col>14</xdr:col>
      <xdr:colOff>602560</xdr:colOff>
      <xdr:row>42</xdr:row>
      <xdr:rowOff>41997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22558</xdr:colOff>
      <xdr:row>26</xdr:row>
      <xdr:rowOff>14006</xdr:rowOff>
    </xdr:from>
    <xdr:to>
      <xdr:col>23</xdr:col>
      <xdr:colOff>272143</xdr:colOff>
      <xdr:row>41</xdr:row>
      <xdr:rowOff>113394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146661</xdr:colOff>
      <xdr:row>0</xdr:row>
      <xdr:rowOff>71401</xdr:rowOff>
    </xdr:from>
    <xdr:to>
      <xdr:col>25</xdr:col>
      <xdr:colOff>22798</xdr:colOff>
      <xdr:row>15</xdr:row>
      <xdr:rowOff>141802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1559CB-E64E-47FC-B736-BE5F613CD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1122522</xdr:colOff>
      <xdr:row>18</xdr:row>
      <xdr:rowOff>205914</xdr:rowOff>
    </xdr:from>
    <xdr:to>
      <xdr:col>6</xdr:col>
      <xdr:colOff>648297</xdr:colOff>
      <xdr:row>33</xdr:row>
      <xdr:rowOff>150602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61314-E0FD-4785-ABE5-341651F59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480152</xdr:colOff>
      <xdr:row>0</xdr:row>
      <xdr:rowOff>195362</xdr:rowOff>
    </xdr:from>
    <xdr:to>
      <xdr:col>7</xdr:col>
      <xdr:colOff>107025</xdr:colOff>
      <xdr:row>15</xdr:row>
      <xdr:rowOff>68513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781FB6-D904-4419-8AF7-546D9EEB6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326384</xdr:colOff>
      <xdr:row>0</xdr:row>
      <xdr:rowOff>197573</xdr:rowOff>
    </xdr:from>
    <xdr:to>
      <xdr:col>15</xdr:col>
      <xdr:colOff>423511</xdr:colOff>
      <xdr:row>15</xdr:row>
      <xdr:rowOff>89912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F55CD6-4908-471D-849F-05B42D292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490352</xdr:colOff>
      <xdr:row>15</xdr:row>
      <xdr:rowOff>185468</xdr:rowOff>
    </xdr:from>
    <xdr:to>
      <xdr:col>7</xdr:col>
      <xdr:colOff>117225</xdr:colOff>
      <xdr:row>30</xdr:row>
      <xdr:rowOff>18197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55E9D6-D5F1-4E6F-967F-6DBCC72CE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313990</xdr:colOff>
      <xdr:row>15</xdr:row>
      <xdr:rowOff>203790</xdr:rowOff>
    </xdr:from>
    <xdr:to>
      <xdr:col>15</xdr:col>
      <xdr:colOff>430167</xdr:colOff>
      <xdr:row>30</xdr:row>
      <xdr:rowOff>42291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00400E9-1FF2-4FB3-A114-7E736FD0B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157162</xdr:rowOff>
    </xdr:from>
    <xdr:to>
      <xdr:col>3</xdr:col>
      <xdr:colOff>381000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4336A8-F810-4EE0-8850-B0E8D8AD2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8</xdr:row>
      <xdr:rowOff>190500</xdr:rowOff>
    </xdr:from>
    <xdr:to>
      <xdr:col>11</xdr:col>
      <xdr:colOff>238125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8A7107-7614-4689-A0AE-EAA310E4B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26</xdr:row>
      <xdr:rowOff>19050</xdr:rowOff>
    </xdr:from>
    <xdr:to>
      <xdr:col>3</xdr:col>
      <xdr:colOff>438150</xdr:colOff>
      <xdr:row>40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9DEBD9-E181-4B79-B17A-A2CC8BE4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38100</xdr:colOff>
      <xdr:row>26</xdr:row>
      <xdr:rowOff>19050</xdr:rowOff>
    </xdr:from>
    <xdr:to>
      <xdr:col>11</xdr:col>
      <xdr:colOff>342900</xdr:colOff>
      <xdr:row>40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02D00E-CDFE-4AE3-9207-67913C85B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328612</xdr:colOff>
      <xdr:row>11</xdr:row>
      <xdr:rowOff>128587</xdr:rowOff>
    </xdr:from>
    <xdr:to>
      <xdr:col>17</xdr:col>
      <xdr:colOff>23812</xdr:colOff>
      <xdr:row>24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220E31-FBEF-4E84-98C9-69CF7BCFE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104775</xdr:colOff>
      <xdr:row>11</xdr:row>
      <xdr:rowOff>123825</xdr:rowOff>
    </xdr:from>
    <xdr:to>
      <xdr:col>24</xdr:col>
      <xdr:colOff>409575</xdr:colOff>
      <xdr:row>24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A72BF4-66EC-4801-BF64-3E83AD896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304800</xdr:colOff>
      <xdr:row>25</xdr:row>
      <xdr:rowOff>142875</xdr:rowOff>
    </xdr:from>
    <xdr:to>
      <xdr:col>17</xdr:col>
      <xdr:colOff>0</xdr:colOff>
      <xdr:row>38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C33EC15-80F6-4106-A85E-D2E46AAA7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95250</xdr:colOff>
      <xdr:row>25</xdr:row>
      <xdr:rowOff>171450</xdr:rowOff>
    </xdr:from>
    <xdr:to>
      <xdr:col>24</xdr:col>
      <xdr:colOff>400050</xdr:colOff>
      <xdr:row>38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23C3006-431E-46F0-A3B3-6A724D33A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383715</xdr:colOff>
      <xdr:row>18</xdr:row>
      <xdr:rowOff>126675</xdr:rowOff>
    </xdr:from>
    <xdr:to>
      <xdr:col>2</xdr:col>
      <xdr:colOff>384075</xdr:colOff>
      <xdr:row>18</xdr:row>
      <xdr:rowOff>133515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14:cNvPr>
            <xdr14:cNvContentPartPr/>
          </xdr14:nvContentPartPr>
          <xdr14:nvPr macro=""/>
          <xdr14:xfrm>
            <a:off x="1602915" y="3431850"/>
            <a:ext cx="360" cy="684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91035" y="3419970"/>
              <a:ext cx="241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477243</xdr:colOff>
      <xdr:row>0</xdr:row>
      <xdr:rowOff>151405</xdr:rowOff>
    </xdr:from>
    <xdr:to>
      <xdr:col>21</xdr:col>
      <xdr:colOff>238124</xdr:colOff>
      <xdr:row>19</xdr:row>
      <xdr:rowOff>19844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12911</xdr:colOff>
      <xdr:row>10</xdr:row>
      <xdr:rowOff>179971</xdr:rowOff>
    </xdr:from>
    <xdr:to>
      <xdr:col>14</xdr:col>
      <xdr:colOff>153907</xdr:colOff>
      <xdr:row>24</xdr:row>
      <xdr:rowOff>34714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75410A-9F11-408A-B5DD-CA7489A30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370974</xdr:colOff>
      <xdr:row>38</xdr:row>
      <xdr:rowOff>40105</xdr:rowOff>
    </xdr:from>
    <xdr:ext cx="5547584" cy="2594233"/>
    <xdr:pic>
      <xdr:nvPicPr>
        <xdr:cNvPr id="3" name="Picture 2">
          <a:extLst>
            <a:ext uri="{FF2B5EF4-FFF2-40B4-BE49-F238E27FC236}">
              <a16:creationId xmlns:a16="http://schemas.microsoft.com/office/drawing/2014/main" id="{10A4F2FF-7C1C-4F1D-AB45-01A7C8F06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8974" y="7279105"/>
          <a:ext cx="5547584" cy="2594233"/>
        </a:xfrm>
        <a:prstGeom prst="rect">
          <a:avLst/>
        </a:prstGeom>
      </xdr:spPr>
    </xdr:pic>
    <xdr:clientData/>
  </xdr:oneCellAnchor>
  <xdr:oneCellAnchor>
    <xdr:from>
      <xdr:col>10</xdr:col>
      <xdr:colOff>381000</xdr:colOff>
      <xdr:row>38</xdr:row>
      <xdr:rowOff>145774</xdr:rowOff>
    </xdr:from>
    <xdr:ext cx="4682290" cy="2444965"/>
    <xdr:pic>
      <xdr:nvPicPr>
        <xdr:cNvPr id="4" name="Picture 3">
          <a:extLst>
            <a:ext uri="{FF2B5EF4-FFF2-40B4-BE49-F238E27FC236}">
              <a16:creationId xmlns:a16="http://schemas.microsoft.com/office/drawing/2014/main" id="{08D52791-516A-4054-B87D-B4AE7A15B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0" y="7384774"/>
          <a:ext cx="4682290" cy="2444965"/>
        </a:xfrm>
        <a:prstGeom prst="rect">
          <a:avLst/>
        </a:prstGeom>
      </xdr:spPr>
    </xdr:pic>
    <xdr:clientData/>
  </xdr:oneCellAnchor>
  <xdr:oneCellAnchor>
    <xdr:from>
      <xdr:col>0</xdr:col>
      <xdr:colOff>260685</xdr:colOff>
      <xdr:row>38</xdr:row>
      <xdr:rowOff>30810</xdr:rowOff>
    </xdr:from>
    <xdr:ext cx="4952999" cy="2818557"/>
    <xdr:pic>
      <xdr:nvPicPr>
        <xdr:cNvPr id="5" name="Picture 4">
          <a:extLst>
            <a:ext uri="{FF2B5EF4-FFF2-40B4-BE49-F238E27FC236}">
              <a16:creationId xmlns:a16="http://schemas.microsoft.com/office/drawing/2014/main" id="{5BCDBB49-46EF-4C8B-B5A4-C7E2EBAE1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0685" y="7269810"/>
          <a:ext cx="4952999" cy="281855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417586</xdr:colOff>
      <xdr:row>14</xdr:row>
      <xdr:rowOff>73805</xdr:rowOff>
    </xdr:from>
    <xdr:to>
      <xdr:col>18</xdr:col>
      <xdr:colOff>269624</xdr:colOff>
      <xdr:row>30</xdr:row>
      <xdr:rowOff>4760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8341FC-8E0C-40AC-B041-F2A2833D7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582745</xdr:colOff>
      <xdr:row>6</xdr:row>
      <xdr:rowOff>182443</xdr:rowOff>
    </xdr:from>
    <xdr:to>
      <xdr:col>23</xdr:col>
      <xdr:colOff>177309</xdr:colOff>
      <xdr:row>22</xdr:row>
      <xdr:rowOff>130369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2B6669-1C98-483D-B0C7-4CEE7BF69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173719</xdr:colOff>
      <xdr:row>23</xdr:row>
      <xdr:rowOff>135415</xdr:rowOff>
    </xdr:from>
    <xdr:to>
      <xdr:col>15</xdr:col>
      <xdr:colOff>29243</xdr:colOff>
      <xdr:row>39</xdr:row>
      <xdr:rowOff>88560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CE5D91-B92C-497C-893C-11E9985B2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464820</xdr:colOff>
      <xdr:row>23</xdr:row>
      <xdr:rowOff>152948</xdr:rowOff>
    </xdr:from>
    <xdr:to>
      <xdr:col>22</xdr:col>
      <xdr:colOff>297207</xdr:colOff>
      <xdr:row>52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415C59-2A2C-44C6-84FB-AA0DE59E5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495299</xdr:colOff>
      <xdr:row>12</xdr:row>
      <xdr:rowOff>52387</xdr:rowOff>
    </xdr:from>
    <xdr:to>
      <xdr:col>25</xdr:col>
      <xdr:colOff>104774</xdr:colOff>
      <xdr:row>32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BE9A31-93EE-4CAA-A3E2-238DBF1DE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300037</xdr:colOff>
      <xdr:row>6</xdr:row>
      <xdr:rowOff>147637</xdr:rowOff>
    </xdr:from>
    <xdr:to>
      <xdr:col>15</xdr:col>
      <xdr:colOff>604837</xdr:colOff>
      <xdr:row>21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AC5329-1843-4323-9403-A0FB066D5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public_html/CourseBase/Probability/S-Regression/BaseStatRegSe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ublic_html\CourseBase\Forecasting\Reg-Seas-2020\1-StaticTrendSeas5M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diData"/>
      <sheetName val="Trend&amp;Season"/>
    </sheetNames>
    <sheetDataSet>
      <sheetData sheetId="0" refreshError="1">
        <row r="2">
          <cell r="A2" t="str">
            <v>Per.</v>
          </cell>
          <cell r="D2" t="str">
            <v>Trend&amp;S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Trend&amp;Season"/>
      <sheetName val="0.ArdiData"/>
    </sheetNames>
    <sheetDataSet>
      <sheetData sheetId="0"/>
      <sheetData sheetId="1">
        <row r="3">
          <cell r="D3">
            <v>1208</v>
          </cell>
        </row>
        <row r="4">
          <cell r="D4">
            <v>1442</v>
          </cell>
        </row>
        <row r="5">
          <cell r="D5">
            <v>2063</v>
          </cell>
        </row>
        <row r="6">
          <cell r="D6">
            <v>1947</v>
          </cell>
        </row>
        <row r="7">
          <cell r="D7">
            <v>1630</v>
          </cell>
        </row>
        <row r="8">
          <cell r="D8">
            <v>1617</v>
          </cell>
        </row>
        <row r="9">
          <cell r="D9">
            <v>1972</v>
          </cell>
        </row>
        <row r="10">
          <cell r="D10">
            <v>2639</v>
          </cell>
        </row>
        <row r="11">
          <cell r="D11">
            <v>2309</v>
          </cell>
        </row>
        <row r="12">
          <cell r="D12">
            <v>2233</v>
          </cell>
        </row>
        <row r="13">
          <cell r="D13">
            <v>2245</v>
          </cell>
        </row>
        <row r="14">
          <cell r="D14">
            <v>2566</v>
          </cell>
        </row>
        <row r="15">
          <cell r="D15">
            <v>3636</v>
          </cell>
        </row>
        <row r="16">
          <cell r="D16">
            <v>3053</v>
          </cell>
        </row>
        <row r="17">
          <cell r="D17">
            <v>2533</v>
          </cell>
        </row>
        <row r="18">
          <cell r="D18">
            <v>2783</v>
          </cell>
        </row>
        <row r="19">
          <cell r="D19">
            <v>3280</v>
          </cell>
        </row>
        <row r="20">
          <cell r="D20">
            <v>4495</v>
          </cell>
        </row>
        <row r="21">
          <cell r="D21">
            <v>3306</v>
          </cell>
        </row>
        <row r="22">
          <cell r="D22">
            <v>3312</v>
          </cell>
        </row>
        <row r="23">
          <cell r="D23">
            <v>3158</v>
          </cell>
        </row>
        <row r="24">
          <cell r="D24">
            <v>4255</v>
          </cell>
        </row>
        <row r="25">
          <cell r="D25">
            <v>4913</v>
          </cell>
        </row>
        <row r="26">
          <cell r="D26">
            <v>3907</v>
          </cell>
        </row>
        <row r="27">
          <cell r="D27">
            <v>3802</v>
          </cell>
        </row>
        <row r="28">
          <cell r="D28">
            <v>3733</v>
          </cell>
        </row>
        <row r="29">
          <cell r="D29">
            <v>4789</v>
          </cell>
        </row>
        <row r="30">
          <cell r="D30">
            <v>5811</v>
          </cell>
        </row>
        <row r="31">
          <cell r="D31">
            <v>4964</v>
          </cell>
        </row>
        <row r="32">
          <cell r="D32">
            <v>4148</v>
          </cell>
        </row>
        <row r="33">
          <cell r="D33">
            <v>4462</v>
          </cell>
        </row>
        <row r="34">
          <cell r="D34">
            <v>4860</v>
          </cell>
        </row>
        <row r="35">
          <cell r="D35">
            <v>5664</v>
          </cell>
        </row>
        <row r="36">
          <cell r="D36">
            <v>5201</v>
          </cell>
        </row>
        <row r="37">
          <cell r="D37">
            <v>4631</v>
          </cell>
        </row>
        <row r="38">
          <cell r="D38">
            <v>5034</v>
          </cell>
        </row>
        <row r="39">
          <cell r="D39">
            <v>5322</v>
          </cell>
        </row>
        <row r="40">
          <cell r="D40">
            <v>6367</v>
          </cell>
        </row>
        <row r="41">
          <cell r="D41">
            <v>5398</v>
          </cell>
        </row>
        <row r="42">
          <cell r="D42">
            <v>5012</v>
          </cell>
        </row>
        <row r="43">
          <cell r="D43">
            <v>5546</v>
          </cell>
        </row>
        <row r="44">
          <cell r="D44">
            <v>5955</v>
          </cell>
        </row>
        <row r="45">
          <cell r="D45">
            <v>7094</v>
          </cell>
        </row>
        <row r="46">
          <cell r="D46">
            <v>6046</v>
          </cell>
        </row>
        <row r="47">
          <cell r="D47">
            <v>5745</v>
          </cell>
        </row>
        <row r="48">
          <cell r="D48">
            <v>6008</v>
          </cell>
        </row>
        <row r="49">
          <cell r="D49">
            <v>6702</v>
          </cell>
        </row>
        <row r="50">
          <cell r="D50">
            <v>8261</v>
          </cell>
        </row>
        <row r="51">
          <cell r="D51">
            <v>6673</v>
          </cell>
        </row>
        <row r="52">
          <cell r="D52">
            <v>5949</v>
          </cell>
        </row>
        <row r="53">
          <cell r="D53">
            <v>6085</v>
          </cell>
        </row>
        <row r="54">
          <cell r="D54">
            <v>7293</v>
          </cell>
        </row>
        <row r="55">
          <cell r="D55">
            <v>9251</v>
          </cell>
        </row>
        <row r="56">
          <cell r="D56">
            <v>8191</v>
          </cell>
        </row>
        <row r="57">
          <cell r="D57">
            <v>6452</v>
          </cell>
        </row>
        <row r="58">
          <cell r="D58">
            <v>6950</v>
          </cell>
        </row>
        <row r="59">
          <cell r="D59">
            <v>7887</v>
          </cell>
        </row>
        <row r="60">
          <cell r="D60">
            <v>8987</v>
          </cell>
        </row>
        <row r="61">
          <cell r="D61">
            <v>8329</v>
          </cell>
        </row>
        <row r="62">
          <cell r="D62">
            <v>6803</v>
          </cell>
        </row>
        <row r="63">
          <cell r="D63">
            <v>7074</v>
          </cell>
        </row>
        <row r="64">
          <cell r="D64">
            <v>8395</v>
          </cell>
        </row>
        <row r="65">
          <cell r="D65">
            <v>11034</v>
          </cell>
        </row>
        <row r="66">
          <cell r="D66">
            <v>9075</v>
          </cell>
        </row>
        <row r="67">
          <cell r="D67">
            <v>7839</v>
          </cell>
        </row>
        <row r="68">
          <cell r="D68">
            <v>7864</v>
          </cell>
        </row>
        <row r="69">
          <cell r="D69">
            <v>8711</v>
          </cell>
        </row>
        <row r="70">
          <cell r="D70">
            <v>12167</v>
          </cell>
        </row>
        <row r="71">
          <cell r="D71">
            <v>9084</v>
          </cell>
        </row>
        <row r="72">
          <cell r="D72">
            <v>8083</v>
          </cell>
        </row>
        <row r="73">
          <cell r="D73">
            <v>8184</v>
          </cell>
        </row>
        <row r="74">
          <cell r="D74">
            <v>10203</v>
          </cell>
        </row>
        <row r="75">
          <cell r="D75">
            <v>11492</v>
          </cell>
        </row>
        <row r="76">
          <cell r="D76">
            <v>10511</v>
          </cell>
        </row>
        <row r="77">
          <cell r="D77">
            <v>8584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968" units="cm"/>
          <inkml:channel name="Y" type="integer" max="2240" units="cm"/>
          <inkml:channel name="T" type="integer" max="2.14748E9" units="dev"/>
        </inkml:traceFormat>
        <inkml:channelProperties>
          <inkml:channelProperty channel="X" name="resolution" value="128" units="1/cm"/>
          <inkml:channelProperty channel="Y" name="resolution" value="128.73564" units="1/cm"/>
          <inkml:channelProperty channel="T" name="resolution" value="1" units="1/dev"/>
        </inkml:channelProperties>
      </inkml:inkSource>
      <inkml:timestamp xml:id="ts0" timeString="2016-09-28T06:44:18.663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-442 1490 0,'0'0'0,"0"0"0,0 0 0,0 0 0,0 0 0,0 0 0,0 9 0,0-9 0,0 0 0,0 0 0,0 9 0,0-9 0,0 0 0,0 0 0,0 0 0,0 0 0,0 0 0,0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VxYX8t5OZNc&amp;t=2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D57B-3593-4D0D-8887-F55694E3D162}">
  <dimension ref="A1:BK307"/>
  <sheetViews>
    <sheetView topLeftCell="A29" zoomScale="96" zoomScaleNormal="96" workbookViewId="0">
      <selection activeCell="A35" sqref="A35:E63"/>
    </sheetView>
  </sheetViews>
  <sheetFormatPr defaultColWidth="9.140625" defaultRowHeight="13.5" x14ac:dyDescent="0.25"/>
  <cols>
    <col min="1" max="1" width="4.5703125" style="42" bestFit="1" customWidth="1"/>
    <col min="2" max="2" width="9.7109375" style="42" bestFit="1" customWidth="1"/>
    <col min="3" max="3" width="6.7109375" style="42" bestFit="1" customWidth="1"/>
    <col min="4" max="4" width="11.7109375" style="42" bestFit="1" customWidth="1"/>
    <col min="5" max="5" width="14.140625" style="50" bestFit="1" customWidth="1"/>
    <col min="6" max="6" width="13" style="42" customWidth="1"/>
    <col min="7" max="8" width="5.85546875" style="42" customWidth="1"/>
    <col min="9" max="9" width="11.140625" style="42" customWidth="1"/>
    <col min="10" max="10" width="6.85546875" style="42" customWidth="1"/>
    <col min="11" max="11" width="4.85546875" style="42" bestFit="1" customWidth="1"/>
    <col min="12" max="12" width="8.7109375" style="42" bestFit="1" customWidth="1"/>
    <col min="13" max="13" width="9.140625" style="42"/>
    <col min="14" max="14" width="12.140625" style="42" bestFit="1" customWidth="1"/>
    <col min="15" max="15" width="13.85546875" style="42" bestFit="1" customWidth="1"/>
    <col min="16" max="16" width="12.42578125" style="42" bestFit="1" customWidth="1"/>
    <col min="17" max="17" width="12.140625" style="42" bestFit="1" customWidth="1"/>
    <col min="18" max="21" width="9.28515625" style="42" bestFit="1" customWidth="1"/>
    <col min="22" max="23" width="9.140625" style="42"/>
    <col min="24" max="24" width="9.28515625" style="42" bestFit="1" customWidth="1"/>
    <col min="25" max="35" width="9.140625" style="42"/>
    <col min="36" max="36" width="9.140625" style="42" customWidth="1"/>
    <col min="37" max="39" width="9.140625" style="42"/>
    <col min="40" max="40" width="9.28515625" style="42" bestFit="1" customWidth="1"/>
    <col min="41" max="41" width="14" style="42" customWidth="1"/>
    <col min="42" max="42" width="12.28515625" style="42" customWidth="1"/>
    <col min="43" max="43" width="10.140625" style="42" bestFit="1" customWidth="1"/>
    <col min="44" max="44" width="10.140625" style="42" customWidth="1"/>
    <col min="45" max="47" width="9.28515625" style="42" customWidth="1"/>
    <col min="48" max="48" width="9.28515625" style="42" bestFit="1" customWidth="1"/>
    <col min="49" max="49" width="12.28515625" style="42" bestFit="1" customWidth="1"/>
    <col min="50" max="16384" width="9.140625" style="42"/>
  </cols>
  <sheetData>
    <row r="1" spans="1:55" ht="17.25" thickBot="1" x14ac:dyDescent="0.35">
      <c r="A1" s="35" t="s">
        <v>17</v>
      </c>
      <c r="B1" s="36"/>
      <c r="C1" s="37"/>
      <c r="D1" s="36"/>
      <c r="E1" s="38"/>
      <c r="F1" s="39" t="s">
        <v>5</v>
      </c>
      <c r="G1" s="39" t="s">
        <v>6</v>
      </c>
      <c r="H1" s="40" t="s">
        <v>7</v>
      </c>
      <c r="I1" s="100" t="s">
        <v>8</v>
      </c>
      <c r="J1" s="41" t="s">
        <v>9</v>
      </c>
      <c r="K1" s="41" t="s">
        <v>10</v>
      </c>
      <c r="L1" s="41" t="s">
        <v>11</v>
      </c>
      <c r="N1" s="78" t="s">
        <v>60</v>
      </c>
      <c r="O1" s="80" t="s">
        <v>61</v>
      </c>
      <c r="P1" s="79" t="s">
        <v>62</v>
      </c>
      <c r="Q1" s="79" t="s">
        <v>63</v>
      </c>
      <c r="R1" s="79" t="s">
        <v>93</v>
      </c>
      <c r="S1" s="43" t="s">
        <v>22</v>
      </c>
      <c r="AN1" s="44" t="s">
        <v>18</v>
      </c>
      <c r="AO1" s="44"/>
      <c r="AP1" s="44"/>
      <c r="AQ1" s="45">
        <v>25</v>
      </c>
      <c r="AR1" s="45"/>
      <c r="AS1" s="45">
        <v>5</v>
      </c>
      <c r="AT1" s="45"/>
      <c r="AU1" s="45"/>
      <c r="AW1" s="45"/>
      <c r="AX1" s="34"/>
    </row>
    <row r="2" spans="1:55" ht="17.25" thickBot="1" x14ac:dyDescent="0.35">
      <c r="A2" s="46" t="s">
        <v>4</v>
      </c>
      <c r="B2" s="47" t="s">
        <v>95</v>
      </c>
      <c r="C2" s="121" t="s">
        <v>19</v>
      </c>
      <c r="D2" s="117" t="s">
        <v>21</v>
      </c>
      <c r="E2" s="119" t="s">
        <v>96</v>
      </c>
      <c r="F2" s="51" t="str">
        <f>G2&amp;" - "&amp;H2</f>
        <v>21 - 28</v>
      </c>
      <c r="G2" s="52">
        <f>Y5</f>
        <v>21</v>
      </c>
      <c r="H2" s="53">
        <f t="shared" ref="H2:H14" si="0">G2+$Y$3</f>
        <v>28</v>
      </c>
      <c r="I2" s="101">
        <f t="shared" ref="I2:I14" si="1">COUNTIF($B$3:$B$34, "&lt;"&amp;H2)</f>
        <v>1</v>
      </c>
      <c r="J2" s="54">
        <f>I2</f>
        <v>1</v>
      </c>
      <c r="K2" s="55">
        <f t="shared" ref="K2:K14" si="2">J2/$J$15</f>
        <v>3.5714285714285712E-2</v>
      </c>
      <c r="L2" s="56">
        <f t="shared" ref="L2:L14" si="3">I2/$J$15</f>
        <v>3.5714285714285712E-2</v>
      </c>
      <c r="N2" s="75" t="s">
        <v>12</v>
      </c>
      <c r="O2" s="191">
        <f>AVERAGE($B$3:$B$30)</f>
        <v>51.392857142857146</v>
      </c>
      <c r="P2" s="191">
        <f t="shared" ref="P2:R2" si="4">AVERAGE($B$3:$B$30)</f>
        <v>51.392857142857146</v>
      </c>
      <c r="Q2" s="191">
        <f t="shared" si="4"/>
        <v>51.392857142857146</v>
      </c>
      <c r="R2" s="191">
        <f t="shared" si="4"/>
        <v>51.392857142857146</v>
      </c>
      <c r="V2" s="42" t="s">
        <v>75</v>
      </c>
      <c r="Y2" s="42">
        <f>ROUND(O6/10,0)</f>
        <v>7</v>
      </c>
      <c r="AN2" s="45"/>
      <c r="AO2" s="45" t="s">
        <v>88</v>
      </c>
      <c r="AP2" s="45" t="s">
        <v>89</v>
      </c>
      <c r="AQ2" s="34" t="s">
        <v>20</v>
      </c>
      <c r="AR2" s="34" t="s">
        <v>99</v>
      </c>
      <c r="AS2" s="49" t="s">
        <v>97</v>
      </c>
      <c r="AT2" s="34" t="s">
        <v>91</v>
      </c>
      <c r="AU2" s="47" t="s">
        <v>92</v>
      </c>
      <c r="AV2" s="48" t="s">
        <v>19</v>
      </c>
      <c r="AW2" s="42" t="s">
        <v>94</v>
      </c>
    </row>
    <row r="3" spans="1:55" ht="17.25" thickBot="1" x14ac:dyDescent="0.35">
      <c r="A3" s="2">
        <v>1</v>
      </c>
      <c r="B3" s="57">
        <v>50</v>
      </c>
      <c r="C3" s="58">
        <v>25</v>
      </c>
      <c r="D3" s="118">
        <v>33</v>
      </c>
      <c r="E3" s="120">
        <v>39</v>
      </c>
      <c r="F3" s="60" t="str">
        <f t="shared" ref="F3:F14" si="5">G3&amp;" - "&amp;H3</f>
        <v>28 - 35</v>
      </c>
      <c r="G3" s="61">
        <f>H2</f>
        <v>28</v>
      </c>
      <c r="H3" s="62">
        <f t="shared" si="0"/>
        <v>35</v>
      </c>
      <c r="I3" s="101">
        <f t="shared" si="1"/>
        <v>4</v>
      </c>
      <c r="J3" s="63">
        <f>I3-I2</f>
        <v>3</v>
      </c>
      <c r="K3" s="64">
        <f t="shared" si="2"/>
        <v>0.10714285714285714</v>
      </c>
      <c r="L3" s="65">
        <f t="shared" si="3"/>
        <v>0.14285714285714285</v>
      </c>
      <c r="N3" s="95" t="s">
        <v>72</v>
      </c>
      <c r="O3" s="192">
        <f>MEDIAN(B$3:B$30)</f>
        <v>49</v>
      </c>
      <c r="P3" s="192">
        <f t="shared" ref="P3:R3" si="6">MEDIAN(C$3:C$30)</f>
        <v>49</v>
      </c>
      <c r="Q3" s="192">
        <f t="shared" si="6"/>
        <v>49</v>
      </c>
      <c r="R3" s="192">
        <f t="shared" si="6"/>
        <v>49</v>
      </c>
      <c r="V3" s="42" t="s">
        <v>76</v>
      </c>
      <c r="Y3" s="42">
        <f>ROUND(Y2,-LEN(Y2)+1)</f>
        <v>7</v>
      </c>
      <c r="AN3" s="45">
        <v>1</v>
      </c>
      <c r="AO3" s="45">
        <f ca="1">ABS(_xlfn.NORM.INV(RAND(),$AQ$1,$AS$1))</f>
        <v>22.287858146743222</v>
      </c>
      <c r="AP3" s="45">
        <f ca="1">SMALL($AO$3:$AO$30,ROWS(AO$3:AO3))</f>
        <v>13.137736234950628</v>
      </c>
      <c r="AQ3" s="66">
        <f ca="1">AR3+RAND()</f>
        <v>1.1053234087396324</v>
      </c>
      <c r="AR3" s="66">
        <v>1</v>
      </c>
      <c r="AS3" s="34">
        <f ca="1">ROUNDUP(AP3*AQ3,0)</f>
        <v>15</v>
      </c>
      <c r="AT3" s="34">
        <f ca="1">RAND()</f>
        <v>0.48345375653031697</v>
      </c>
      <c r="AU3" s="34">
        <f ca="1">INDEX($AS$3:$AS$30,MATCH(SMALL($AT$3:$AT$30,ROWS(AT$3:AT3)),$AT$3:$AT$30,0))</f>
        <v>57</v>
      </c>
      <c r="AV3" s="34">
        <f ca="1">SMALL($AS$3:$AS$30,ROWS(AV$3:AV3))</f>
        <v>15</v>
      </c>
      <c r="AW3" s="42">
        <f ca="1">VLOOKUP(SMALL($BB$3:$BB$16,AX3),$BB$3:$BC$30,2,0)</f>
        <v>24</v>
      </c>
      <c r="AX3" s="42">
        <v>1</v>
      </c>
      <c r="BA3" s="42">
        <v>1</v>
      </c>
      <c r="BB3" s="42">
        <f ca="1">RAND()</f>
        <v>0.45833793071400719</v>
      </c>
      <c r="BC3" s="42">
        <f ca="1">AV3</f>
        <v>15</v>
      </c>
    </row>
    <row r="4" spans="1:55" ht="17.25" thickBot="1" x14ac:dyDescent="0.35">
      <c r="A4" s="2">
        <v>2</v>
      </c>
      <c r="B4" s="57">
        <v>25</v>
      </c>
      <c r="C4" s="58">
        <v>28</v>
      </c>
      <c r="D4" s="118">
        <v>35</v>
      </c>
      <c r="E4" s="120">
        <v>67</v>
      </c>
      <c r="F4" s="60" t="str">
        <f t="shared" si="5"/>
        <v>35 - 42</v>
      </c>
      <c r="G4" s="61">
        <f t="shared" ref="G4:G13" si="7">H3</f>
        <v>35</v>
      </c>
      <c r="H4" s="62">
        <f t="shared" si="0"/>
        <v>42</v>
      </c>
      <c r="I4" s="101">
        <f t="shared" si="1"/>
        <v>9</v>
      </c>
      <c r="J4" s="63">
        <f t="shared" ref="J4:J14" si="8">I4-I3</f>
        <v>5</v>
      </c>
      <c r="K4" s="64">
        <f t="shared" si="2"/>
        <v>0.17857142857142858</v>
      </c>
      <c r="L4" s="65">
        <f t="shared" si="3"/>
        <v>0.32142857142857145</v>
      </c>
      <c r="N4" s="76" t="s">
        <v>13</v>
      </c>
      <c r="O4" s="193">
        <f>MAX(B$3:B$30)</f>
        <v>90</v>
      </c>
      <c r="P4" s="193">
        <f t="shared" ref="P4:R4" si="9">MAX(C$3:C$30)</f>
        <v>90</v>
      </c>
      <c r="Q4" s="193">
        <f t="shared" si="9"/>
        <v>90</v>
      </c>
      <c r="R4" s="193">
        <f t="shared" si="9"/>
        <v>90</v>
      </c>
      <c r="V4" s="42" t="s">
        <v>200</v>
      </c>
      <c r="Y4" s="42">
        <f>INT(O5/Y3)</f>
        <v>3</v>
      </c>
      <c r="AN4" s="45">
        <v>2</v>
      </c>
      <c r="AO4" s="45">
        <f t="shared" ref="AO4:AO30" ca="1" si="10">ABS(_xlfn.NORM.INV(RAND(),$AQ$1,$AS$1))</f>
        <v>25.012222948684663</v>
      </c>
      <c r="AP4" s="45">
        <f ca="1">SMALL($AO$3:$AO$30,ROWS(AO$3:AO4))</f>
        <v>15.435873110576427</v>
      </c>
      <c r="AQ4" s="66">
        <f t="shared" ref="AQ4:AQ30" ca="1" si="11">AR4+RAND()</f>
        <v>1.7658114135281511</v>
      </c>
      <c r="AR4" s="66">
        <v>1.5</v>
      </c>
      <c r="AS4" s="34">
        <f t="shared" ref="AS4:AS30" ca="1" si="12">ROUNDUP(AP4*AQ4,0)</f>
        <v>28</v>
      </c>
      <c r="AT4" s="34">
        <f t="shared" ref="AT4:AT30" ca="1" si="13">RAND()</f>
        <v>0.26731282460492911</v>
      </c>
      <c r="AU4" s="34">
        <f ca="1">INDEX($AS$3:$AS$30,MATCH(SMALL($AT$3:$AT$30,ROWS(AT$3:AT4)),$AT$3:$AT$30,0))</f>
        <v>30</v>
      </c>
      <c r="AV4" s="34">
        <f ca="1">SMALL($AS$3:$AS$30,ROWS(AV$3:AV4))</f>
        <v>24</v>
      </c>
      <c r="AW4" s="42">
        <f ca="1">VLOOKUP(SMALL($BB$17:$BB$30,AX4),$BB$17:$BC$30,2,0)</f>
        <v>52</v>
      </c>
      <c r="AX4" s="42">
        <v>1</v>
      </c>
      <c r="BA4" s="42">
        <v>2</v>
      </c>
      <c r="BB4" s="42">
        <f t="shared" ref="BB4:BB30" ca="1" si="14">RAND()</f>
        <v>5.37435894164906E-3</v>
      </c>
      <c r="BC4" s="42">
        <f t="shared" ref="BC4:BC30" ca="1" si="15">AV4</f>
        <v>24</v>
      </c>
    </row>
    <row r="5" spans="1:55" ht="17.25" thickBot="1" x14ac:dyDescent="0.35">
      <c r="A5" s="2">
        <v>3</v>
      </c>
      <c r="B5" s="57">
        <v>33</v>
      </c>
      <c r="C5" s="58">
        <v>31</v>
      </c>
      <c r="D5" s="118">
        <v>48</v>
      </c>
      <c r="E5" s="120">
        <v>50</v>
      </c>
      <c r="F5" s="60" t="str">
        <f t="shared" si="5"/>
        <v>42 - 49</v>
      </c>
      <c r="G5" s="61">
        <f t="shared" si="7"/>
        <v>42</v>
      </c>
      <c r="H5" s="62">
        <f t="shared" si="0"/>
        <v>49</v>
      </c>
      <c r="I5" s="101">
        <f t="shared" si="1"/>
        <v>14</v>
      </c>
      <c r="J5" s="63">
        <f t="shared" si="8"/>
        <v>5</v>
      </c>
      <c r="K5" s="64">
        <f t="shared" si="2"/>
        <v>0.17857142857142858</v>
      </c>
      <c r="L5" s="65">
        <f t="shared" si="3"/>
        <v>0.5</v>
      </c>
      <c r="N5" s="76" t="s">
        <v>14</v>
      </c>
      <c r="O5" s="193">
        <f>MIN(B$3:B$30)</f>
        <v>25</v>
      </c>
      <c r="P5" s="193">
        <f t="shared" ref="P5:R5" si="16">MIN(C$3:C$30)</f>
        <v>25</v>
      </c>
      <c r="Q5" s="193">
        <f t="shared" si="16"/>
        <v>25</v>
      </c>
      <c r="R5" s="193">
        <f t="shared" si="16"/>
        <v>25</v>
      </c>
      <c r="V5" s="42" t="s">
        <v>77</v>
      </c>
      <c r="Y5" s="42">
        <f>Y3*Y4</f>
        <v>21</v>
      </c>
      <c r="AN5" s="45">
        <v>3</v>
      </c>
      <c r="AO5" s="45">
        <f t="shared" ca="1" si="10"/>
        <v>22.41644348423678</v>
      </c>
      <c r="AP5" s="45">
        <f ca="1">SMALL($AO$3:$AO$30,ROWS(AO$3:AO5))</f>
        <v>17.890832316186533</v>
      </c>
      <c r="AQ5" s="66">
        <f t="shared" ca="1" si="11"/>
        <v>2.6121239473850051</v>
      </c>
      <c r="AR5" s="66">
        <v>2</v>
      </c>
      <c r="AS5" s="34">
        <f t="shared" ca="1" si="12"/>
        <v>47</v>
      </c>
      <c r="AT5" s="34">
        <f t="shared" ca="1" si="13"/>
        <v>0.72218336847468234</v>
      </c>
      <c r="AU5" s="34">
        <f ca="1">INDEX($AS$3:$AS$30,MATCH(SMALL($AT$3:$AT$30,ROWS(AT$3:AT5)),$AT$3:$AT$30,0))</f>
        <v>26</v>
      </c>
      <c r="AV5" s="34">
        <f ca="1">SMALL($AS$3:$AS$30,ROWS(AV$3:AV5))</f>
        <v>24</v>
      </c>
      <c r="AW5" s="42">
        <f ca="1">VLOOKUP(SMALL($BB$17:$BB$30,AX5),$BB$17:$BC$30,2,0)</f>
        <v>79</v>
      </c>
      <c r="AX5" s="42">
        <v>2</v>
      </c>
      <c r="BA5" s="42">
        <v>3</v>
      </c>
      <c r="BB5" s="42">
        <f t="shared" ca="1" si="14"/>
        <v>0.13281780590935011</v>
      </c>
      <c r="BC5" s="42">
        <f t="shared" ca="1" si="15"/>
        <v>24</v>
      </c>
    </row>
    <row r="6" spans="1:55" ht="17.25" thickBot="1" x14ac:dyDescent="0.35">
      <c r="A6" s="2">
        <v>4</v>
      </c>
      <c r="B6" s="57">
        <v>72</v>
      </c>
      <c r="C6" s="58">
        <v>33</v>
      </c>
      <c r="D6" s="118">
        <v>28</v>
      </c>
      <c r="E6" s="120">
        <v>35</v>
      </c>
      <c r="F6" s="60" t="str">
        <f t="shared" si="5"/>
        <v>49 - 56</v>
      </c>
      <c r="G6" s="61">
        <f t="shared" si="7"/>
        <v>49</v>
      </c>
      <c r="H6" s="62">
        <f t="shared" si="0"/>
        <v>56</v>
      </c>
      <c r="I6" s="101">
        <f t="shared" si="1"/>
        <v>18</v>
      </c>
      <c r="J6" s="63">
        <f t="shared" si="8"/>
        <v>4</v>
      </c>
      <c r="K6" s="64">
        <f t="shared" si="2"/>
        <v>0.14285714285714285</v>
      </c>
      <c r="L6" s="65">
        <f t="shared" si="3"/>
        <v>0.6428571428571429</v>
      </c>
      <c r="N6" s="76" t="s">
        <v>5</v>
      </c>
      <c r="O6" s="193">
        <f>O4-O5</f>
        <v>65</v>
      </c>
      <c r="P6" s="193">
        <f t="shared" ref="P6:R6" si="17">P4-P5</f>
        <v>65</v>
      </c>
      <c r="Q6" s="193">
        <f t="shared" si="17"/>
        <v>65</v>
      </c>
      <c r="R6" s="193">
        <f t="shared" si="17"/>
        <v>65</v>
      </c>
      <c r="V6" s="42" t="s">
        <v>74</v>
      </c>
      <c r="Y6" s="42">
        <f>ROUNDUP(O4/Y3,0)</f>
        <v>13</v>
      </c>
      <c r="AN6" s="45">
        <v>4</v>
      </c>
      <c r="AO6" s="45">
        <f t="shared" ca="1" si="10"/>
        <v>21.32091801794633</v>
      </c>
      <c r="AP6" s="45">
        <f ca="1">SMALL($AO$3:$AO$30,ROWS(AO$3:AO6))</f>
        <v>21.32091801794633</v>
      </c>
      <c r="AQ6" s="66">
        <f t="shared" ca="1" si="11"/>
        <v>1.5853512745836844</v>
      </c>
      <c r="AR6" s="66">
        <v>1</v>
      </c>
      <c r="AS6" s="34">
        <f t="shared" ca="1" si="12"/>
        <v>34</v>
      </c>
      <c r="AT6" s="34">
        <f t="shared" ca="1" si="13"/>
        <v>0.12247801125653557</v>
      </c>
      <c r="AU6" s="34">
        <f ca="1">INDEX($AS$3:$AS$30,MATCH(SMALL($AT$3:$AT$30,ROWS(AT$3:AT6)),$AT$3:$AT$30,0))</f>
        <v>34</v>
      </c>
      <c r="AV6" s="34">
        <f ca="1">SMALL($AS$3:$AS$30,ROWS(AV$3:AV6))</f>
        <v>26</v>
      </c>
      <c r="AW6" s="42">
        <f ca="1">VLOOKUP(SMALL($BB$3:$BB$16,AX6),$BB$3:$BC$30,2,0)</f>
        <v>32</v>
      </c>
      <c r="AX6" s="42">
        <v>2</v>
      </c>
      <c r="BA6" s="42">
        <v>4</v>
      </c>
      <c r="BB6" s="42">
        <f t="shared" ca="1" si="14"/>
        <v>0.63187766937759848</v>
      </c>
      <c r="BC6" s="42">
        <f t="shared" ca="1" si="15"/>
        <v>26</v>
      </c>
    </row>
    <row r="7" spans="1:55" ht="17.25" thickBot="1" x14ac:dyDescent="0.35">
      <c r="A7" s="2">
        <v>5</v>
      </c>
      <c r="B7" s="57">
        <v>67</v>
      </c>
      <c r="C7" s="58">
        <v>35</v>
      </c>
      <c r="D7" s="118">
        <v>25</v>
      </c>
      <c r="E7" s="120">
        <v>28</v>
      </c>
      <c r="F7" s="60" t="str">
        <f t="shared" si="5"/>
        <v>56 - 63</v>
      </c>
      <c r="G7" s="61">
        <f t="shared" si="7"/>
        <v>56</v>
      </c>
      <c r="H7" s="62">
        <f t="shared" si="0"/>
        <v>63</v>
      </c>
      <c r="I7" s="101">
        <f t="shared" si="1"/>
        <v>21</v>
      </c>
      <c r="J7" s="63">
        <f t="shared" si="8"/>
        <v>3</v>
      </c>
      <c r="K7" s="64">
        <f t="shared" si="2"/>
        <v>0.10714285714285714</v>
      </c>
      <c r="L7" s="65">
        <f t="shared" si="3"/>
        <v>0.75</v>
      </c>
      <c r="N7" s="76" t="s">
        <v>15</v>
      </c>
      <c r="O7" s="193">
        <f>_xlfn.STDEV.S(B$3:B$30)</f>
        <v>16.398598146305705</v>
      </c>
      <c r="P7" s="193">
        <f t="shared" ref="P7:R7" si="18">_xlfn.STDEV.S(C$3:C$30)</f>
        <v>16.398598146305705</v>
      </c>
      <c r="Q7" s="193">
        <f t="shared" si="18"/>
        <v>16.398598146305705</v>
      </c>
      <c r="R7" s="193">
        <f t="shared" si="18"/>
        <v>16.398598146305705</v>
      </c>
      <c r="V7" s="50" t="s">
        <v>78</v>
      </c>
      <c r="W7" s="50"/>
      <c r="X7" s="50"/>
      <c r="Y7" s="42">
        <f>Y6*Y3</f>
        <v>91</v>
      </c>
      <c r="AN7" s="45">
        <v>5</v>
      </c>
      <c r="AO7" s="45">
        <f t="shared" ca="1" si="10"/>
        <v>29.336155633766392</v>
      </c>
      <c r="AP7" s="45">
        <f ca="1">SMALL($AO$3:$AO$30,ROWS(AO$3:AO7))</f>
        <v>21.599348006958142</v>
      </c>
      <c r="AQ7" s="66">
        <f t="shared" ca="1" si="11"/>
        <v>1.0746780452310325</v>
      </c>
      <c r="AR7" s="66">
        <f>AR3</f>
        <v>1</v>
      </c>
      <c r="AS7" s="34">
        <f t="shared" ca="1" si="12"/>
        <v>24</v>
      </c>
      <c r="AT7" s="34">
        <f t="shared" ca="1" si="13"/>
        <v>0.80900819379067923</v>
      </c>
      <c r="AU7" s="34">
        <f ca="1">INDEX($AS$3:$AS$30,MATCH(SMALL($AT$3:$AT$30,ROWS(AT$3:AT7)),$AT$3:$AT$30,0))</f>
        <v>64</v>
      </c>
      <c r="AV7" s="34">
        <f ca="1">SMALL($AS$3:$AS$30,ROWS(AV$3:AV7))</f>
        <v>28</v>
      </c>
      <c r="AW7" s="42">
        <f ca="1">VLOOKUP(SMALL($BB$3:$BB$16,AX7),$BB$3:$BC$30,2,0)</f>
        <v>28</v>
      </c>
      <c r="AX7" s="42">
        <f>2+AX3</f>
        <v>3</v>
      </c>
      <c r="BA7" s="42">
        <v>5</v>
      </c>
      <c r="BB7" s="42">
        <f t="shared" ca="1" si="14"/>
        <v>8.3995575876366302E-2</v>
      </c>
      <c r="BC7" s="42">
        <f t="shared" ca="1" si="15"/>
        <v>28</v>
      </c>
    </row>
    <row r="8" spans="1:55" ht="17.25" thickBot="1" x14ac:dyDescent="0.35">
      <c r="A8" s="2">
        <v>6</v>
      </c>
      <c r="B8" s="57">
        <v>35</v>
      </c>
      <c r="C8" s="58">
        <v>39</v>
      </c>
      <c r="D8" s="118">
        <v>53</v>
      </c>
      <c r="E8" s="120">
        <v>61</v>
      </c>
      <c r="F8" s="60" t="str">
        <f t="shared" si="5"/>
        <v>63 - 70</v>
      </c>
      <c r="G8" s="61">
        <f t="shared" si="7"/>
        <v>63</v>
      </c>
      <c r="H8" s="62">
        <f t="shared" si="0"/>
        <v>70</v>
      </c>
      <c r="I8" s="101">
        <f t="shared" si="1"/>
        <v>24</v>
      </c>
      <c r="J8" s="63">
        <f t="shared" si="8"/>
        <v>3</v>
      </c>
      <c r="K8" s="64">
        <f t="shared" si="2"/>
        <v>0.10714285714285714</v>
      </c>
      <c r="L8" s="65">
        <f t="shared" si="3"/>
        <v>0.8571428571428571</v>
      </c>
      <c r="N8" s="76" t="s">
        <v>16</v>
      </c>
      <c r="O8" s="193">
        <f>O7/O2</f>
        <v>0.3190832161894091</v>
      </c>
      <c r="P8" s="193">
        <f t="shared" ref="P8:R8" si="19">P7/P2</f>
        <v>0.3190832161894091</v>
      </c>
      <c r="Q8" s="193">
        <f t="shared" si="19"/>
        <v>0.3190832161894091</v>
      </c>
      <c r="R8" s="193">
        <f t="shared" si="19"/>
        <v>0.3190832161894091</v>
      </c>
      <c r="V8" s="42" t="s">
        <v>79</v>
      </c>
      <c r="Y8" s="42">
        <v>4</v>
      </c>
      <c r="AN8" s="45">
        <v>6</v>
      </c>
      <c r="AO8" s="45">
        <f t="shared" ca="1" si="10"/>
        <v>32.850456268184018</v>
      </c>
      <c r="AP8" s="45">
        <f ca="1">SMALL($AO$3:$AO$30,ROWS(AO$3:AO8))</f>
        <v>22.218367020278638</v>
      </c>
      <c r="AQ8" s="66">
        <f t="shared" ca="1" si="11"/>
        <v>1.9098908659026432</v>
      </c>
      <c r="AR8" s="66">
        <f t="shared" ref="AR8:AR30" si="20">AR4</f>
        <v>1.5</v>
      </c>
      <c r="AS8" s="34">
        <f t="shared" ca="1" si="12"/>
        <v>43</v>
      </c>
      <c r="AT8" s="34">
        <f t="shared" ca="1" si="13"/>
        <v>0.51463775977430382</v>
      </c>
      <c r="AU8" s="34">
        <f ca="1">INDEX($AS$3:$AS$30,MATCH(SMALL($AT$3:$AT$30,ROWS(AT$3:AT8)),$AT$3:$AT$30,0))</f>
        <v>43</v>
      </c>
      <c r="AV8" s="34">
        <f ca="1">SMALL($AS$3:$AS$30,ROWS(AV$3:AV8))</f>
        <v>30</v>
      </c>
      <c r="AW8" s="42">
        <f ca="1">VLOOKUP(SMALL($BB$17:$BB$30,AX8),$BB$17:$BC$30,2,0)</f>
        <v>71</v>
      </c>
      <c r="AX8" s="42">
        <f>2+AX4</f>
        <v>3</v>
      </c>
      <c r="BA8" s="42">
        <v>6</v>
      </c>
      <c r="BB8" s="42">
        <f t="shared" ca="1" si="14"/>
        <v>0.44190230920242635</v>
      </c>
      <c r="BC8" s="42">
        <f t="shared" ca="1" si="15"/>
        <v>30</v>
      </c>
    </row>
    <row r="9" spans="1:55" ht="17.25" thickBot="1" x14ac:dyDescent="0.35">
      <c r="A9" s="2">
        <v>7</v>
      </c>
      <c r="B9" s="57">
        <v>42</v>
      </c>
      <c r="C9" s="58">
        <v>39</v>
      </c>
      <c r="D9" s="118">
        <v>50</v>
      </c>
      <c r="E9" s="120">
        <v>51</v>
      </c>
      <c r="F9" s="60" t="str">
        <f t="shared" si="5"/>
        <v>70 - 77</v>
      </c>
      <c r="G9" s="61">
        <f t="shared" si="7"/>
        <v>70</v>
      </c>
      <c r="H9" s="62">
        <f t="shared" si="0"/>
        <v>77</v>
      </c>
      <c r="I9" s="101">
        <f t="shared" si="1"/>
        <v>26</v>
      </c>
      <c r="J9" s="63">
        <f t="shared" si="8"/>
        <v>2</v>
      </c>
      <c r="K9" s="64">
        <f t="shared" si="2"/>
        <v>7.1428571428571425E-2</v>
      </c>
      <c r="L9" s="65">
        <f t="shared" si="3"/>
        <v>0.9285714285714286</v>
      </c>
      <c r="N9" s="95" t="s">
        <v>73</v>
      </c>
      <c r="O9" s="192">
        <f>O2/O3</f>
        <v>1.0488338192419826</v>
      </c>
      <c r="P9" s="192">
        <f t="shared" ref="P9:R9" si="21">P2/P3</f>
        <v>1.0488338192419826</v>
      </c>
      <c r="Q9" s="192">
        <f t="shared" si="21"/>
        <v>1.0488338192419826</v>
      </c>
      <c r="R9" s="192">
        <f t="shared" si="21"/>
        <v>1.0488338192419826</v>
      </c>
      <c r="AN9" s="45">
        <v>8</v>
      </c>
      <c r="AO9" s="45">
        <f t="shared" ca="1" si="10"/>
        <v>25.358793206312534</v>
      </c>
      <c r="AP9" s="45">
        <f ca="1">SMALL($AO$3:$AO$30,ROWS(AO$3:AO9))</f>
        <v>22.287858146743222</v>
      </c>
      <c r="AQ9" s="66">
        <f t="shared" ca="1" si="11"/>
        <v>2.5249833289229557</v>
      </c>
      <c r="AR9" s="66">
        <f t="shared" si="20"/>
        <v>2</v>
      </c>
      <c r="AS9" s="34">
        <f t="shared" ca="1" si="12"/>
        <v>57</v>
      </c>
      <c r="AT9" s="34">
        <f t="shared" ca="1" si="13"/>
        <v>5.621203719877399E-3</v>
      </c>
      <c r="AU9" s="34">
        <f ca="1">INDEX($AS$3:$AS$30,MATCH(SMALL($AT$3:$AT$30,ROWS(AT$3:AT9)),$AT$3:$AT$30,0))</f>
        <v>67</v>
      </c>
      <c r="AV9" s="34">
        <f ca="1">SMALL($AS$3:$AS$30,ROWS(AV$3:AV9))</f>
        <v>32</v>
      </c>
      <c r="AW9" s="42">
        <f ca="1">VLOOKUP(SMALL($BB$17:$BB$30,AX9),$BB$17:$BC$30,2,0)</f>
        <v>57</v>
      </c>
      <c r="AX9" s="42">
        <f>2+AX5</f>
        <v>4</v>
      </c>
      <c r="BA9" s="42">
        <v>7</v>
      </c>
      <c r="BB9" s="42">
        <f t="shared" ca="1" si="14"/>
        <v>4.3028285787155673E-2</v>
      </c>
      <c r="BC9" s="42">
        <f t="shared" ca="1" si="15"/>
        <v>32</v>
      </c>
    </row>
    <row r="10" spans="1:55" ht="17.25" thickBot="1" x14ac:dyDescent="0.35">
      <c r="A10" s="2">
        <v>8</v>
      </c>
      <c r="B10" s="57">
        <v>44</v>
      </c>
      <c r="C10" s="58">
        <v>40</v>
      </c>
      <c r="D10" s="118">
        <v>42</v>
      </c>
      <c r="E10" s="120">
        <v>46</v>
      </c>
      <c r="F10" s="60" t="str">
        <f t="shared" si="5"/>
        <v>77 - 84</v>
      </c>
      <c r="G10" s="61">
        <f t="shared" si="7"/>
        <v>77</v>
      </c>
      <c r="H10" s="62">
        <f t="shared" si="0"/>
        <v>84</v>
      </c>
      <c r="I10" s="101">
        <f t="shared" si="1"/>
        <v>27</v>
      </c>
      <c r="J10" s="63">
        <f t="shared" si="8"/>
        <v>1</v>
      </c>
      <c r="K10" s="64">
        <f t="shared" si="2"/>
        <v>3.5714285714285712E-2</v>
      </c>
      <c r="L10" s="65">
        <f t="shared" si="3"/>
        <v>0.9642857142857143</v>
      </c>
      <c r="N10" s="77" t="s">
        <v>64</v>
      </c>
      <c r="O10" s="194">
        <f>O6/O2</f>
        <v>1.2647671994440584</v>
      </c>
      <c r="P10" s="194">
        <f t="shared" ref="P10:R10" si="22">P6/P2</f>
        <v>1.2647671994440584</v>
      </c>
      <c r="Q10" s="194">
        <f t="shared" si="22"/>
        <v>1.2647671994440584</v>
      </c>
      <c r="R10" s="194">
        <f t="shared" si="22"/>
        <v>1.2647671994440584</v>
      </c>
      <c r="AN10" s="45">
        <v>7</v>
      </c>
      <c r="AO10" s="45">
        <f t="shared" ca="1" si="10"/>
        <v>22.906480210126706</v>
      </c>
      <c r="AP10" s="45">
        <f ca="1">SMALL($AO$3:$AO$30,ROWS(AO$3:AO10))</f>
        <v>22.41644348423678</v>
      </c>
      <c r="AQ10" s="66">
        <f t="shared" ca="1" si="11"/>
        <v>1.9007087752914555</v>
      </c>
      <c r="AR10" s="66">
        <f t="shared" si="20"/>
        <v>1</v>
      </c>
      <c r="AS10" s="34">
        <f t="shared" ca="1" si="12"/>
        <v>43</v>
      </c>
      <c r="AT10" s="34">
        <f t="shared" ca="1" si="13"/>
        <v>0.17518502888734566</v>
      </c>
      <c r="AU10" s="34">
        <f ca="1">INDEX($AS$3:$AS$30,MATCH(SMALL($AT$3:$AT$30,ROWS(AT$3:AT10)),$AT$3:$AT$30,0))</f>
        <v>38</v>
      </c>
      <c r="AV10" s="34">
        <f ca="1">SMALL($AS$3:$AS$30,ROWS(AV$3:AV10))</f>
        <v>34</v>
      </c>
      <c r="AW10" s="42">
        <f ca="1">VLOOKUP(SMALL($BB$3:$BB$16,AX10),$BB$3:$BC$30,2,0)</f>
        <v>24</v>
      </c>
      <c r="AX10" s="42">
        <f>2+AX6</f>
        <v>4</v>
      </c>
      <c r="BA10" s="42">
        <v>8</v>
      </c>
      <c r="BB10" s="42">
        <f t="shared" ca="1" si="14"/>
        <v>0.20441095183005187</v>
      </c>
      <c r="BC10" s="42">
        <f t="shared" ca="1" si="15"/>
        <v>34</v>
      </c>
    </row>
    <row r="11" spans="1:55" ht="17.25" thickBot="1" x14ac:dyDescent="0.35">
      <c r="A11" s="2">
        <v>9</v>
      </c>
      <c r="B11" s="57">
        <v>51</v>
      </c>
      <c r="C11" s="58">
        <v>41</v>
      </c>
      <c r="D11" s="118">
        <v>40</v>
      </c>
      <c r="E11" s="120">
        <v>48</v>
      </c>
      <c r="F11" s="60" t="str">
        <f t="shared" si="5"/>
        <v>84 - 91</v>
      </c>
      <c r="G11" s="61">
        <f t="shared" si="7"/>
        <v>84</v>
      </c>
      <c r="H11" s="62">
        <f t="shared" si="0"/>
        <v>91</v>
      </c>
      <c r="I11" s="101">
        <f t="shared" si="1"/>
        <v>28</v>
      </c>
      <c r="J11" s="63">
        <f t="shared" si="8"/>
        <v>1</v>
      </c>
      <c r="K11" s="64">
        <f t="shared" si="2"/>
        <v>3.5714285714285712E-2</v>
      </c>
      <c r="L11" s="65">
        <f t="shared" si="3"/>
        <v>1</v>
      </c>
      <c r="AN11" s="45">
        <v>12</v>
      </c>
      <c r="AO11" s="45">
        <f t="shared" ca="1" si="10"/>
        <v>27.401383123457229</v>
      </c>
      <c r="AP11" s="45">
        <f ca="1">SMALL($AO$3:$AO$30,ROWS(AO$3:AO11))</f>
        <v>22.906480210126706</v>
      </c>
      <c r="AQ11" s="66">
        <f t="shared" ca="1" si="11"/>
        <v>1.0275299809095744</v>
      </c>
      <c r="AR11" s="66">
        <f t="shared" si="20"/>
        <v>1</v>
      </c>
      <c r="AS11" s="34">
        <f t="shared" ca="1" si="12"/>
        <v>24</v>
      </c>
      <c r="AT11" s="34">
        <f t="shared" ca="1" si="13"/>
        <v>0.9094720384243804</v>
      </c>
      <c r="AU11" s="34">
        <f ca="1">INDEX($AS$3:$AS$30,MATCH(SMALL($AT$3:$AT$30,ROWS(AT$3:AT11)),$AT$3:$AT$30,0))</f>
        <v>40</v>
      </c>
      <c r="AV11" s="34">
        <f ca="1">SMALL($AS$3:$AS$30,ROWS(AV$3:AV11))</f>
        <v>38</v>
      </c>
      <c r="AW11" s="42">
        <f ca="1">VLOOKUP(SMALL($BB$3:$BB$16,AX11),$BB$3:$BC$30,2,0)</f>
        <v>40</v>
      </c>
      <c r="AX11" s="42">
        <f t="shared" ref="AX11:AX30" si="23">2+AX7</f>
        <v>5</v>
      </c>
      <c r="BA11" s="42">
        <v>9</v>
      </c>
      <c r="BB11" s="42">
        <f t="shared" ca="1" si="14"/>
        <v>0.58181815232326606</v>
      </c>
      <c r="BC11" s="42">
        <f t="shared" ca="1" si="15"/>
        <v>38</v>
      </c>
    </row>
    <row r="12" spans="1:55" ht="17.25" thickBot="1" x14ac:dyDescent="0.35">
      <c r="A12" s="2">
        <v>10</v>
      </c>
      <c r="B12" s="57">
        <v>39</v>
      </c>
      <c r="C12" s="58">
        <v>42</v>
      </c>
      <c r="D12" s="118">
        <v>46</v>
      </c>
      <c r="E12" s="120">
        <v>56</v>
      </c>
      <c r="F12" s="60" t="str">
        <f t="shared" si="5"/>
        <v>91 - 98</v>
      </c>
      <c r="G12" s="61">
        <f t="shared" si="7"/>
        <v>91</v>
      </c>
      <c r="H12" s="62">
        <f t="shared" si="0"/>
        <v>98</v>
      </c>
      <c r="I12" s="101">
        <f t="shared" si="1"/>
        <v>28</v>
      </c>
      <c r="J12" s="63">
        <f t="shared" si="8"/>
        <v>0</v>
      </c>
      <c r="K12" s="64">
        <f t="shared" si="2"/>
        <v>0</v>
      </c>
      <c r="L12" s="65">
        <f t="shared" si="3"/>
        <v>1</v>
      </c>
      <c r="AN12" s="45">
        <v>9</v>
      </c>
      <c r="AO12" s="45">
        <f t="shared" ca="1" si="10"/>
        <v>35.881432515674391</v>
      </c>
      <c r="AP12" s="45">
        <f ca="1">SMALL($AO$3:$AO$30,ROWS(AO$3:AO12))</f>
        <v>23.763286437501431</v>
      </c>
      <c r="AQ12" s="66">
        <f t="shared" ca="1" si="11"/>
        <v>1.6752620267545133</v>
      </c>
      <c r="AR12" s="66">
        <f t="shared" si="20"/>
        <v>1.5</v>
      </c>
      <c r="AS12" s="34">
        <f t="shared" ca="1" si="12"/>
        <v>40</v>
      </c>
      <c r="AT12" s="34">
        <f t="shared" ca="1" si="13"/>
        <v>0.26265312877491653</v>
      </c>
      <c r="AU12" s="34">
        <f ca="1">INDEX($AS$3:$AS$30,MATCH(SMALL($AT$3:$AT$30,ROWS(AT$3:AT12)),$AT$3:$AT$30,0))</f>
        <v>28</v>
      </c>
      <c r="AV12" s="34">
        <f ca="1">SMALL($AS$3:$AS$30,ROWS(AV$3:AV12))</f>
        <v>39</v>
      </c>
      <c r="AW12" s="42">
        <f ca="1">VLOOKUP(SMALL($BB$17:$BB$30,AX12),$BB$17:$BC$30,2,0)</f>
        <v>58</v>
      </c>
      <c r="AX12" s="42">
        <f t="shared" si="23"/>
        <v>5</v>
      </c>
      <c r="BA12" s="42">
        <v>10</v>
      </c>
      <c r="BB12" s="42">
        <f t="shared" ca="1" si="14"/>
        <v>0.62577572490491196</v>
      </c>
      <c r="BC12" s="42">
        <f t="shared" ca="1" si="15"/>
        <v>39</v>
      </c>
    </row>
    <row r="13" spans="1:55" ht="17.25" thickBot="1" x14ac:dyDescent="0.35">
      <c r="A13" s="2">
        <v>11</v>
      </c>
      <c r="B13" s="57">
        <v>46</v>
      </c>
      <c r="C13" s="58">
        <v>44</v>
      </c>
      <c r="D13" s="118">
        <v>72</v>
      </c>
      <c r="E13" s="120">
        <v>72</v>
      </c>
      <c r="F13" s="60" t="str">
        <f t="shared" si="5"/>
        <v>98 - 105</v>
      </c>
      <c r="G13" s="61">
        <f t="shared" si="7"/>
        <v>98</v>
      </c>
      <c r="H13" s="62">
        <f t="shared" si="0"/>
        <v>105</v>
      </c>
      <c r="I13" s="101">
        <f t="shared" si="1"/>
        <v>28</v>
      </c>
      <c r="J13" s="63">
        <f t="shared" si="8"/>
        <v>0</v>
      </c>
      <c r="K13" s="64">
        <f t="shared" si="2"/>
        <v>0</v>
      </c>
      <c r="L13" s="65">
        <f t="shared" si="3"/>
        <v>1</v>
      </c>
      <c r="AN13" s="45">
        <v>10</v>
      </c>
      <c r="AO13" s="45">
        <f t="shared" ca="1" si="10"/>
        <v>26.333166698867675</v>
      </c>
      <c r="AP13" s="45">
        <f ca="1">SMALL($AO$3:$AO$30,ROWS(AO$3:AO13))</f>
        <v>24.252728886985707</v>
      </c>
      <c r="AQ13" s="66">
        <f t="shared" ca="1" si="11"/>
        <v>2.6056910621334244</v>
      </c>
      <c r="AR13" s="66">
        <f t="shared" si="20"/>
        <v>2</v>
      </c>
      <c r="AS13" s="34">
        <f t="shared" ca="1" si="12"/>
        <v>64</v>
      </c>
      <c r="AT13" s="34">
        <f t="shared" ca="1" si="13"/>
        <v>0.1236816571944056</v>
      </c>
      <c r="AU13" s="34">
        <f ca="1">INDEX($AS$3:$AS$30,MATCH(SMALL($AT$3:$AT$30,ROWS(AT$3:AT13)),$AT$3:$AT$30,0))</f>
        <v>58</v>
      </c>
      <c r="AV13" s="34">
        <f ca="1">SMALL($AS$3:$AS$30,ROWS(AV$3:AV13))</f>
        <v>40</v>
      </c>
      <c r="AW13" s="42">
        <f ca="1">VLOOKUP(SMALL($BB$17:$BB$30,AX13),$BB$17:$BC$30,2,0)</f>
        <v>105</v>
      </c>
      <c r="AX13" s="42">
        <f t="shared" si="23"/>
        <v>6</v>
      </c>
      <c r="BA13" s="42">
        <v>11</v>
      </c>
      <c r="BB13" s="42">
        <f t="shared" ca="1" si="14"/>
        <v>0.17124797458067331</v>
      </c>
      <c r="BC13" s="42">
        <f t="shared" ca="1" si="15"/>
        <v>40</v>
      </c>
    </row>
    <row r="14" spans="1:55" ht="17.25" thickBot="1" x14ac:dyDescent="0.35">
      <c r="A14" s="2">
        <v>12</v>
      </c>
      <c r="B14" s="57">
        <v>41</v>
      </c>
      <c r="C14" s="58">
        <v>46</v>
      </c>
      <c r="D14" s="118">
        <v>31</v>
      </c>
      <c r="E14" s="120">
        <v>40</v>
      </c>
      <c r="F14" s="67" t="str">
        <f t="shared" si="5"/>
        <v>105 - 112</v>
      </c>
      <c r="G14" s="68">
        <f>H13</f>
        <v>105</v>
      </c>
      <c r="H14" s="69">
        <f t="shared" si="0"/>
        <v>112</v>
      </c>
      <c r="I14" s="102">
        <f t="shared" si="1"/>
        <v>28</v>
      </c>
      <c r="J14" s="70">
        <f t="shared" si="8"/>
        <v>0</v>
      </c>
      <c r="K14" s="71">
        <f t="shared" si="2"/>
        <v>0</v>
      </c>
      <c r="L14" s="72">
        <f t="shared" si="3"/>
        <v>1</v>
      </c>
      <c r="AN14" s="45">
        <v>11</v>
      </c>
      <c r="AO14" s="45">
        <f t="shared" ca="1" si="10"/>
        <v>21.599348006958142</v>
      </c>
      <c r="AP14" s="45">
        <f ca="1">SMALL($AO$3:$AO$30,ROWS(AO$3:AO14))</f>
        <v>25.012222948684663</v>
      </c>
      <c r="AQ14" s="66">
        <f t="shared" ca="1" si="11"/>
        <v>1.0235289410583119</v>
      </c>
      <c r="AR14" s="66">
        <f t="shared" si="20"/>
        <v>1</v>
      </c>
      <c r="AS14" s="34">
        <f t="shared" ca="1" si="12"/>
        <v>26</v>
      </c>
      <c r="AT14" s="34">
        <f t="shared" ca="1" si="13"/>
        <v>0.11829803464413735</v>
      </c>
      <c r="AU14" s="34">
        <f ca="1">INDEX($AS$3:$AS$30,MATCH(SMALL($AT$3:$AT$30,ROWS(AT$3:AT14)),$AT$3:$AT$30,0))</f>
        <v>45</v>
      </c>
      <c r="AV14" s="34">
        <f ca="1">SMALL($AS$3:$AS$30,ROWS(AV$3:AV14))</f>
        <v>43</v>
      </c>
      <c r="AW14" s="42">
        <f ca="1">VLOOKUP(SMALL($BB$3:$BB$16,AX14),$BB$3:$BC$30,2,0)</f>
        <v>34</v>
      </c>
      <c r="AX14" s="42">
        <f t="shared" si="23"/>
        <v>6</v>
      </c>
      <c r="BA14" s="42">
        <v>12</v>
      </c>
      <c r="BB14" s="42">
        <f t="shared" ca="1" si="14"/>
        <v>0.5220754723513491</v>
      </c>
      <c r="BC14" s="42">
        <f t="shared" ca="1" si="15"/>
        <v>43</v>
      </c>
    </row>
    <row r="15" spans="1:55" ht="16.5" x14ac:dyDescent="0.3">
      <c r="A15" s="2">
        <v>13</v>
      </c>
      <c r="B15" s="57">
        <v>69</v>
      </c>
      <c r="C15" s="58">
        <v>47</v>
      </c>
      <c r="D15" s="118">
        <v>44</v>
      </c>
      <c r="E15" s="120">
        <v>42</v>
      </c>
      <c r="F15" s="73"/>
      <c r="G15" s="63"/>
      <c r="H15" s="63"/>
      <c r="I15" s="63"/>
      <c r="J15" s="63">
        <f>SUM(J2:J14)</f>
        <v>28</v>
      </c>
      <c r="K15" s="64">
        <f>SUM(K2:K14)</f>
        <v>0.99999999999999978</v>
      </c>
      <c r="L15" s="64"/>
      <c r="AN15" s="45">
        <v>14</v>
      </c>
      <c r="AO15" s="45">
        <f t="shared" ca="1" si="10"/>
        <v>22.218367020278638</v>
      </c>
      <c r="AP15" s="45">
        <f ca="1">SMALL($AO$3:$AO$30,ROWS(AO$3:AO15))</f>
        <v>25.154300926885565</v>
      </c>
      <c r="AQ15" s="66">
        <f t="shared" ca="1" si="11"/>
        <v>1.8197438501595036</v>
      </c>
      <c r="AR15" s="66">
        <f t="shared" si="20"/>
        <v>1</v>
      </c>
      <c r="AS15" s="34">
        <f t="shared" ca="1" si="12"/>
        <v>46</v>
      </c>
      <c r="AT15" s="34">
        <f t="shared" ca="1" si="13"/>
        <v>0.68269871413067895</v>
      </c>
      <c r="AU15" s="34">
        <f ca="1">INDEX($AS$3:$AS$30,MATCH(SMALL($AT$3:$AT$30,ROWS(AT$3:AT15)),$AT$3:$AT$30,0))</f>
        <v>15</v>
      </c>
      <c r="AV15" s="34">
        <f ca="1">SMALL($AS$3:$AS$30,ROWS(AV$3:AV15))</f>
        <v>43</v>
      </c>
      <c r="AW15" s="42">
        <f ca="1">VLOOKUP(SMALL($BB$3:$BB$16,AX15),$BB$3:$BC$30,2,0)</f>
        <v>30</v>
      </c>
      <c r="AX15" s="42">
        <f t="shared" si="23"/>
        <v>7</v>
      </c>
      <c r="BA15" s="42">
        <v>13</v>
      </c>
      <c r="BB15" s="42">
        <f t="shared" ca="1" si="14"/>
        <v>0.55064881878915573</v>
      </c>
      <c r="BC15" s="42">
        <f t="shared" ca="1" si="15"/>
        <v>43</v>
      </c>
    </row>
    <row r="16" spans="1:55" ht="16.5" x14ac:dyDescent="0.3">
      <c r="A16" s="2">
        <v>14</v>
      </c>
      <c r="B16" s="57">
        <v>28</v>
      </c>
      <c r="C16" s="58">
        <v>48</v>
      </c>
      <c r="D16" s="118">
        <v>39</v>
      </c>
      <c r="E16" s="120">
        <v>72</v>
      </c>
      <c r="F16" s="93"/>
      <c r="G16" s="93"/>
      <c r="H16" s="93"/>
      <c r="I16" s="93"/>
      <c r="J16" s="50"/>
      <c r="K16" s="50"/>
      <c r="L16" s="93"/>
      <c r="M16" s="50"/>
      <c r="N16" s="50"/>
      <c r="Q16" s="50"/>
      <c r="R16" s="50"/>
      <c r="S16" s="50"/>
      <c r="T16" s="50"/>
      <c r="Y16" s="50"/>
      <c r="Z16" s="50"/>
      <c r="AN16" s="45">
        <v>16</v>
      </c>
      <c r="AO16" s="45">
        <f t="shared" ca="1" si="10"/>
        <v>25.731175301667804</v>
      </c>
      <c r="AP16" s="45">
        <f ca="1">SMALL($AO$3:$AO$30,ROWS(AO$3:AO16))</f>
        <v>25.358793206312534</v>
      </c>
      <c r="AQ16" s="66">
        <f t="shared" ca="1" si="11"/>
        <v>2.1293996475592598</v>
      </c>
      <c r="AR16" s="66">
        <f t="shared" si="20"/>
        <v>1.5</v>
      </c>
      <c r="AS16" s="34">
        <f t="shared" ca="1" si="12"/>
        <v>54</v>
      </c>
      <c r="AT16" s="34">
        <f t="shared" ca="1" si="13"/>
        <v>0.48960551019205256</v>
      </c>
      <c r="AU16" s="34">
        <f ca="1">INDEX($AS$3:$AS$30,MATCH(SMALL($AT$3:$AT$30,ROWS(AT$3:AT16)),$AT$3:$AT$30,0))</f>
        <v>54</v>
      </c>
      <c r="AV16" s="34">
        <f ca="1">SMALL($AS$3:$AS$30,ROWS(AV$3:AV16))</f>
        <v>45</v>
      </c>
      <c r="AW16" s="42">
        <f ca="1">VLOOKUP(SMALL($BB$17:$BB$30,AX16),$BB$17:$BC$30,2,0)</f>
        <v>57</v>
      </c>
      <c r="AX16" s="42">
        <f t="shared" si="23"/>
        <v>7</v>
      </c>
      <c r="BA16" s="42">
        <v>14</v>
      </c>
      <c r="BB16" s="42">
        <f t="shared" ca="1" si="14"/>
        <v>0.55087561437962318</v>
      </c>
      <c r="BC16" s="42">
        <f t="shared" ca="1" si="15"/>
        <v>45</v>
      </c>
    </row>
    <row r="17" spans="1:63" ht="16.5" x14ac:dyDescent="0.3">
      <c r="A17" s="2">
        <v>15</v>
      </c>
      <c r="B17" s="57">
        <v>82</v>
      </c>
      <c r="C17" s="58">
        <v>50</v>
      </c>
      <c r="D17" s="118">
        <v>72</v>
      </c>
      <c r="E17" s="120">
        <v>53</v>
      </c>
      <c r="F17" s="50"/>
      <c r="G17" s="50"/>
      <c r="H17" s="50"/>
      <c r="I17" s="50"/>
      <c r="J17" s="94"/>
      <c r="K17" s="94"/>
      <c r="L17" s="50"/>
      <c r="M17" s="50"/>
      <c r="N17" s="50"/>
      <c r="Q17" s="50"/>
      <c r="R17" s="50"/>
      <c r="S17" s="50"/>
      <c r="T17" s="50"/>
      <c r="Y17" s="50"/>
      <c r="Z17" s="50"/>
      <c r="AN17" s="45">
        <v>18</v>
      </c>
      <c r="AO17" s="45">
        <f t="shared" ca="1" si="10"/>
        <v>29.990005008990064</v>
      </c>
      <c r="AP17" s="45">
        <f ca="1">SMALL($AO$3:$AO$30,ROWS(AO$3:AO17))</f>
        <v>25.725362251094221</v>
      </c>
      <c r="AQ17" s="66">
        <f t="shared" ca="1" si="11"/>
        <v>2.8905380698320871</v>
      </c>
      <c r="AR17" s="66">
        <f t="shared" si="20"/>
        <v>2</v>
      </c>
      <c r="AS17" s="34">
        <f t="shared" ca="1" si="12"/>
        <v>75</v>
      </c>
      <c r="AT17" s="34">
        <f t="shared" ca="1" si="13"/>
        <v>0.94768441164550843</v>
      </c>
      <c r="AU17" s="34">
        <f ca="1">INDEX($AS$3:$AS$30,MATCH(SMALL($AT$3:$AT$30,ROWS(AT$3:AT17)),$AT$3:$AT$30,0))</f>
        <v>43</v>
      </c>
      <c r="AV17" s="34">
        <f ca="1">SMALL($AS$3:$AS$30,ROWS(AV$3:AV17))</f>
        <v>46</v>
      </c>
      <c r="AW17" s="42">
        <f ca="1">VLOOKUP(SMALL($BB$17:$BB$30,AX17),$BB$17:$BC$30,2,0)</f>
        <v>64</v>
      </c>
      <c r="AX17" s="42">
        <f t="shared" si="23"/>
        <v>8</v>
      </c>
      <c r="BA17" s="42">
        <v>15</v>
      </c>
      <c r="BB17" s="42">
        <f t="shared" ca="1" si="14"/>
        <v>0.97139393467677038</v>
      </c>
      <c r="BC17" s="42">
        <f t="shared" ca="1" si="15"/>
        <v>46</v>
      </c>
    </row>
    <row r="18" spans="1:63" ht="16.5" x14ac:dyDescent="0.3">
      <c r="A18" s="2">
        <v>16</v>
      </c>
      <c r="B18" s="57">
        <v>65</v>
      </c>
      <c r="C18" s="58">
        <v>51</v>
      </c>
      <c r="D18" s="118">
        <v>51</v>
      </c>
      <c r="E18" s="120">
        <v>41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N18" s="45">
        <v>13</v>
      </c>
      <c r="AO18" s="45">
        <f t="shared" ca="1" si="10"/>
        <v>26.283708450505685</v>
      </c>
      <c r="AP18" s="45">
        <f ca="1">SMALL($AO$3:$AO$30,ROWS(AO$3:AO18))</f>
        <v>25.731175301667804</v>
      </c>
      <c r="AQ18" s="66">
        <f t="shared" ca="1" si="11"/>
        <v>1.1320576598387491</v>
      </c>
      <c r="AR18" s="66">
        <f t="shared" si="20"/>
        <v>1</v>
      </c>
      <c r="AS18" s="34">
        <f t="shared" ca="1" si="12"/>
        <v>30</v>
      </c>
      <c r="AT18" s="34">
        <f t="shared" ca="1" si="13"/>
        <v>4.3685211285611869E-2</v>
      </c>
      <c r="AU18" s="34">
        <f ca="1">INDEX($AS$3:$AS$30,MATCH(SMALL($AT$3:$AT$30,ROWS(AT$3:AT18)),$AT$3:$AT$30,0))</f>
        <v>71</v>
      </c>
      <c r="AV18" s="34">
        <f ca="1">SMALL($AS$3:$AS$30,ROWS(AV$3:AV18))</f>
        <v>47</v>
      </c>
      <c r="AW18" s="42">
        <f ca="1">VLOOKUP(SMALL($BB$3:$BB$16,AX18),$BB$3:$BC$30,2,0)</f>
        <v>15</v>
      </c>
      <c r="AX18" s="42">
        <f t="shared" si="23"/>
        <v>8</v>
      </c>
      <c r="BA18" s="42">
        <v>16</v>
      </c>
      <c r="BB18" s="42">
        <f t="shared" ca="1" si="14"/>
        <v>0.98856594004306453</v>
      </c>
      <c r="BC18" s="42">
        <f t="shared" ca="1" si="15"/>
        <v>47</v>
      </c>
    </row>
    <row r="19" spans="1:63" ht="16.5" x14ac:dyDescent="0.3">
      <c r="A19" s="2">
        <v>17</v>
      </c>
      <c r="B19" s="57">
        <v>47</v>
      </c>
      <c r="C19" s="58">
        <v>51</v>
      </c>
      <c r="D19" s="118">
        <v>41</v>
      </c>
      <c r="E19" s="120">
        <v>25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N19" s="45">
        <v>17</v>
      </c>
      <c r="AO19" s="45">
        <f t="shared" ca="1" si="10"/>
        <v>25.725362251094221</v>
      </c>
      <c r="AP19" s="45">
        <f ca="1">SMALL($AO$3:$AO$30,ROWS(AO$3:AO19))</f>
        <v>26.062439082432011</v>
      </c>
      <c r="AQ19" s="66">
        <f t="shared" ca="1" si="11"/>
        <v>1.4812267792990088</v>
      </c>
      <c r="AR19" s="66">
        <f t="shared" si="20"/>
        <v>1</v>
      </c>
      <c r="AS19" s="34">
        <f t="shared" ca="1" si="12"/>
        <v>39</v>
      </c>
      <c r="AT19" s="34">
        <f t="shared" ca="1" si="13"/>
        <v>0.62249825155141902</v>
      </c>
      <c r="AU19" s="34">
        <f ca="1">INDEX($AS$3:$AS$30,MATCH(SMALL($AT$3:$AT$30,ROWS(AT$3:AT19)),$AT$3:$AT$30,0))</f>
        <v>105</v>
      </c>
      <c r="AV19" s="34">
        <f ca="1">SMALL($AS$3:$AS$30,ROWS(AV$3:AV19))</f>
        <v>52</v>
      </c>
      <c r="AW19" s="42">
        <f ca="1">VLOOKUP(SMALL($BB$3:$BB$16,AX19),$BB$3:$BC$30,2,0)</f>
        <v>43</v>
      </c>
      <c r="AX19" s="42">
        <f t="shared" si="23"/>
        <v>9</v>
      </c>
      <c r="BA19" s="42">
        <v>17</v>
      </c>
      <c r="BB19" s="42">
        <f t="shared" ca="1" si="14"/>
        <v>2.7741514855169069E-2</v>
      </c>
      <c r="BC19" s="42">
        <f t="shared" ca="1" si="15"/>
        <v>52</v>
      </c>
    </row>
    <row r="20" spans="1:63" ht="16.5" x14ac:dyDescent="0.3">
      <c r="A20" s="2">
        <v>18</v>
      </c>
      <c r="B20" s="57">
        <v>53</v>
      </c>
      <c r="C20" s="58">
        <v>53</v>
      </c>
      <c r="D20" s="118">
        <v>65</v>
      </c>
      <c r="E20" s="120">
        <v>69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N20" s="45">
        <v>15</v>
      </c>
      <c r="AO20" s="45">
        <f t="shared" ca="1" si="10"/>
        <v>27.761399348163057</v>
      </c>
      <c r="AP20" s="45">
        <f ca="1">SMALL($AO$3:$AO$30,ROWS(AO$3:AO20))</f>
        <v>26.283708450505685</v>
      </c>
      <c r="AQ20" s="66">
        <f t="shared" ca="1" si="11"/>
        <v>1.9724943319093378</v>
      </c>
      <c r="AR20" s="66">
        <f t="shared" si="20"/>
        <v>1.5</v>
      </c>
      <c r="AS20" s="34">
        <f t="shared" ca="1" si="12"/>
        <v>52</v>
      </c>
      <c r="AT20" s="34">
        <f t="shared" ca="1" si="13"/>
        <v>0.81143474366347179</v>
      </c>
      <c r="AU20" s="34">
        <f ca="1">INDEX($AS$3:$AS$30,MATCH(SMALL($AT$3:$AT$30,ROWS(AT$3:AT20)),$AT$3:$AT$30,0))</f>
        <v>57</v>
      </c>
      <c r="AV20" s="34">
        <f ca="1">SMALL($AS$3:$AS$30,ROWS(AV$3:AV20))</f>
        <v>54</v>
      </c>
      <c r="AW20" s="42">
        <f ca="1">VLOOKUP(SMALL($BB$17:$BB$30,AX20),$BB$17:$BC$30,2,0)</f>
        <v>67</v>
      </c>
      <c r="AX20" s="42">
        <f t="shared" si="23"/>
        <v>9</v>
      </c>
      <c r="BA20" s="42">
        <v>18</v>
      </c>
      <c r="BB20" s="42">
        <f t="shared" ca="1" si="14"/>
        <v>0.93021863157142781</v>
      </c>
      <c r="BC20" s="42">
        <f t="shared" ca="1" si="15"/>
        <v>54</v>
      </c>
    </row>
    <row r="21" spans="1:63" ht="16.5" x14ac:dyDescent="0.3">
      <c r="A21" s="2">
        <v>19</v>
      </c>
      <c r="B21" s="57">
        <v>90</v>
      </c>
      <c r="C21" s="58">
        <v>56</v>
      </c>
      <c r="D21" s="118">
        <v>67</v>
      </c>
      <c r="E21" s="120">
        <v>90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N21" s="45">
        <v>19</v>
      </c>
      <c r="AO21" s="45">
        <f t="shared" ca="1" si="10"/>
        <v>26.062439082432011</v>
      </c>
      <c r="AP21" s="45">
        <f ca="1">SMALL($AO$3:$AO$30,ROWS(AO$3:AO21))</f>
        <v>26.333166698867675</v>
      </c>
      <c r="AQ21" s="66">
        <f t="shared" ca="1" si="11"/>
        <v>2.969323569961531</v>
      </c>
      <c r="AR21" s="66">
        <f t="shared" si="20"/>
        <v>2</v>
      </c>
      <c r="AS21" s="34">
        <f t="shared" ca="1" si="12"/>
        <v>79</v>
      </c>
      <c r="AT21" s="34">
        <f t="shared" ca="1" si="13"/>
        <v>0.97010103124647873</v>
      </c>
      <c r="AU21" s="34">
        <f ca="1">INDEX($AS$3:$AS$30,MATCH(SMALL($AT$3:$AT$30,ROWS(AT$3:AT21)),$AT$3:$AT$30,0))</f>
        <v>32</v>
      </c>
      <c r="AV21" s="34">
        <f ca="1">SMALL($AS$3:$AS$30,ROWS(AV$3:AV21))</f>
        <v>57</v>
      </c>
      <c r="AW21" s="42">
        <f ca="1">VLOOKUP(SMALL($BB$17:$BB$30,AX21),$BB$17:$BC$30,2,0)</f>
        <v>75</v>
      </c>
      <c r="AX21" s="42">
        <f t="shared" si="23"/>
        <v>10</v>
      </c>
      <c r="BA21" s="42">
        <v>19</v>
      </c>
      <c r="BB21" s="42">
        <f t="shared" ca="1" si="14"/>
        <v>0.73911785372901262</v>
      </c>
      <c r="BC21" s="42">
        <f t="shared" ca="1" si="15"/>
        <v>57</v>
      </c>
    </row>
    <row r="22" spans="1:63" ht="16.5" x14ac:dyDescent="0.3">
      <c r="A22" s="2">
        <v>20</v>
      </c>
      <c r="B22" s="57">
        <v>56</v>
      </c>
      <c r="C22" s="58">
        <v>61</v>
      </c>
      <c r="D22" s="118">
        <v>51</v>
      </c>
      <c r="E22" s="120">
        <v>33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N22" s="45">
        <v>20</v>
      </c>
      <c r="AO22" s="45">
        <f t="shared" ca="1" si="10"/>
        <v>30.144206994067197</v>
      </c>
      <c r="AP22" s="45">
        <f ca="1">SMALL($AO$3:$AO$30,ROWS(AO$3:AO22))</f>
        <v>27.401383123457229</v>
      </c>
      <c r="AQ22" s="66">
        <f t="shared" ca="1" si="11"/>
        <v>1.6248667654422349</v>
      </c>
      <c r="AR22" s="66">
        <f t="shared" si="20"/>
        <v>1</v>
      </c>
      <c r="AS22" s="34">
        <f t="shared" ca="1" si="12"/>
        <v>45</v>
      </c>
      <c r="AT22" s="34">
        <f t="shared" ca="1" si="13"/>
        <v>0.38483666901750457</v>
      </c>
      <c r="AU22" s="34">
        <f ca="1">INDEX($AS$3:$AS$30,MATCH(SMALL($AT$3:$AT$30,ROWS(AT$3:AT22)),$AT$3:$AT$30,0))</f>
        <v>39</v>
      </c>
      <c r="AV22" s="34">
        <f ca="1">SMALL($AS$3:$AS$30,ROWS(AV$3:AV22))</f>
        <v>57</v>
      </c>
      <c r="AW22" s="42">
        <f ca="1">VLOOKUP(SMALL($BB$3:$BB$16,AX22),$BB$3:$BC$30,2,0)</f>
        <v>43</v>
      </c>
      <c r="AX22" s="42">
        <f t="shared" si="23"/>
        <v>10</v>
      </c>
      <c r="BA22" s="42">
        <v>20</v>
      </c>
      <c r="BB22" s="42">
        <f t="shared" ca="1" si="14"/>
        <v>0.25245573236915786</v>
      </c>
      <c r="BC22" s="42">
        <f t="shared" ca="1" si="15"/>
        <v>57</v>
      </c>
    </row>
    <row r="23" spans="1:63" ht="16.5" x14ac:dyDescent="0.3">
      <c r="A23" s="2">
        <v>21</v>
      </c>
      <c r="B23" s="57">
        <v>51</v>
      </c>
      <c r="C23" s="58">
        <v>62</v>
      </c>
      <c r="D23" s="118">
        <v>56</v>
      </c>
      <c r="E23" s="120">
        <v>31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N23" s="45">
        <v>24</v>
      </c>
      <c r="AO23" s="45">
        <f t="shared" ca="1" si="10"/>
        <v>28.611822031769137</v>
      </c>
      <c r="AP23" s="45">
        <f ca="1">SMALL($AO$3:$AO$30,ROWS(AO$3:AO23))</f>
        <v>27.761399348163057</v>
      </c>
      <c r="AQ23" s="66">
        <f t="shared" ca="1" si="11"/>
        <v>1.1294618473922018</v>
      </c>
      <c r="AR23" s="66">
        <f t="shared" si="20"/>
        <v>1</v>
      </c>
      <c r="AS23" s="34">
        <f t="shared" ca="1" si="12"/>
        <v>32</v>
      </c>
      <c r="AT23" s="34">
        <f t="shared" ca="1" si="13"/>
        <v>0.60904463897193151</v>
      </c>
      <c r="AU23" s="34">
        <f ca="1">INDEX($AS$3:$AS$30,MATCH(SMALL($AT$3:$AT$30,ROWS(AT$3:AT23)),$AT$3:$AT$30,0))</f>
        <v>46</v>
      </c>
      <c r="AV23" s="34">
        <f ca="1">SMALL($AS$3:$AS$30,ROWS(AV$3:AV23))</f>
        <v>58</v>
      </c>
      <c r="AW23" s="42">
        <f ca="1">VLOOKUP(SMALL($BB$3:$BB$16,AX23),$BB$3:$BC$30,2,0)</f>
        <v>45</v>
      </c>
      <c r="AX23" s="42">
        <f t="shared" si="23"/>
        <v>11</v>
      </c>
      <c r="BA23" s="42">
        <v>21</v>
      </c>
      <c r="BB23" s="42">
        <f t="shared" ca="1" si="14"/>
        <v>0.25550585372222567</v>
      </c>
      <c r="BC23" s="42">
        <f t="shared" ca="1" si="15"/>
        <v>58</v>
      </c>
    </row>
    <row r="24" spans="1:63" ht="16.5" x14ac:dyDescent="0.3">
      <c r="A24" s="2">
        <v>22</v>
      </c>
      <c r="B24" s="57">
        <v>40</v>
      </c>
      <c r="C24" s="58">
        <v>65</v>
      </c>
      <c r="D24" s="118">
        <v>69</v>
      </c>
      <c r="E24" s="120">
        <v>82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N24" s="45">
        <v>22</v>
      </c>
      <c r="AO24" s="45">
        <f t="shared" ca="1" si="10"/>
        <v>25.154300926885565</v>
      </c>
      <c r="AP24" s="45">
        <f ca="1">SMALL($AO$3:$AO$30,ROWS(AO$3:AO24))</f>
        <v>28.611822031769137</v>
      </c>
      <c r="AQ24" s="66">
        <f t="shared" ca="1" si="11"/>
        <v>2.3358743289796324</v>
      </c>
      <c r="AR24" s="66">
        <f t="shared" si="20"/>
        <v>1.5</v>
      </c>
      <c r="AS24" s="34">
        <f t="shared" ca="1" si="12"/>
        <v>67</v>
      </c>
      <c r="AT24" s="34">
        <f t="shared" ca="1" si="13"/>
        <v>0.19189066667359078</v>
      </c>
      <c r="AU24" s="34">
        <f ca="1">INDEX($AS$3:$AS$30,MATCH(SMALL($AT$3:$AT$30,ROWS(AT$3:AT24)),$AT$3:$AT$30,0))</f>
        <v>47</v>
      </c>
      <c r="AV24" s="34">
        <f ca="1">SMALL($AS$3:$AS$30,ROWS(AV$3:AV24))</f>
        <v>64</v>
      </c>
      <c r="AW24" s="42">
        <f ca="1">VLOOKUP(SMALL($BB$17:$BB$30,AX24),$BB$17:$BC$30,2,0)</f>
        <v>75</v>
      </c>
      <c r="AX24" s="42">
        <f t="shared" si="23"/>
        <v>11</v>
      </c>
      <c r="BA24" s="42">
        <v>22</v>
      </c>
      <c r="BB24" s="42">
        <f t="shared" ca="1" si="14"/>
        <v>0.76466887508215098</v>
      </c>
      <c r="BC24" s="42">
        <f t="shared" ca="1" si="15"/>
        <v>64</v>
      </c>
    </row>
    <row r="25" spans="1:63" ht="16.5" x14ac:dyDescent="0.3">
      <c r="A25" s="2">
        <v>23</v>
      </c>
      <c r="B25" s="57">
        <v>61</v>
      </c>
      <c r="C25" s="58">
        <v>67</v>
      </c>
      <c r="D25" s="118">
        <v>82</v>
      </c>
      <c r="E25" s="120">
        <v>62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N25" s="45">
        <v>23</v>
      </c>
      <c r="AO25" s="45">
        <f t="shared" ca="1" si="10"/>
        <v>17.890832316186533</v>
      </c>
      <c r="AP25" s="45">
        <f ca="1">SMALL($AO$3:$AO$30,ROWS(AO$3:AO25))</f>
        <v>29.336155633766392</v>
      </c>
      <c r="AQ25" s="66">
        <f t="shared" ca="1" si="11"/>
        <v>2.4003000449695957</v>
      </c>
      <c r="AR25" s="66">
        <f t="shared" si="20"/>
        <v>2</v>
      </c>
      <c r="AS25" s="34">
        <f t="shared" ca="1" si="12"/>
        <v>71</v>
      </c>
      <c r="AT25" s="34">
        <f t="shared" ca="1" si="13"/>
        <v>0.52368542315236932</v>
      </c>
      <c r="AU25" s="34">
        <f ca="1">INDEX($AS$3:$AS$30,MATCH(SMALL($AT$3:$AT$30,ROWS(AT$3:AT25)),$AT$3:$AT$30,0))</f>
        <v>24</v>
      </c>
      <c r="AV25" s="34">
        <f ca="1">SMALL($AS$3:$AS$30,ROWS(AV$3:AV25))</f>
        <v>67</v>
      </c>
      <c r="AW25" s="42">
        <f ca="1">VLOOKUP(SMALL($BB$17:$BB$30,AX25),$BB$17:$BC$30,2,0)</f>
        <v>54</v>
      </c>
      <c r="AX25" s="42">
        <f t="shared" si="23"/>
        <v>12</v>
      </c>
      <c r="BA25" s="42">
        <v>23</v>
      </c>
      <c r="BB25" s="42">
        <f t="shared" ca="1" si="14"/>
        <v>0.77300887034635646</v>
      </c>
      <c r="BC25" s="42">
        <f t="shared" ca="1" si="15"/>
        <v>67</v>
      </c>
    </row>
    <row r="26" spans="1:63" ht="16.5" x14ac:dyDescent="0.3">
      <c r="A26" s="2">
        <v>24</v>
      </c>
      <c r="B26" s="57">
        <v>72</v>
      </c>
      <c r="C26" s="58">
        <v>69</v>
      </c>
      <c r="D26" s="118">
        <v>39</v>
      </c>
      <c r="E26" s="120">
        <v>47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N26" s="45">
        <v>25</v>
      </c>
      <c r="AO26" s="45">
        <f t="shared" ca="1" si="10"/>
        <v>23.763286437501431</v>
      </c>
      <c r="AP26" s="45">
        <f ca="1">SMALL($AO$3:$AO$30,ROWS(AO$3:AO26))</f>
        <v>29.990005008990064</v>
      </c>
      <c r="AQ26" s="66">
        <f t="shared" ca="1" si="11"/>
        <v>1.9138355918633616</v>
      </c>
      <c r="AR26" s="66">
        <f t="shared" si="20"/>
        <v>1</v>
      </c>
      <c r="AS26" s="34">
        <f t="shared" ca="1" si="12"/>
        <v>58</v>
      </c>
      <c r="AT26" s="34">
        <f t="shared" ca="1" si="13"/>
        <v>0.27326623537812567</v>
      </c>
      <c r="AU26" s="34">
        <f ca="1">INDEX($AS$3:$AS$30,MATCH(SMALL($AT$3:$AT$30,ROWS(AT$3:AT26)),$AT$3:$AT$30,0))</f>
        <v>52</v>
      </c>
      <c r="AV26" s="34">
        <f ca="1">SMALL($AS$3:$AS$30,ROWS(AV$3:AV26))</f>
        <v>71</v>
      </c>
      <c r="AW26" s="42">
        <f ca="1">VLOOKUP(SMALL($BB$3:$BB$16,AX26),$BB$3:$BC$30,2,0)</f>
        <v>38</v>
      </c>
      <c r="AX26" s="42">
        <f t="shared" si="23"/>
        <v>12</v>
      </c>
      <c r="BA26" s="42">
        <v>24</v>
      </c>
      <c r="BB26" s="42">
        <f t="shared" ca="1" si="14"/>
        <v>5.5526827888508046E-2</v>
      </c>
      <c r="BC26" s="42">
        <f t="shared" ca="1" si="15"/>
        <v>71</v>
      </c>
    </row>
    <row r="27" spans="1:63" ht="16.5" x14ac:dyDescent="0.3">
      <c r="A27" s="2">
        <v>25</v>
      </c>
      <c r="B27" s="57">
        <v>39</v>
      </c>
      <c r="C27" s="58">
        <v>72</v>
      </c>
      <c r="D27" s="118">
        <v>47</v>
      </c>
      <c r="E27" s="120">
        <v>39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45">
        <v>21</v>
      </c>
      <c r="AO27" s="45">
        <f t="shared" ca="1" si="10"/>
        <v>15.435873110576427</v>
      </c>
      <c r="AP27" s="45">
        <f ca="1">SMALL($AO$3:$AO$30,ROWS(AO$3:AO27))</f>
        <v>30.144206994067197</v>
      </c>
      <c r="AQ27" s="66">
        <f t="shared" ca="1" si="11"/>
        <v>1.8864660047603796</v>
      </c>
      <c r="AR27" s="66">
        <f t="shared" si="20"/>
        <v>1</v>
      </c>
      <c r="AS27" s="34">
        <f t="shared" ca="1" si="12"/>
        <v>57</v>
      </c>
      <c r="AT27" s="34">
        <f t="shared" ca="1" si="13"/>
        <v>0.59867514672253841</v>
      </c>
      <c r="AU27" s="34">
        <f ca="1">INDEX($AS$3:$AS$30,MATCH(SMALL($AT$3:$AT$30,ROWS(AT$3:AT27)),$AT$3:$AT$30,0))</f>
        <v>75</v>
      </c>
      <c r="AV27" s="34">
        <f ca="1">SMALL($AS$3:$AS$30,ROWS(AV$3:AV27))</f>
        <v>75</v>
      </c>
      <c r="AW27" s="42">
        <f ca="1">VLOOKUP(SMALL($BB$3:$BB$16,AX27),$BB$3:$BC$30,2,0)</f>
        <v>39</v>
      </c>
      <c r="AX27" s="42">
        <f t="shared" si="23"/>
        <v>13</v>
      </c>
      <c r="BA27" s="42">
        <v>25</v>
      </c>
      <c r="BB27" s="42">
        <f t="shared" ca="1" si="14"/>
        <v>0.92467462935251732</v>
      </c>
      <c r="BC27" s="42">
        <f t="shared" ca="1" si="15"/>
        <v>75</v>
      </c>
    </row>
    <row r="28" spans="1:63" ht="16.5" x14ac:dyDescent="0.3">
      <c r="A28" s="2">
        <v>26</v>
      </c>
      <c r="B28" s="57">
        <v>31</v>
      </c>
      <c r="C28" s="58">
        <v>72</v>
      </c>
      <c r="D28" s="118">
        <v>61</v>
      </c>
      <c r="E28" s="120">
        <v>51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45">
        <v>27</v>
      </c>
      <c r="AO28" s="45">
        <f t="shared" ca="1" si="10"/>
        <v>36.960404440104995</v>
      </c>
      <c r="AP28" s="45">
        <f ca="1">SMALL($AO$3:$AO$30,ROWS(AO$3:AO28))</f>
        <v>32.850456268184018</v>
      </c>
      <c r="AQ28" s="66">
        <f t="shared" ca="1" si="11"/>
        <v>2.2615443933170463</v>
      </c>
      <c r="AR28" s="66">
        <f t="shared" si="20"/>
        <v>1.5</v>
      </c>
      <c r="AS28" s="34">
        <f t="shared" ca="1" si="12"/>
        <v>75</v>
      </c>
      <c r="AT28" s="34">
        <f t="shared" ca="1" si="13"/>
        <v>0.855759038379305</v>
      </c>
      <c r="AU28" s="34">
        <f ca="1">INDEX($AS$3:$AS$30,MATCH(SMALL($AT$3:$AT$30,ROWS(AT$3:AT28)),$AT$3:$AT$30,0))</f>
        <v>24</v>
      </c>
      <c r="AV28" s="34">
        <f ca="1">SMALL($AS$3:$AS$30,ROWS(AV$3:AV28))</f>
        <v>75</v>
      </c>
      <c r="AW28" s="42">
        <f ca="1">VLOOKUP(SMALL($BB$17:$BB$30,AX28),$BB$17:$BC$30,2,0)</f>
        <v>46</v>
      </c>
      <c r="AX28" s="42">
        <f t="shared" si="23"/>
        <v>13</v>
      </c>
      <c r="BA28" s="42">
        <v>26</v>
      </c>
      <c r="BB28" s="42">
        <f t="shared" ca="1" si="14"/>
        <v>0.82100853654390715</v>
      </c>
      <c r="BC28" s="42">
        <f t="shared" ca="1" si="15"/>
        <v>75</v>
      </c>
    </row>
    <row r="29" spans="1:63" ht="16.5" x14ac:dyDescent="0.3">
      <c r="A29" s="2">
        <v>27</v>
      </c>
      <c r="B29" s="57">
        <v>62</v>
      </c>
      <c r="C29" s="58">
        <v>82</v>
      </c>
      <c r="D29" s="118">
        <v>90</v>
      </c>
      <c r="E29" s="120">
        <v>65</v>
      </c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45">
        <v>26</v>
      </c>
      <c r="AO29" s="45">
        <f t="shared" ca="1" si="10"/>
        <v>13.137736234950628</v>
      </c>
      <c r="AP29" s="45">
        <f ca="1">SMALL($AO$3:$AO$30,ROWS(AO$3:AO29))</f>
        <v>35.881432515674391</v>
      </c>
      <c r="AQ29" s="66">
        <f t="shared" ca="1" si="11"/>
        <v>2.902427544343269</v>
      </c>
      <c r="AR29" s="66">
        <f t="shared" si="20"/>
        <v>2</v>
      </c>
      <c r="AS29" s="34">
        <f t="shared" ca="1" si="12"/>
        <v>105</v>
      </c>
      <c r="AT29" s="34">
        <f t="shared" ca="1" si="13"/>
        <v>0.57170298689836885</v>
      </c>
      <c r="AU29" s="34">
        <f ca="1">INDEX($AS$3:$AS$30,MATCH(SMALL($AT$3:$AT$30,ROWS(AT$3:AT29)),$AT$3:$AT$30,0))</f>
        <v>75</v>
      </c>
      <c r="AV29" s="34">
        <f ca="1">SMALL($AS$3:$AS$30,ROWS(AV$3:AV29))</f>
        <v>79</v>
      </c>
      <c r="AW29" s="42">
        <f ca="1">VLOOKUP(SMALL($BB$17:$BB$30,AX29),$BB$17:$BC$30,2,0)</f>
        <v>47</v>
      </c>
      <c r="AX29" s="42">
        <f t="shared" si="23"/>
        <v>14</v>
      </c>
      <c r="BA29" s="42">
        <v>27</v>
      </c>
      <c r="BB29" s="42">
        <f t="shared" ca="1" si="14"/>
        <v>5.1642014609002418E-2</v>
      </c>
      <c r="BC29" s="42">
        <f t="shared" ca="1" si="15"/>
        <v>79</v>
      </c>
    </row>
    <row r="30" spans="1:63" ht="16.5" x14ac:dyDescent="0.3">
      <c r="A30" s="2">
        <v>28</v>
      </c>
      <c r="B30" s="57">
        <v>48</v>
      </c>
      <c r="C30" s="58">
        <v>90</v>
      </c>
      <c r="D30" s="118">
        <v>62</v>
      </c>
      <c r="E30" s="120">
        <v>44</v>
      </c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45">
        <v>33</v>
      </c>
      <c r="AO30" s="45">
        <f t="shared" ca="1" si="10"/>
        <v>24.252728886985707</v>
      </c>
      <c r="AP30" s="45">
        <f ca="1">SMALL($AO$3:$AO$30,ROWS(AO$3:AO30))</f>
        <v>36.960404440104995</v>
      </c>
      <c r="AQ30" s="66">
        <f t="shared" ca="1" si="11"/>
        <v>1.0129610635391653</v>
      </c>
      <c r="AR30" s="66">
        <f t="shared" si="20"/>
        <v>1</v>
      </c>
      <c r="AS30" s="34">
        <f t="shared" ca="1" si="12"/>
        <v>38</v>
      </c>
      <c r="AT30" s="34">
        <f t="shared" ca="1" si="13"/>
        <v>0.25546800970593364</v>
      </c>
      <c r="AU30" s="34">
        <f ca="1">INDEX($AS$3:$AS$30,MATCH(SMALL($AT$3:$AT$30,ROWS(AT$3:AT30)),$AT$3:$AT$30,0))</f>
        <v>79</v>
      </c>
      <c r="AV30" s="34">
        <f ca="1">SMALL($AS$3:$AS$30,ROWS(AV$3:AV30))</f>
        <v>105</v>
      </c>
      <c r="AW30" s="42">
        <f ca="1">VLOOKUP(SMALL($BB$3:$BB$16,AX30),$BB$3:$BC$30,2,0)</f>
        <v>26</v>
      </c>
      <c r="AX30" s="42">
        <f t="shared" si="23"/>
        <v>14</v>
      </c>
      <c r="BA30" s="42">
        <v>28</v>
      </c>
      <c r="BB30" s="42">
        <f t="shared" ca="1" si="14"/>
        <v>0.70088215027008671</v>
      </c>
      <c r="BC30" s="42">
        <f t="shared" ca="1" si="15"/>
        <v>105</v>
      </c>
    </row>
    <row r="31" spans="1:63" ht="15" x14ac:dyDescent="0.25">
      <c r="A31"/>
      <c r="B31"/>
      <c r="C31"/>
      <c r="D31"/>
      <c r="E3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/>
      <c r="B32"/>
      <c r="C32"/>
      <c r="D32"/>
      <c r="E32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/>
      <c r="AO32"/>
      <c r="AP32"/>
      <c r="AQ32"/>
      <c r="AR32"/>
      <c r="AS32" s="99">
        <f ca="1">SUM(AS3:AS30)</f>
        <v>1368</v>
      </c>
      <c r="AT32"/>
      <c r="AU32" s="99">
        <f ca="1">SUM(AU3:AU30)</f>
        <v>1368</v>
      </c>
      <c r="AV32" s="99">
        <f ca="1">SUM(AV3:AV30)</f>
        <v>1368</v>
      </c>
      <c r="AW32" s="99">
        <f ca="1">SUM(AW3:AW30)</f>
        <v>1368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5" x14ac:dyDescent="0.25">
      <c r="A33"/>
      <c r="B33"/>
      <c r="C33"/>
      <c r="D33"/>
      <c r="E33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5" x14ac:dyDescent="0.25">
      <c r="A34"/>
      <c r="B34"/>
      <c r="C34"/>
      <c r="D34"/>
      <c r="E34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26"/>
      <c r="B35" s="26"/>
      <c r="C35" s="26"/>
      <c r="D35" s="26"/>
      <c r="E35" s="26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26"/>
      <c r="B36" s="26"/>
      <c r="C36" s="26"/>
      <c r="D36" s="26"/>
      <c r="E36" s="26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26"/>
      <c r="B37" s="26"/>
      <c r="C37" s="26"/>
      <c r="D37" s="26"/>
      <c r="E37" s="26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26"/>
      <c r="B38" s="26"/>
      <c r="C38" s="26"/>
      <c r="D38" s="26"/>
      <c r="E38" s="26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26"/>
      <c r="B39" s="26"/>
      <c r="C39" s="26"/>
      <c r="D39" s="26"/>
      <c r="E39" s="26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26"/>
      <c r="B40" s="26"/>
      <c r="C40" s="26"/>
      <c r="D40" s="26"/>
      <c r="E40" s="26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26"/>
      <c r="B41" s="26"/>
      <c r="C41" s="26"/>
      <c r="D41" s="26"/>
      <c r="E41" s="26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26"/>
      <c r="B42" s="26"/>
      <c r="C42" s="26"/>
      <c r="D42" s="26"/>
      <c r="E42" s="26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26"/>
      <c r="B43" s="26"/>
      <c r="C43" s="26"/>
      <c r="D43" s="26"/>
      <c r="E43" s="26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26"/>
      <c r="B44" s="26"/>
      <c r="C44" s="26"/>
      <c r="D44" s="26"/>
      <c r="E44" s="26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26"/>
      <c r="B45" s="26"/>
      <c r="C45" s="26"/>
      <c r="D45" s="26"/>
      <c r="E45" s="26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26"/>
      <c r="B46" s="26"/>
      <c r="C46" s="26"/>
      <c r="D46" s="26"/>
      <c r="E46" s="26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26"/>
      <c r="B47" s="26"/>
      <c r="C47" s="26"/>
      <c r="D47" s="26"/>
      <c r="E47" s="26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26"/>
      <c r="B48" s="26"/>
      <c r="C48" s="26"/>
      <c r="D48" s="26"/>
      <c r="E48" s="26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26"/>
      <c r="B49" s="26"/>
      <c r="C49" s="26"/>
      <c r="D49" s="26"/>
      <c r="E49" s="26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26"/>
      <c r="B50" s="26"/>
      <c r="C50" s="26"/>
      <c r="D50" s="26"/>
      <c r="E50" s="26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26"/>
      <c r="B51" s="26"/>
      <c r="C51" s="26"/>
      <c r="D51" s="26"/>
      <c r="E51" s="26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26"/>
      <c r="B52" s="26"/>
      <c r="C52" s="26"/>
      <c r="D52" s="26"/>
      <c r="E52" s="26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26"/>
      <c r="B53" s="26"/>
      <c r="C53" s="26"/>
      <c r="D53" s="26"/>
      <c r="E53" s="26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26"/>
      <c r="B54" s="26"/>
      <c r="C54" s="26"/>
      <c r="D54" s="26"/>
      <c r="E54" s="26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26"/>
      <c r="B55" s="26"/>
      <c r="C55" s="26"/>
      <c r="D55" s="26"/>
      <c r="E55" s="26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26"/>
      <c r="B56" s="26"/>
      <c r="C56" s="26"/>
      <c r="D56" s="26"/>
      <c r="E56" s="26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26"/>
      <c r="B57" s="26"/>
      <c r="C57" s="26"/>
      <c r="D57" s="26"/>
      <c r="E57" s="26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26"/>
      <c r="B58" s="26"/>
      <c r="C58" s="26"/>
      <c r="D58" s="26"/>
      <c r="E58" s="2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26"/>
      <c r="B59" s="26"/>
      <c r="C59" s="26"/>
      <c r="D59" s="26"/>
      <c r="E59" s="2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26"/>
      <c r="B60" s="26"/>
      <c r="C60" s="26"/>
      <c r="D60" s="26"/>
      <c r="E60" s="2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26"/>
      <c r="B61" s="26"/>
      <c r="C61" s="26"/>
      <c r="D61" s="26"/>
      <c r="E61" s="2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26"/>
      <c r="B62" s="26"/>
      <c r="C62" s="26"/>
      <c r="D62" s="26"/>
      <c r="E62" s="2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5" x14ac:dyDescent="0.25"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5" x14ac:dyDescent="0.25"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27:63" ht="15" x14ac:dyDescent="0.25"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27:63" ht="15" x14ac:dyDescent="0.25"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27:63" ht="15" x14ac:dyDescent="0.25"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27:63" ht="15" x14ac:dyDescent="0.25"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27:63" ht="15" x14ac:dyDescent="0.25"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27:63" ht="15" x14ac:dyDescent="0.25"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27:63" ht="15" x14ac:dyDescent="0.25"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27:63" ht="15" x14ac:dyDescent="0.25"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27:63" ht="15" x14ac:dyDescent="0.25"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27:63" ht="15" x14ac:dyDescent="0.25"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27:63" ht="15" x14ac:dyDescent="0.25"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27:63" ht="15" x14ac:dyDescent="0.25"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27:63" ht="15" x14ac:dyDescent="0.25"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27:63" ht="16.5" x14ac:dyDescent="0.3"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27:63" ht="16.5" x14ac:dyDescent="0.3"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27:63" ht="16.5" x14ac:dyDescent="0.3"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27:63" ht="16.5" x14ac:dyDescent="0.3"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27:63" ht="16.5" x14ac:dyDescent="0.3"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27:63" ht="16.5" x14ac:dyDescent="0.3"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27:63" ht="16.5" x14ac:dyDescent="0.3"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27:63" ht="16.5" x14ac:dyDescent="0.3"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27:63" ht="16.5" x14ac:dyDescent="0.3"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27:63" ht="16.5" x14ac:dyDescent="0.3"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/>
      <c r="AQ87"/>
      <c r="AR87"/>
      <c r="AS87"/>
      <c r="AT87"/>
      <c r="AU87"/>
      <c r="AV87" s="26"/>
      <c r="AX87"/>
    </row>
    <row r="88" spans="27:63" ht="17.25" thickBot="1" x14ac:dyDescent="0.35"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/>
      <c r="AQ88"/>
      <c r="AR88"/>
      <c r="AS88" s="99">
        <f ca="1">SUM(AS3:AS86)</f>
        <v>2736</v>
      </c>
      <c r="AT88" s="99">
        <f t="shared" ref="AT88:AW88" ca="1" si="24">SUM(AT3:AT86)</f>
        <v>13.3460216946914</v>
      </c>
      <c r="AU88" s="99">
        <f t="shared" ca="1" si="24"/>
        <v>2736</v>
      </c>
      <c r="AV88" s="99">
        <f t="shared" ca="1" si="24"/>
        <v>2736</v>
      </c>
      <c r="AW88" s="99">
        <f t="shared" ca="1" si="24"/>
        <v>2736</v>
      </c>
      <c r="AX88"/>
    </row>
    <row r="89" spans="27:63" ht="17.25" thickBot="1" x14ac:dyDescent="0.35"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/>
      <c r="AQ89"/>
      <c r="AR89"/>
      <c r="AS89" s="49" t="s">
        <v>90</v>
      </c>
      <c r="AT89" s="34" t="s">
        <v>91</v>
      </c>
      <c r="AU89" s="47" t="s">
        <v>92</v>
      </c>
      <c r="AV89" s="48" t="s">
        <v>19</v>
      </c>
      <c r="AW89" s="42" t="s">
        <v>98</v>
      </c>
      <c r="AX89"/>
    </row>
    <row r="90" spans="27:63" ht="15" x14ac:dyDescent="0.25">
      <c r="AP90"/>
      <c r="AQ90"/>
      <c r="AR90"/>
      <c r="AS90"/>
      <c r="AT90"/>
      <c r="AU90"/>
      <c r="AX90"/>
    </row>
    <row r="91" spans="27:63" ht="15" x14ac:dyDescent="0.25">
      <c r="AP91"/>
      <c r="AQ91"/>
      <c r="AR91"/>
      <c r="AS91"/>
      <c r="AT91"/>
      <c r="AU91"/>
      <c r="AX91"/>
    </row>
    <row r="92" spans="27:63" ht="15" x14ac:dyDescent="0.25">
      <c r="AP92"/>
      <c r="AQ92"/>
      <c r="AR92"/>
      <c r="AS92"/>
      <c r="AT92"/>
      <c r="AU92"/>
      <c r="AX92"/>
    </row>
    <row r="93" spans="27:63" ht="16.5" x14ac:dyDescent="0.3">
      <c r="AP93"/>
      <c r="AQ93" s="66"/>
      <c r="AR93" s="66"/>
      <c r="AS93"/>
      <c r="AT93"/>
      <c r="AU93"/>
      <c r="AX93"/>
    </row>
    <row r="94" spans="27:63" ht="16.5" x14ac:dyDescent="0.3">
      <c r="AP94"/>
      <c r="AQ94" s="66"/>
      <c r="AR94" s="66"/>
      <c r="AS94"/>
      <c r="AT94"/>
      <c r="AU94"/>
      <c r="AX94"/>
    </row>
    <row r="95" spans="27:63" ht="16.5" x14ac:dyDescent="0.3">
      <c r="AP95"/>
      <c r="AQ95" s="66"/>
      <c r="AR95" s="66"/>
      <c r="AS95"/>
      <c r="AT95"/>
      <c r="AU95"/>
      <c r="AX95"/>
    </row>
    <row r="96" spans="27:63" ht="16.5" x14ac:dyDescent="0.3">
      <c r="AP96"/>
      <c r="AQ96" s="66"/>
      <c r="AR96" s="66"/>
      <c r="AS96"/>
      <c r="AT96"/>
      <c r="AU96"/>
      <c r="AX96"/>
    </row>
    <row r="97" spans="42:50" ht="16.5" x14ac:dyDescent="0.3">
      <c r="AP97"/>
      <c r="AQ97" s="66"/>
      <c r="AR97" s="66"/>
      <c r="AS97"/>
      <c r="AT97"/>
      <c r="AU97"/>
      <c r="AX97"/>
    </row>
    <row r="98" spans="42:50" ht="16.5" x14ac:dyDescent="0.3">
      <c r="AP98"/>
      <c r="AQ98" s="66"/>
      <c r="AR98" s="66"/>
      <c r="AS98"/>
      <c r="AT98"/>
      <c r="AU98"/>
      <c r="AX98"/>
    </row>
    <row r="99" spans="42:50" ht="15" x14ac:dyDescent="0.25">
      <c r="AP99"/>
      <c r="AQ99"/>
      <c r="AR99"/>
      <c r="AS99"/>
      <c r="AT99"/>
      <c r="AU99"/>
    </row>
    <row r="100" spans="42:50" ht="15" x14ac:dyDescent="0.25">
      <c r="AP100"/>
      <c r="AQ100"/>
      <c r="AR100"/>
      <c r="AS100"/>
      <c r="AT100"/>
      <c r="AU100"/>
    </row>
    <row r="101" spans="42:50" ht="15" x14ac:dyDescent="0.25">
      <c r="AP101"/>
      <c r="AQ101"/>
      <c r="AR101"/>
      <c r="AS101"/>
      <c r="AT101"/>
      <c r="AU101"/>
    </row>
    <row r="102" spans="42:50" ht="15" x14ac:dyDescent="0.25">
      <c r="AP102"/>
      <c r="AQ102"/>
      <c r="AR102"/>
      <c r="AS102"/>
      <c r="AT102"/>
      <c r="AU102"/>
    </row>
    <row r="103" spans="42:50" ht="15" x14ac:dyDescent="0.25">
      <c r="AP103"/>
      <c r="AQ103"/>
      <c r="AR103"/>
      <c r="AS103"/>
      <c r="AT103"/>
      <c r="AU103"/>
    </row>
    <row r="104" spans="42:50" ht="15" x14ac:dyDescent="0.25">
      <c r="AP104"/>
      <c r="AQ104"/>
      <c r="AR104"/>
      <c r="AS104"/>
      <c r="AT104"/>
      <c r="AU104"/>
    </row>
    <row r="105" spans="42:50" ht="15" x14ac:dyDescent="0.25">
      <c r="AP105"/>
      <c r="AQ105"/>
      <c r="AR105"/>
      <c r="AS105"/>
      <c r="AT105"/>
      <c r="AU105"/>
    </row>
    <row r="106" spans="42:50" ht="15" x14ac:dyDescent="0.25">
      <c r="AP106"/>
      <c r="AQ106"/>
      <c r="AR106"/>
      <c r="AS106"/>
      <c r="AT106"/>
      <c r="AU106"/>
    </row>
    <row r="107" spans="42:50" ht="15" x14ac:dyDescent="0.25">
      <c r="AP107"/>
      <c r="AQ107"/>
      <c r="AR107"/>
      <c r="AS107"/>
      <c r="AT107"/>
      <c r="AU107"/>
    </row>
    <row r="108" spans="42:50" ht="15" x14ac:dyDescent="0.25">
      <c r="AP108"/>
      <c r="AQ108"/>
      <c r="AR108"/>
      <c r="AS108"/>
      <c r="AT108"/>
      <c r="AU108"/>
    </row>
    <row r="109" spans="42:50" ht="15" x14ac:dyDescent="0.25">
      <c r="AP109"/>
      <c r="AQ109"/>
      <c r="AR109"/>
      <c r="AS109"/>
      <c r="AT109"/>
      <c r="AU109"/>
    </row>
    <row r="110" spans="42:50" ht="15" x14ac:dyDescent="0.25">
      <c r="AP110"/>
      <c r="AQ110"/>
      <c r="AR110"/>
      <c r="AS110"/>
      <c r="AT110"/>
      <c r="AU110"/>
    </row>
    <row r="111" spans="42:50" ht="15" x14ac:dyDescent="0.25">
      <c r="AP111"/>
      <c r="AQ111"/>
      <c r="AR111"/>
      <c r="AS111"/>
      <c r="AT111"/>
      <c r="AU111"/>
    </row>
    <row r="112" spans="42:50" ht="15" x14ac:dyDescent="0.25">
      <c r="AP112"/>
      <c r="AQ112"/>
      <c r="AR112"/>
      <c r="AS112"/>
      <c r="AT112"/>
      <c r="AU112"/>
    </row>
    <row r="113" spans="1:47" ht="15" x14ac:dyDescent="0.25">
      <c r="AP113"/>
      <c r="AQ113"/>
      <c r="AR113"/>
      <c r="AS113"/>
      <c r="AT113"/>
      <c r="AU113"/>
    </row>
    <row r="114" spans="1:47" ht="15" x14ac:dyDescent="0.25">
      <c r="AP114"/>
      <c r="AQ114"/>
      <c r="AR114"/>
      <c r="AS114"/>
      <c r="AT114"/>
      <c r="AU114"/>
    </row>
    <row r="115" spans="1:47" ht="15" x14ac:dyDescent="0.25">
      <c r="AP115"/>
      <c r="AQ115"/>
      <c r="AR115"/>
      <c r="AS115"/>
      <c r="AT115"/>
      <c r="AU115"/>
    </row>
    <row r="116" spans="1:47" ht="15" x14ac:dyDescent="0.25">
      <c r="AP116"/>
      <c r="AQ116"/>
      <c r="AR116"/>
      <c r="AS116"/>
      <c r="AT116"/>
      <c r="AU116"/>
    </row>
    <row r="117" spans="1:47" ht="15" x14ac:dyDescent="0.25">
      <c r="AP117"/>
      <c r="AQ117"/>
      <c r="AR117"/>
      <c r="AS117"/>
      <c r="AT117"/>
      <c r="AU117"/>
    </row>
    <row r="118" spans="1:47" ht="15" x14ac:dyDescent="0.25">
      <c r="AP118"/>
      <c r="AQ118"/>
      <c r="AR118"/>
      <c r="AS118"/>
      <c r="AT118"/>
      <c r="AU118"/>
    </row>
    <row r="119" spans="1:47" ht="15" x14ac:dyDescent="0.25">
      <c r="AP119"/>
      <c r="AQ119"/>
      <c r="AR119"/>
      <c r="AS119"/>
      <c r="AT119"/>
      <c r="AU119"/>
    </row>
    <row r="120" spans="1:47" ht="15" x14ac:dyDescent="0.25">
      <c r="AP120"/>
      <c r="AQ120"/>
      <c r="AR120"/>
      <c r="AS120"/>
      <c r="AT120"/>
      <c r="AU120"/>
    </row>
    <row r="121" spans="1:47" ht="15" x14ac:dyDescent="0.25">
      <c r="AP121"/>
      <c r="AQ121"/>
      <c r="AR121"/>
      <c r="AS121"/>
      <c r="AT121"/>
      <c r="AU121"/>
    </row>
    <row r="122" spans="1:47" ht="15" x14ac:dyDescent="0.25">
      <c r="AP122"/>
      <c r="AQ122"/>
      <c r="AR122"/>
      <c r="AS122"/>
      <c r="AT122"/>
      <c r="AU122"/>
    </row>
    <row r="123" spans="1:47" ht="15" x14ac:dyDescent="0.25">
      <c r="AP123"/>
      <c r="AQ123"/>
      <c r="AR123"/>
      <c r="AS123"/>
      <c r="AT123"/>
      <c r="AU123"/>
    </row>
    <row r="124" spans="1:47" ht="15" x14ac:dyDescent="0.25">
      <c r="AP124"/>
      <c r="AQ124"/>
      <c r="AR124"/>
      <c r="AS124"/>
      <c r="AT124"/>
      <c r="AU124"/>
    </row>
    <row r="125" spans="1:47" ht="15" x14ac:dyDescent="0.25">
      <c r="AP125"/>
      <c r="AQ125"/>
      <c r="AR125"/>
      <c r="AS125"/>
      <c r="AT125"/>
      <c r="AU125"/>
    </row>
    <row r="126" spans="1:47" ht="16.5" x14ac:dyDescent="0.3">
      <c r="A126" s="26"/>
      <c r="B126" s="26"/>
      <c r="C126" s="26"/>
      <c r="D126" s="26"/>
      <c r="E126" s="26"/>
      <c r="AP126"/>
      <c r="AQ126"/>
      <c r="AR126"/>
      <c r="AS126"/>
      <c r="AT126"/>
      <c r="AU126"/>
    </row>
    <row r="127" spans="1:47" ht="16.5" x14ac:dyDescent="0.3">
      <c r="A127" s="26"/>
      <c r="B127" s="26"/>
      <c r="C127" s="26"/>
      <c r="D127" s="26"/>
      <c r="E127" s="26"/>
      <c r="AP127"/>
      <c r="AQ127"/>
      <c r="AR127"/>
      <c r="AS127"/>
      <c r="AT127"/>
      <c r="AU127"/>
    </row>
    <row r="128" spans="1:47" ht="16.5" x14ac:dyDescent="0.3">
      <c r="A128" s="26"/>
      <c r="B128" s="26"/>
      <c r="C128" s="26"/>
      <c r="D128" s="26"/>
      <c r="E128" s="26"/>
      <c r="AP128"/>
      <c r="AQ128"/>
      <c r="AR128"/>
      <c r="AS128"/>
      <c r="AT128"/>
      <c r="AU128"/>
    </row>
    <row r="129" spans="1:47" ht="16.5" x14ac:dyDescent="0.3">
      <c r="A129" s="26"/>
      <c r="B129" s="26"/>
      <c r="C129" s="26"/>
      <c r="D129" s="26"/>
      <c r="E129" s="26"/>
      <c r="AP129"/>
      <c r="AQ129"/>
      <c r="AR129"/>
      <c r="AS129"/>
      <c r="AT129"/>
      <c r="AU129"/>
    </row>
    <row r="130" spans="1:47" ht="16.5" x14ac:dyDescent="0.3">
      <c r="A130" s="26"/>
      <c r="B130" s="26"/>
      <c r="C130" s="26"/>
      <c r="D130" s="26"/>
      <c r="E130" s="26"/>
      <c r="AP130"/>
      <c r="AQ130"/>
      <c r="AR130"/>
      <c r="AS130"/>
      <c r="AT130"/>
      <c r="AU130"/>
    </row>
    <row r="131" spans="1:47" ht="16.5" x14ac:dyDescent="0.3">
      <c r="A131" s="26"/>
      <c r="B131" s="26"/>
      <c r="C131" s="26"/>
      <c r="D131" s="26"/>
      <c r="E131" s="26"/>
      <c r="AP131"/>
      <c r="AQ131"/>
      <c r="AR131"/>
      <c r="AS131"/>
      <c r="AT131"/>
      <c r="AU131"/>
    </row>
    <row r="132" spans="1:47" ht="16.5" x14ac:dyDescent="0.3">
      <c r="A132" s="26"/>
      <c r="B132" s="26"/>
      <c r="C132" s="26"/>
      <c r="D132" s="26"/>
      <c r="E132" s="26"/>
      <c r="AP132"/>
      <c r="AQ132"/>
      <c r="AR132"/>
      <c r="AS132"/>
      <c r="AT132"/>
      <c r="AU132"/>
    </row>
    <row r="133" spans="1:47" ht="16.5" x14ac:dyDescent="0.3">
      <c r="A133" s="26"/>
      <c r="B133" s="26"/>
      <c r="C133" s="26"/>
      <c r="D133" s="26"/>
      <c r="E133" s="26"/>
      <c r="AP133"/>
      <c r="AQ133"/>
      <c r="AR133"/>
      <c r="AS133"/>
      <c r="AT133"/>
      <c r="AU133"/>
    </row>
    <row r="134" spans="1:47" ht="16.5" x14ac:dyDescent="0.3">
      <c r="A134" s="26"/>
      <c r="B134" s="26"/>
      <c r="C134" s="26"/>
      <c r="D134" s="26"/>
      <c r="E134" s="26"/>
      <c r="AP134"/>
      <c r="AQ134"/>
      <c r="AR134"/>
      <c r="AS134"/>
      <c r="AT134"/>
      <c r="AU134"/>
    </row>
    <row r="135" spans="1:47" ht="16.5" x14ac:dyDescent="0.3">
      <c r="A135" s="26"/>
      <c r="B135" s="26"/>
      <c r="C135" s="26"/>
      <c r="D135" s="26"/>
      <c r="E135" s="26"/>
      <c r="AP135"/>
      <c r="AQ135"/>
      <c r="AR135"/>
      <c r="AS135"/>
      <c r="AT135"/>
      <c r="AU135"/>
    </row>
    <row r="136" spans="1:47" ht="16.5" x14ac:dyDescent="0.3">
      <c r="A136" s="26"/>
      <c r="B136" s="26"/>
      <c r="C136" s="26"/>
      <c r="D136" s="26"/>
      <c r="E136" s="26"/>
      <c r="AP136"/>
      <c r="AQ136"/>
      <c r="AR136"/>
      <c r="AS136"/>
      <c r="AT136"/>
      <c r="AU136"/>
    </row>
    <row r="137" spans="1:47" ht="16.5" x14ac:dyDescent="0.3">
      <c r="A137" s="26"/>
      <c r="B137" s="26"/>
      <c r="C137" s="26"/>
      <c r="D137" s="26"/>
      <c r="E137" s="26"/>
      <c r="AP137"/>
      <c r="AQ137"/>
      <c r="AR137"/>
      <c r="AS137"/>
      <c r="AT137"/>
      <c r="AU137"/>
    </row>
    <row r="138" spans="1:47" ht="16.5" x14ac:dyDescent="0.3">
      <c r="A138" s="26"/>
      <c r="B138" s="26"/>
      <c r="C138" s="26"/>
      <c r="D138" s="26"/>
      <c r="E138" s="26"/>
      <c r="AP138"/>
      <c r="AQ138"/>
      <c r="AR138"/>
      <c r="AS138"/>
      <c r="AT138"/>
      <c r="AU138"/>
    </row>
    <row r="139" spans="1:47" ht="16.5" x14ac:dyDescent="0.3">
      <c r="A139" s="26"/>
      <c r="B139" s="26"/>
      <c r="C139" s="26"/>
      <c r="D139" s="26"/>
      <c r="E139" s="26"/>
      <c r="AP139"/>
      <c r="AQ139"/>
      <c r="AR139"/>
      <c r="AS139"/>
      <c r="AT139"/>
      <c r="AU139"/>
    </row>
    <row r="140" spans="1:47" ht="16.5" x14ac:dyDescent="0.3">
      <c r="A140" s="26"/>
      <c r="B140" s="26"/>
      <c r="C140" s="26"/>
      <c r="D140" s="26"/>
      <c r="E140" s="26"/>
      <c r="AP140"/>
      <c r="AQ140"/>
      <c r="AR140"/>
      <c r="AS140"/>
      <c r="AT140"/>
      <c r="AU140"/>
    </row>
    <row r="141" spans="1:47" ht="16.5" x14ac:dyDescent="0.3">
      <c r="A141" s="26"/>
      <c r="B141" s="26"/>
      <c r="C141" s="26"/>
      <c r="D141" s="26"/>
      <c r="E141" s="26"/>
      <c r="AP141"/>
      <c r="AQ141"/>
      <c r="AR141"/>
      <c r="AS141"/>
      <c r="AT141"/>
      <c r="AU141"/>
    </row>
    <row r="142" spans="1:47" ht="16.5" x14ac:dyDescent="0.3">
      <c r="A142" s="26"/>
      <c r="B142" s="26"/>
      <c r="C142" s="26"/>
      <c r="D142" s="26"/>
      <c r="E142" s="26"/>
      <c r="AP142"/>
      <c r="AQ142"/>
      <c r="AR142"/>
      <c r="AS142"/>
      <c r="AT142"/>
      <c r="AU142"/>
    </row>
    <row r="143" spans="1:47" ht="16.5" x14ac:dyDescent="0.3">
      <c r="A143" s="26"/>
      <c r="B143" s="26"/>
      <c r="C143" s="26"/>
      <c r="D143" s="26"/>
      <c r="E143" s="26"/>
      <c r="AP143"/>
      <c r="AQ143"/>
      <c r="AR143"/>
      <c r="AS143"/>
      <c r="AT143"/>
      <c r="AU143"/>
    </row>
    <row r="144" spans="1:47" ht="16.5" x14ac:dyDescent="0.3">
      <c r="A144" s="26"/>
      <c r="B144" s="26"/>
      <c r="C144" s="26"/>
      <c r="D144" s="26"/>
      <c r="E144" s="26"/>
      <c r="AP144"/>
      <c r="AQ144"/>
      <c r="AR144"/>
      <c r="AS144"/>
      <c r="AT144"/>
      <c r="AU144"/>
    </row>
    <row r="145" spans="1:47" ht="16.5" x14ac:dyDescent="0.3">
      <c r="A145" s="26"/>
      <c r="B145" s="26"/>
      <c r="C145" s="26"/>
      <c r="D145" s="26"/>
      <c r="E145" s="26"/>
      <c r="AP145"/>
      <c r="AQ145"/>
      <c r="AR145"/>
      <c r="AS145"/>
      <c r="AT145"/>
      <c r="AU145"/>
    </row>
    <row r="146" spans="1:47" ht="16.5" x14ac:dyDescent="0.3">
      <c r="A146" s="26"/>
      <c r="B146" s="26"/>
      <c r="C146" s="26"/>
      <c r="D146" s="26"/>
      <c r="E146" s="26"/>
      <c r="AP146"/>
      <c r="AQ146"/>
      <c r="AR146"/>
      <c r="AS146"/>
      <c r="AT146"/>
      <c r="AU146"/>
    </row>
    <row r="147" spans="1:47" ht="16.5" x14ac:dyDescent="0.3">
      <c r="A147" s="26"/>
      <c r="B147" s="26"/>
      <c r="C147" s="26"/>
      <c r="D147" s="26"/>
      <c r="E147" s="26"/>
      <c r="AP147"/>
      <c r="AQ147"/>
      <c r="AR147"/>
      <c r="AS147"/>
      <c r="AT147"/>
      <c r="AU147"/>
    </row>
    <row r="148" spans="1:47" ht="16.5" x14ac:dyDescent="0.3">
      <c r="A148" s="26"/>
      <c r="B148" s="26"/>
      <c r="C148" s="26"/>
      <c r="D148" s="26"/>
      <c r="E148" s="26"/>
      <c r="AP148"/>
      <c r="AQ148"/>
      <c r="AR148"/>
      <c r="AS148"/>
      <c r="AT148"/>
      <c r="AU148"/>
    </row>
    <row r="149" spans="1:47" ht="16.5" x14ac:dyDescent="0.3">
      <c r="A149" s="26"/>
      <c r="B149" s="26"/>
      <c r="C149" s="26"/>
      <c r="D149" s="26"/>
      <c r="E149" s="26"/>
      <c r="AP149"/>
      <c r="AQ149"/>
      <c r="AR149"/>
      <c r="AS149"/>
      <c r="AT149"/>
      <c r="AU149"/>
    </row>
    <row r="150" spans="1:47" ht="16.5" x14ac:dyDescent="0.3">
      <c r="A150" s="26"/>
      <c r="B150" s="26"/>
      <c r="C150" s="26"/>
      <c r="D150" s="26"/>
      <c r="E150" s="26"/>
      <c r="AP150"/>
      <c r="AQ150"/>
      <c r="AR150"/>
      <c r="AS150"/>
      <c r="AT150"/>
      <c r="AU150"/>
    </row>
    <row r="151" spans="1:47" ht="16.5" x14ac:dyDescent="0.3">
      <c r="A151" s="26"/>
      <c r="B151" s="26"/>
      <c r="C151" s="26"/>
      <c r="D151" s="26"/>
      <c r="E151" s="26"/>
      <c r="AP151"/>
      <c r="AQ151"/>
      <c r="AR151"/>
      <c r="AS151"/>
      <c r="AT151"/>
      <c r="AU151"/>
    </row>
    <row r="152" spans="1:47" ht="16.5" x14ac:dyDescent="0.3">
      <c r="A152" s="26"/>
      <c r="B152" s="26"/>
      <c r="C152" s="26"/>
      <c r="D152" s="26"/>
      <c r="E152" s="26"/>
      <c r="AP152"/>
      <c r="AQ152"/>
      <c r="AR152"/>
      <c r="AS152"/>
      <c r="AT152"/>
      <c r="AU152"/>
    </row>
    <row r="153" spans="1:47" ht="16.5" x14ac:dyDescent="0.3">
      <c r="A153" s="26"/>
      <c r="B153" s="26"/>
      <c r="C153" s="26"/>
      <c r="D153" s="26"/>
      <c r="E153" s="26"/>
      <c r="AP153"/>
      <c r="AQ153"/>
      <c r="AR153"/>
      <c r="AS153"/>
      <c r="AT153"/>
      <c r="AU153"/>
    </row>
    <row r="154" spans="1:47" ht="16.5" x14ac:dyDescent="0.3">
      <c r="A154" s="26"/>
      <c r="B154" s="26"/>
      <c r="C154" s="26"/>
      <c r="D154" s="26"/>
      <c r="E154" s="26"/>
      <c r="AP154"/>
      <c r="AQ154"/>
      <c r="AR154"/>
      <c r="AS154"/>
      <c r="AT154"/>
      <c r="AU154"/>
    </row>
    <row r="155" spans="1:47" ht="16.5" x14ac:dyDescent="0.3">
      <c r="A155" s="26"/>
      <c r="B155" s="26"/>
      <c r="C155" s="26"/>
      <c r="D155" s="26"/>
      <c r="E155" s="26"/>
      <c r="AP155"/>
      <c r="AQ155"/>
      <c r="AR155"/>
      <c r="AS155"/>
      <c r="AT155"/>
      <c r="AU155"/>
    </row>
    <row r="156" spans="1:47" ht="16.5" x14ac:dyDescent="0.3">
      <c r="A156" s="26"/>
      <c r="B156" s="26"/>
      <c r="C156" s="26"/>
      <c r="D156" s="26"/>
      <c r="E156" s="26"/>
      <c r="AP156"/>
      <c r="AQ156"/>
      <c r="AR156"/>
      <c r="AS156"/>
      <c r="AT156"/>
      <c r="AU156"/>
    </row>
    <row r="157" spans="1:47" ht="16.5" x14ac:dyDescent="0.3">
      <c r="A157" s="26"/>
      <c r="B157" s="26"/>
      <c r="C157" s="26"/>
      <c r="D157" s="26"/>
      <c r="E157" s="26"/>
      <c r="AP157"/>
      <c r="AQ157"/>
      <c r="AR157"/>
      <c r="AS157"/>
      <c r="AT157"/>
      <c r="AU157"/>
    </row>
    <row r="158" spans="1:47" ht="16.5" x14ac:dyDescent="0.3">
      <c r="A158" s="26"/>
      <c r="B158" s="26"/>
      <c r="C158" s="26"/>
      <c r="D158" s="26"/>
      <c r="E158" s="26"/>
      <c r="AP158"/>
      <c r="AQ158"/>
      <c r="AR158"/>
      <c r="AS158"/>
      <c r="AT158"/>
      <c r="AU158"/>
    </row>
    <row r="159" spans="1:47" ht="16.5" x14ac:dyDescent="0.3">
      <c r="A159" s="26"/>
      <c r="B159" s="26"/>
      <c r="C159" s="26"/>
      <c r="D159" s="26"/>
      <c r="E159" s="26"/>
      <c r="AP159"/>
      <c r="AQ159"/>
      <c r="AR159"/>
      <c r="AS159"/>
      <c r="AT159"/>
      <c r="AU159"/>
    </row>
    <row r="160" spans="1:47" ht="16.5" x14ac:dyDescent="0.3">
      <c r="A160" s="26"/>
      <c r="B160" s="26"/>
      <c r="C160" s="26"/>
      <c r="D160" s="26"/>
      <c r="E160" s="26"/>
      <c r="AP160"/>
      <c r="AQ160"/>
      <c r="AR160"/>
      <c r="AS160"/>
      <c r="AT160"/>
      <c r="AU160"/>
    </row>
    <row r="161" spans="1:47" ht="16.5" x14ac:dyDescent="0.3">
      <c r="A161" s="26"/>
      <c r="B161" s="26"/>
      <c r="C161" s="26"/>
      <c r="D161" s="26"/>
      <c r="E161" s="26"/>
      <c r="AP161"/>
      <c r="AQ161"/>
      <c r="AR161"/>
      <c r="AS161"/>
      <c r="AT161"/>
      <c r="AU161"/>
    </row>
    <row r="162" spans="1:47" ht="16.5" x14ac:dyDescent="0.3">
      <c r="A162" s="26"/>
      <c r="B162" s="26"/>
      <c r="C162" s="26"/>
      <c r="D162" s="26"/>
      <c r="E162" s="26"/>
      <c r="AP162"/>
      <c r="AQ162"/>
      <c r="AR162"/>
      <c r="AS162"/>
      <c r="AT162"/>
      <c r="AU162"/>
    </row>
    <row r="163" spans="1:47" ht="16.5" x14ac:dyDescent="0.3">
      <c r="A163" s="26"/>
      <c r="B163" s="26"/>
      <c r="C163" s="26"/>
      <c r="D163" s="26"/>
      <c r="E163" s="26"/>
      <c r="AP163"/>
      <c r="AQ163"/>
      <c r="AR163"/>
      <c r="AS163"/>
      <c r="AT163"/>
      <c r="AU163"/>
    </row>
    <row r="164" spans="1:47" ht="16.5" x14ac:dyDescent="0.3">
      <c r="A164" s="26"/>
      <c r="B164" s="26"/>
      <c r="C164" s="26"/>
      <c r="D164" s="26"/>
      <c r="E164" s="26"/>
      <c r="AP164"/>
      <c r="AQ164"/>
      <c r="AR164"/>
      <c r="AS164"/>
      <c r="AT164"/>
      <c r="AU164"/>
    </row>
    <row r="165" spans="1:47" ht="16.5" x14ac:dyDescent="0.3">
      <c r="A165" s="26"/>
      <c r="B165" s="26"/>
      <c r="C165" s="26"/>
      <c r="D165" s="26"/>
      <c r="E165" s="26"/>
      <c r="AP165"/>
      <c r="AQ165"/>
      <c r="AR165"/>
      <c r="AS165"/>
      <c r="AT165"/>
      <c r="AU165"/>
    </row>
    <row r="166" spans="1:47" ht="16.5" x14ac:dyDescent="0.3">
      <c r="A166" s="26"/>
      <c r="B166" s="26"/>
      <c r="C166" s="26"/>
      <c r="D166" s="26"/>
      <c r="E166" s="26"/>
      <c r="AP166"/>
      <c r="AQ166"/>
      <c r="AR166"/>
      <c r="AS166"/>
      <c r="AT166"/>
      <c r="AU166"/>
    </row>
    <row r="167" spans="1:47" ht="16.5" x14ac:dyDescent="0.3">
      <c r="A167" s="26"/>
      <c r="B167" s="26"/>
      <c r="C167" s="26"/>
      <c r="D167" s="26"/>
      <c r="E167" s="26"/>
      <c r="AP167"/>
      <c r="AQ167"/>
      <c r="AR167"/>
      <c r="AS167"/>
      <c r="AT167"/>
      <c r="AU167"/>
    </row>
    <row r="168" spans="1:47" ht="16.5" x14ac:dyDescent="0.3">
      <c r="A168" s="26"/>
      <c r="B168" s="26"/>
      <c r="C168" s="26"/>
      <c r="D168" s="26"/>
      <c r="E168" s="26"/>
      <c r="AP168"/>
      <c r="AQ168"/>
      <c r="AR168"/>
      <c r="AS168"/>
      <c r="AT168"/>
      <c r="AU168"/>
    </row>
    <row r="169" spans="1:47" ht="16.5" x14ac:dyDescent="0.3">
      <c r="A169" s="26"/>
      <c r="B169" s="26"/>
      <c r="C169" s="26"/>
      <c r="D169" s="26"/>
      <c r="E169" s="26"/>
      <c r="AP169"/>
      <c r="AQ169"/>
      <c r="AR169"/>
      <c r="AS169"/>
      <c r="AT169"/>
      <c r="AU169"/>
    </row>
    <row r="170" spans="1:47" ht="16.5" x14ac:dyDescent="0.3">
      <c r="A170" s="26"/>
      <c r="B170" s="26"/>
      <c r="C170" s="26"/>
      <c r="D170" s="26"/>
      <c r="E170" s="26"/>
      <c r="AP170"/>
      <c r="AQ170"/>
      <c r="AR170"/>
      <c r="AS170"/>
      <c r="AT170"/>
      <c r="AU170"/>
    </row>
    <row r="171" spans="1:47" ht="16.5" x14ac:dyDescent="0.3">
      <c r="A171" s="26"/>
      <c r="B171" s="26"/>
      <c r="C171" s="26"/>
      <c r="D171" s="26"/>
      <c r="E171" s="26"/>
      <c r="AP171"/>
      <c r="AQ171"/>
      <c r="AR171"/>
      <c r="AS171"/>
      <c r="AT171"/>
      <c r="AU171"/>
    </row>
    <row r="172" spans="1:47" ht="16.5" x14ac:dyDescent="0.3">
      <c r="A172" s="26"/>
      <c r="B172" s="26"/>
      <c r="C172" s="26"/>
      <c r="D172" s="26"/>
      <c r="E172" s="26"/>
      <c r="AP172"/>
      <c r="AQ172"/>
      <c r="AR172"/>
      <c r="AS172"/>
      <c r="AT172"/>
      <c r="AU172"/>
    </row>
    <row r="173" spans="1:47" ht="16.5" x14ac:dyDescent="0.3">
      <c r="A173" s="26"/>
      <c r="B173" s="26"/>
      <c r="C173" s="26"/>
      <c r="D173" s="26"/>
      <c r="E173" s="26"/>
      <c r="AP173"/>
      <c r="AQ173"/>
      <c r="AR173"/>
      <c r="AS173"/>
      <c r="AT173"/>
      <c r="AU173"/>
    </row>
    <row r="174" spans="1:47" ht="16.5" x14ac:dyDescent="0.3">
      <c r="A174" s="26"/>
      <c r="B174" s="26"/>
      <c r="C174" s="26"/>
      <c r="D174" s="26"/>
      <c r="E174" s="26"/>
      <c r="AP174"/>
      <c r="AQ174"/>
      <c r="AR174"/>
      <c r="AS174"/>
      <c r="AT174"/>
      <c r="AU174"/>
    </row>
    <row r="175" spans="1:47" ht="16.5" x14ac:dyDescent="0.3">
      <c r="A175" s="26"/>
      <c r="B175" s="26"/>
      <c r="C175" s="26"/>
      <c r="D175" s="26"/>
      <c r="E175" s="26"/>
      <c r="AP175"/>
      <c r="AQ175"/>
      <c r="AR175"/>
      <c r="AS175"/>
      <c r="AT175"/>
      <c r="AU175"/>
    </row>
    <row r="176" spans="1:47" ht="16.5" x14ac:dyDescent="0.3">
      <c r="A176" s="26"/>
      <c r="B176" s="26"/>
      <c r="C176" s="26"/>
      <c r="D176" s="26"/>
      <c r="E176" s="26"/>
      <c r="AP176"/>
      <c r="AQ176"/>
      <c r="AR176"/>
      <c r="AS176"/>
      <c r="AT176"/>
      <c r="AU176"/>
    </row>
    <row r="177" spans="1:47" ht="16.5" x14ac:dyDescent="0.3">
      <c r="A177" s="26"/>
      <c r="B177" s="26"/>
      <c r="C177" s="26"/>
      <c r="D177" s="26"/>
      <c r="E177" s="26"/>
      <c r="AP177"/>
      <c r="AQ177"/>
      <c r="AR177"/>
      <c r="AS177"/>
      <c r="AT177"/>
      <c r="AU177"/>
    </row>
    <row r="178" spans="1:47" ht="16.5" x14ac:dyDescent="0.3">
      <c r="A178" s="26"/>
      <c r="B178" s="26"/>
      <c r="C178" s="26"/>
      <c r="D178" s="26"/>
      <c r="E178" s="26"/>
      <c r="AP178"/>
      <c r="AQ178"/>
      <c r="AR178"/>
      <c r="AS178"/>
      <c r="AT178"/>
      <c r="AU178"/>
    </row>
    <row r="179" spans="1:47" ht="16.5" x14ac:dyDescent="0.3">
      <c r="A179" s="26"/>
      <c r="B179" s="26"/>
      <c r="C179" s="26"/>
      <c r="D179" s="26"/>
      <c r="E179" s="26"/>
      <c r="AP179"/>
      <c r="AQ179"/>
      <c r="AR179"/>
      <c r="AS179"/>
      <c r="AT179"/>
      <c r="AU179"/>
    </row>
    <row r="180" spans="1:47" ht="16.5" x14ac:dyDescent="0.3">
      <c r="A180" s="26"/>
      <c r="B180" s="26"/>
      <c r="C180" s="26"/>
      <c r="D180" s="26"/>
      <c r="E180" s="26"/>
      <c r="AP180"/>
      <c r="AQ180"/>
      <c r="AR180"/>
      <c r="AS180"/>
      <c r="AT180"/>
      <c r="AU180"/>
    </row>
    <row r="181" spans="1:47" ht="16.5" x14ac:dyDescent="0.3">
      <c r="A181" s="26"/>
      <c r="B181" s="26"/>
      <c r="C181" s="26"/>
      <c r="D181" s="26"/>
      <c r="E181" s="26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66D0-702E-4D5E-B6E8-9E433487E108}">
  <dimension ref="A1:BP298"/>
  <sheetViews>
    <sheetView zoomScale="75" zoomScaleNormal="75" workbookViewId="0">
      <selection activeCell="U38" sqref="U36:V38"/>
    </sheetView>
  </sheetViews>
  <sheetFormatPr defaultColWidth="9.140625" defaultRowHeight="15" x14ac:dyDescent="0.25"/>
  <cols>
    <col min="1" max="1" width="4.5703125" style="42" bestFit="1" customWidth="1"/>
    <col min="2" max="2" width="17" style="42" customWidth="1"/>
    <col min="3" max="3" width="14.140625" style="42" bestFit="1" customWidth="1"/>
    <col min="4" max="4" width="11.7109375" style="42" bestFit="1" customWidth="1"/>
    <col min="5" max="5" width="9" style="42" bestFit="1" customWidth="1"/>
    <col min="6" max="6" width="5.140625" style="42" bestFit="1" customWidth="1"/>
    <col min="7" max="8" width="11.85546875" style="42" bestFit="1" customWidth="1"/>
    <col min="9" max="9" width="12.85546875" style="42" bestFit="1" customWidth="1"/>
    <col min="10" max="11" width="9.7109375" style="42" customWidth="1"/>
    <col min="12" max="12" width="11" style="42" bestFit="1" customWidth="1"/>
    <col min="13" max="13" width="20.5703125" style="42" bestFit="1" customWidth="1"/>
    <col min="14" max="16" width="9.7109375" style="42" customWidth="1"/>
    <col min="17" max="17" width="9.140625" style="42"/>
    <col min="18" max="18" width="12.140625" style="42" bestFit="1" customWidth="1"/>
    <col min="19" max="19" width="13.85546875" style="42" bestFit="1" customWidth="1"/>
    <col min="20" max="20" width="12.42578125" style="42" bestFit="1" customWidth="1"/>
    <col min="21" max="21" width="12.42578125" style="42" customWidth="1"/>
    <col min="22" max="22" width="12.140625" style="42" bestFit="1" customWidth="1"/>
    <col min="23" max="26" width="9.28515625" style="42" bestFit="1" customWidth="1"/>
    <col min="27" max="28" width="9.140625" style="42"/>
    <col min="29" max="29" width="9.28515625" style="42" bestFit="1" customWidth="1"/>
    <col min="30" max="40" width="9.140625" style="42"/>
    <col min="41" max="41" width="9.140625" style="42" customWidth="1"/>
    <col min="42" max="44" width="9.140625" style="42"/>
    <col min="45" max="45" width="9.28515625" bestFit="1" customWidth="1"/>
    <col min="46" max="46" width="14" customWidth="1"/>
    <col min="47" max="47" width="12.28515625" customWidth="1"/>
    <col min="48" max="48" width="10.140625" bestFit="1" customWidth="1"/>
    <col min="49" max="49" width="10.140625" customWidth="1"/>
    <col min="50" max="52" width="9.28515625" customWidth="1"/>
    <col min="53" max="53" width="9.28515625" bestFit="1" customWidth="1"/>
    <col min="54" max="54" width="12.28515625" bestFit="1" customWidth="1"/>
    <col min="64" max="16384" width="9.140625" style="42"/>
  </cols>
  <sheetData>
    <row r="1" spans="1:68" customFormat="1" ht="17.25" thickBot="1" x14ac:dyDescent="0.35">
      <c r="A1" s="111" t="s">
        <v>4</v>
      </c>
      <c r="B1" s="112" t="s">
        <v>104</v>
      </c>
      <c r="C1" s="113" t="s">
        <v>130</v>
      </c>
      <c r="D1" s="113" t="s">
        <v>131</v>
      </c>
      <c r="E1" s="113" t="s">
        <v>132</v>
      </c>
      <c r="F1" s="113" t="s">
        <v>20</v>
      </c>
      <c r="G1" s="113" t="s">
        <v>133</v>
      </c>
      <c r="H1" s="113" t="s">
        <v>134</v>
      </c>
      <c r="I1" s="113" t="s">
        <v>139</v>
      </c>
      <c r="J1" s="94" t="s">
        <v>59</v>
      </c>
      <c r="K1" s="94" t="s">
        <v>19</v>
      </c>
      <c r="L1" s="94" t="s">
        <v>106</v>
      </c>
      <c r="M1" s="1" t="s">
        <v>140</v>
      </c>
      <c r="N1" s="1" t="s">
        <v>3</v>
      </c>
      <c r="O1" s="1" t="s">
        <v>2</v>
      </c>
      <c r="P1" s="1" t="s">
        <v>138</v>
      </c>
      <c r="Q1" s="1" t="s">
        <v>101</v>
      </c>
      <c r="R1" s="42" t="s">
        <v>105</v>
      </c>
      <c r="S1" s="42" t="s">
        <v>1</v>
      </c>
      <c r="T1" s="42" t="s">
        <v>103</v>
      </c>
      <c r="U1" s="42" t="s">
        <v>102</v>
      </c>
      <c r="V1" s="50" t="s">
        <v>23</v>
      </c>
    </row>
    <row r="2" spans="1:68" customFormat="1" ht="16.5" x14ac:dyDescent="0.3">
      <c r="A2" s="50">
        <v>0</v>
      </c>
      <c r="B2" s="50"/>
      <c r="C2" s="127">
        <f>INTERCEPT($C$5:$C$28,$A$5:$A$28)</f>
        <v>30.653007246376816</v>
      </c>
      <c r="D2" s="127">
        <f>SLOPE($C$5:$C$28,$A$5:$A$28)</f>
        <v>1.2613586956521738</v>
      </c>
      <c r="E2" s="50"/>
      <c r="F2" s="50"/>
      <c r="G2" s="50"/>
      <c r="H2" s="50"/>
      <c r="I2" s="50"/>
      <c r="J2" s="136">
        <f>C2</f>
        <v>30.653007246376816</v>
      </c>
      <c r="K2" s="136">
        <f>D2</f>
        <v>1.2613586956521738</v>
      </c>
      <c r="L2" s="113"/>
      <c r="M2" s="74"/>
      <c r="N2" s="74"/>
      <c r="O2" s="74"/>
      <c r="P2" s="74"/>
      <c r="Q2" s="74"/>
      <c r="R2" s="42"/>
      <c r="AP2" s="42"/>
      <c r="AQ2" s="42"/>
      <c r="AR2" s="42"/>
      <c r="BL2" s="42"/>
      <c r="BM2" s="42"/>
      <c r="BN2" s="42"/>
      <c r="BO2" s="42"/>
      <c r="BP2" s="42"/>
    </row>
    <row r="3" spans="1:68" customFormat="1" ht="16.5" x14ac:dyDescent="0.3">
      <c r="A3" s="59">
        <v>1</v>
      </c>
      <c r="B3" s="122">
        <v>21</v>
      </c>
      <c r="C3" s="138"/>
      <c r="D3" s="128">
        <f t="shared" ref="D3:D34" si="0">$C$2+$D$2*A3</f>
        <v>31.91436594202899</v>
      </c>
      <c r="E3" s="129">
        <f>B3/D3</f>
        <v>0.65801087943108616</v>
      </c>
      <c r="F3" s="130">
        <f t="shared" ref="F3:F34" si="1">IF(MOD(A3,$C$37)&gt;0,MOD(A3,$C$37),$C$37)</f>
        <v>1</v>
      </c>
      <c r="G3" s="131">
        <f>AVERAGEIF($F$3:$F$30,F3,$E$3:$E$30)</f>
        <v>0.84597858424179706</v>
      </c>
      <c r="H3" s="131">
        <f>G3/AVERAGE($G$3:$G$6)</f>
        <v>0.86089331338097475</v>
      </c>
      <c r="I3" s="123">
        <f>D3*VLOOKUP(F3,$F$3:$H$6,3,0)</f>
        <v>27.474864240286269</v>
      </c>
      <c r="J3" s="115">
        <f>(1-$C$38)*SUM(J2:K2)+$C$38*B3/L3</f>
        <v>24.393266475176794</v>
      </c>
      <c r="K3" s="115">
        <f>(1-$C$39)*K2+$C$39*(J3-J2)</f>
        <v>1.1668803779882901</v>
      </c>
      <c r="L3" s="116">
        <f>H3</f>
        <v>0.86089331338097475</v>
      </c>
      <c r="M3" s="137">
        <f>(J2+K2)*L3</f>
        <v>27.474864240286269</v>
      </c>
      <c r="N3" s="104">
        <f>B3-M3</f>
        <v>-6.4748642402862693</v>
      </c>
      <c r="O3" s="104">
        <f>ABS(N3)</f>
        <v>6.4748642402862693</v>
      </c>
      <c r="P3" s="104">
        <f>O3/B3</f>
        <v>0.30832686858506042</v>
      </c>
      <c r="Q3" s="104">
        <f>N3^2</f>
        <v>41.923866930137891</v>
      </c>
      <c r="R3" s="133">
        <f>SUM($N3:N3)</f>
        <v>-6.4748642402862693</v>
      </c>
      <c r="S3" s="103">
        <f>AVERAGE(O$3:O3)</f>
        <v>6.4748642402862693</v>
      </c>
      <c r="T3" s="103">
        <f>AVERAGE(P$3:P3)</f>
        <v>0.30832686858506042</v>
      </c>
      <c r="U3" s="103">
        <f>AVERAGE(Q$3:Q3)</f>
        <v>41.923866930137891</v>
      </c>
      <c r="V3" s="103">
        <f>R3/S3</f>
        <v>-1</v>
      </c>
      <c r="AP3" s="42"/>
      <c r="AQ3" s="42"/>
      <c r="AR3" s="42"/>
      <c r="BL3" s="42"/>
      <c r="BM3" s="42"/>
      <c r="BN3" s="42"/>
      <c r="BO3" s="42"/>
      <c r="BP3" s="42"/>
    </row>
    <row r="4" spans="1:68" customFormat="1" ht="16.5" x14ac:dyDescent="0.3">
      <c r="A4" s="59">
        <v>2</v>
      </c>
      <c r="B4" s="122">
        <v>27</v>
      </c>
      <c r="C4" s="138"/>
      <c r="D4" s="128">
        <f t="shared" si="0"/>
        <v>33.175724637681164</v>
      </c>
      <c r="E4" s="129">
        <f t="shared" ref="E4:E29" si="2">B4/D4</f>
        <v>0.81384808605908365</v>
      </c>
      <c r="F4" s="130">
        <f t="shared" si="1"/>
        <v>2</v>
      </c>
      <c r="G4" s="131">
        <f t="shared" ref="G4:G6" si="3">AVERAGEIF($F$3:$F$30,F4,$E$3:$E$30)</f>
        <v>1.1025441413126487</v>
      </c>
      <c r="H4" s="131">
        <f>G4/AVERAGE($G$3:$G$6)</f>
        <v>1.121982159647833</v>
      </c>
      <c r="I4" s="123">
        <f>D4*VLOOKUP(F4,$F$3:$H$6,3,0)</f>
        <v>37.222571176867334</v>
      </c>
      <c r="J4" s="115">
        <f>(1-$C$38)*(J3+K3)+$C$38*(B4/L4)</f>
        <v>24.064553761242284</v>
      </c>
      <c r="K4" s="115">
        <f>(1-$C$39)*K3+$C$39*(J4-J3)</f>
        <v>1.1480930823465625</v>
      </c>
      <c r="L4" s="116">
        <f t="shared" ref="L4:L6" si="4">H4</f>
        <v>1.121982159647833</v>
      </c>
      <c r="M4" s="137">
        <f t="shared" ref="M4:M30" si="5">(J4+K4)*L4</f>
        <v>28.288139956007932</v>
      </c>
      <c r="N4" s="104">
        <f t="shared" ref="N4:N30" si="6">B4-M4</f>
        <v>-1.2881399560079316</v>
      </c>
      <c r="O4" s="104">
        <f t="shared" ref="O4:O30" si="7">ABS(N4)</f>
        <v>1.2881399560079316</v>
      </c>
      <c r="P4" s="104">
        <f t="shared" ref="P4:P30" si="8">O4/B4</f>
        <v>4.7708887259553023E-2</v>
      </c>
      <c r="Q4" s="104">
        <f t="shared" ref="Q4:Q30" si="9">N4^2</f>
        <v>1.6593045462641161</v>
      </c>
      <c r="R4" s="133">
        <f>SUM($N4:N4)</f>
        <v>-1.2881399560079316</v>
      </c>
      <c r="S4" s="103">
        <f>AVERAGE(O$3:O4)</f>
        <v>3.8815020981471005</v>
      </c>
      <c r="T4" s="103">
        <f>AVERAGE(P$3:P4)</f>
        <v>0.17801787792230672</v>
      </c>
      <c r="U4" s="103">
        <f>AVERAGE(Q$3:Q4)</f>
        <v>21.791585738201004</v>
      </c>
      <c r="V4" s="103">
        <f t="shared" ref="V4:V30" si="10">R4/S4</f>
        <v>-0.33186635571389916</v>
      </c>
      <c r="AP4" s="42"/>
      <c r="AQ4" s="42"/>
      <c r="AR4" s="42"/>
      <c r="BL4" s="42"/>
      <c r="BM4" s="42"/>
      <c r="BN4" s="42"/>
      <c r="BO4" s="42"/>
      <c r="BP4" s="42"/>
    </row>
    <row r="5" spans="1:68" customFormat="1" ht="16.5" x14ac:dyDescent="0.3">
      <c r="A5" s="59">
        <v>3</v>
      </c>
      <c r="B5" s="122">
        <v>38</v>
      </c>
      <c r="C5" s="126">
        <f>AVERAGE(AVERAGE(B3:B6),AVERAGE(B4:B7))</f>
        <v>30.625</v>
      </c>
      <c r="D5" s="128">
        <f t="shared" si="0"/>
        <v>34.437083333333341</v>
      </c>
      <c r="E5" s="129">
        <f t="shared" si="2"/>
        <v>1.1034616268799378</v>
      </c>
      <c r="F5" s="130">
        <f t="shared" si="1"/>
        <v>3</v>
      </c>
      <c r="G5" s="131">
        <f t="shared" si="3"/>
        <v>1.1707796605485288</v>
      </c>
      <c r="H5" s="131">
        <f>G5/AVERAGE($G$3:$G$6)</f>
        <v>1.1914206813072159</v>
      </c>
      <c r="I5" s="123">
        <f>D5*VLOOKUP(F5,$F$3:$H$6,3,0)</f>
        <v>41.029053287233381</v>
      </c>
      <c r="J5" s="115">
        <f>(1-$C$38)*(J4+K4)+$C$38*(B5/L5)</f>
        <v>31.894695632030448</v>
      </c>
      <c r="K5" s="115">
        <f>(1-$C$39)*K4+$C$39*(J5-J4)</f>
        <v>1.2320314388145666</v>
      </c>
      <c r="L5" s="116">
        <f t="shared" si="4"/>
        <v>1.1914206813072159</v>
      </c>
      <c r="M5" s="137">
        <f t="shared" si="5"/>
        <v>39.467867736224356</v>
      </c>
      <c r="N5" s="104">
        <f t="shared" si="6"/>
        <v>-1.4678677362243562</v>
      </c>
      <c r="O5" s="104">
        <f t="shared" si="7"/>
        <v>1.4678677362243562</v>
      </c>
      <c r="P5" s="104">
        <f t="shared" si="8"/>
        <v>3.8628098321693581E-2</v>
      </c>
      <c r="Q5" s="104">
        <f t="shared" si="9"/>
        <v>2.1546356910484161</v>
      </c>
      <c r="R5" s="133">
        <f>SUM($N5:N5)</f>
        <v>-1.4678677362243562</v>
      </c>
      <c r="S5" s="103">
        <f>AVERAGE(O$3:O5)</f>
        <v>3.0769573108395192</v>
      </c>
      <c r="T5" s="103">
        <f>AVERAGE(P$3:P5)</f>
        <v>0.13155461805543567</v>
      </c>
      <c r="U5" s="103">
        <f>AVERAGE(Q$3:Q5)</f>
        <v>15.245935722483475</v>
      </c>
      <c r="V5" s="103">
        <f t="shared" si="10"/>
        <v>-0.47705170658473067</v>
      </c>
      <c r="Z5">
        <f>INTERCEPT($B$3:$B$30,$A$3:$A$30)</f>
        <v>29.30952380952381</v>
      </c>
      <c r="AA5">
        <f>SLOPE($B$3:$B$30,$A$3:$A$30)</f>
        <v>1.30623973727422</v>
      </c>
      <c r="AP5" s="42"/>
      <c r="AQ5" s="42"/>
      <c r="AR5" s="42"/>
      <c r="BL5" s="42"/>
      <c r="BM5" s="42"/>
      <c r="BN5" s="42"/>
      <c r="BO5" s="42"/>
      <c r="BP5" s="42"/>
    </row>
    <row r="6" spans="1:68" customFormat="1" ht="16.5" x14ac:dyDescent="0.3">
      <c r="A6" s="59">
        <v>4</v>
      </c>
      <c r="B6" s="122">
        <v>28</v>
      </c>
      <c r="C6" s="126">
        <f t="shared" ref="C6:C27" si="11">AVERAGE(AVERAGE(B4:B7),AVERAGE(B5:B8))</f>
        <v>35.5</v>
      </c>
      <c r="D6" s="128">
        <f t="shared" si="0"/>
        <v>35.698442028985511</v>
      </c>
      <c r="E6" s="129">
        <f t="shared" si="2"/>
        <v>0.78434795494059029</v>
      </c>
      <c r="F6" s="130">
        <f t="shared" si="1"/>
        <v>4</v>
      </c>
      <c r="G6" s="131">
        <f t="shared" si="3"/>
        <v>0.81139876393568344</v>
      </c>
      <c r="H6" s="131">
        <f>G6/AVERAGE($G$3:$G$6)</f>
        <v>0.82570384566397614</v>
      </c>
      <c r="I6" s="123">
        <f t="shared" ref="I6:I34" si="12">D6*VLOOKUP(F6,$F$3:$H$6,3,0)</f>
        <v>29.476340867545851</v>
      </c>
      <c r="J6" s="115">
        <f>(1-$C$38)*(J5+K5)+$C$38*(B6/L6)</f>
        <v>33.910463354429773</v>
      </c>
      <c r="K6" s="115">
        <f>(1-$C$39)*K5+$C$39*(J6-J5)</f>
        <v>1.2418765533342691</v>
      </c>
      <c r="L6" s="116">
        <f t="shared" si="4"/>
        <v>0.82570384566397614</v>
      </c>
      <c r="M6" s="137">
        <f t="shared" si="5"/>
        <v>29.025422245928031</v>
      </c>
      <c r="N6" s="104">
        <f t="shared" si="6"/>
        <v>-1.0254222459280307</v>
      </c>
      <c r="O6" s="104">
        <f t="shared" si="7"/>
        <v>1.0254222459280307</v>
      </c>
      <c r="P6" s="104">
        <f t="shared" si="8"/>
        <v>3.6622223068858241E-2</v>
      </c>
      <c r="Q6" s="104">
        <f t="shared" si="9"/>
        <v>1.0514907824440867</v>
      </c>
      <c r="R6" s="133">
        <f>SUM($N6:N6)</f>
        <v>-1.0254222459280307</v>
      </c>
      <c r="S6" s="103">
        <f>AVERAGE(O$3:O6)</f>
        <v>2.5640735446116469</v>
      </c>
      <c r="T6" s="103">
        <f>AVERAGE(P$3:P6)</f>
        <v>0.10782151930879132</v>
      </c>
      <c r="U6" s="103">
        <f>AVERAGE(Q$3:Q6)</f>
        <v>11.697324487473628</v>
      </c>
      <c r="V6" s="103">
        <f t="shared" si="10"/>
        <v>-0.3999192020380759</v>
      </c>
      <c r="Z6">
        <f>Z5+4*AA5</f>
        <v>34.53448275862069</v>
      </c>
      <c r="AP6" s="42"/>
      <c r="AQ6" s="42"/>
      <c r="AR6" s="42"/>
      <c r="BL6" s="42"/>
      <c r="BM6" s="42"/>
      <c r="BN6" s="42"/>
      <c r="BO6" s="42"/>
      <c r="BP6" s="42"/>
    </row>
    <row r="7" spans="1:68" customFormat="1" ht="16.5" x14ac:dyDescent="0.3">
      <c r="A7" s="59">
        <v>5</v>
      </c>
      <c r="B7" s="122">
        <v>38</v>
      </c>
      <c r="C7" s="126">
        <f t="shared" si="11"/>
        <v>39.375</v>
      </c>
      <c r="D7" s="128">
        <f t="shared" si="0"/>
        <v>36.959800724637688</v>
      </c>
      <c r="E7" s="129">
        <f t="shared" si="2"/>
        <v>1.028144071530908</v>
      </c>
      <c r="F7" s="130">
        <f t="shared" si="1"/>
        <v>1</v>
      </c>
      <c r="G7" s="132">
        <f>AVERAGE(G3:G6)</f>
        <v>0.98267528750966449</v>
      </c>
      <c r="H7" s="132">
        <f>AVERAGE(H3:H6)</f>
        <v>0.99999999999999989</v>
      </c>
      <c r="I7" s="123">
        <f t="shared" si="12"/>
        <v>31.818445307733892</v>
      </c>
      <c r="J7" s="114">
        <f>(1-$C$38)*(J6+K6)+$C$38*(B7/L7)</f>
        <v>44.14019647889134</v>
      </c>
      <c r="K7" s="114">
        <f>(1-$C$39)*K6+$C$39*(J7-J6)</f>
        <v>1.3547799356106089</v>
      </c>
      <c r="L7" s="114">
        <f>(1-$C$40)*L3+$C$40*(B3/SUM(J2:K2))</f>
        <v>0.86089331338097475</v>
      </c>
      <c r="M7" s="137">
        <f t="shared" si="5"/>
        <v>39.166320987669884</v>
      </c>
      <c r="N7" s="104">
        <f t="shared" si="6"/>
        <v>-1.1663209876698843</v>
      </c>
      <c r="O7" s="104">
        <f t="shared" si="7"/>
        <v>1.1663209876698843</v>
      </c>
      <c r="P7" s="104">
        <f t="shared" si="8"/>
        <v>3.0692657570260115E-2</v>
      </c>
      <c r="Q7" s="104">
        <f t="shared" si="9"/>
        <v>1.3603046462792545</v>
      </c>
      <c r="R7" s="133">
        <f>SUM($N7:N7)</f>
        <v>-1.1663209876698843</v>
      </c>
      <c r="S7" s="103">
        <f>AVERAGE(O$3:O7)</f>
        <v>2.2845230332232944</v>
      </c>
      <c r="T7" s="103">
        <f>AVERAGE(P$3:P7)</f>
        <v>9.2395746961085073E-2</v>
      </c>
      <c r="U7" s="103">
        <f>AVERAGE(Q$3:Q7)</f>
        <v>9.6299205192347532</v>
      </c>
      <c r="V7" s="103">
        <f t="shared" si="10"/>
        <v>-0.51053150732487518</v>
      </c>
      <c r="AP7" s="42"/>
      <c r="AQ7" s="42"/>
      <c r="AR7" s="42"/>
      <c r="BL7" s="42"/>
      <c r="BM7" s="42"/>
      <c r="BN7" s="42"/>
      <c r="BO7" s="42"/>
      <c r="BP7" s="42"/>
    </row>
    <row r="8" spans="1:68" customFormat="1" ht="16.5" x14ac:dyDescent="0.3">
      <c r="A8" s="59">
        <v>6</v>
      </c>
      <c r="B8" s="122">
        <v>49</v>
      </c>
      <c r="C8" s="126">
        <f t="shared" si="11"/>
        <v>41.375</v>
      </c>
      <c r="D8" s="128">
        <f t="shared" si="0"/>
        <v>38.221159420289858</v>
      </c>
      <c r="E8" s="129">
        <f t="shared" si="2"/>
        <v>1.2820123916489083</v>
      </c>
      <c r="F8" s="130">
        <f t="shared" si="1"/>
        <v>2</v>
      </c>
      <c r="G8" s="130"/>
      <c r="H8" s="130"/>
      <c r="I8" s="123">
        <f t="shared" si="12"/>
        <v>42.88345899062093</v>
      </c>
      <c r="J8" s="114">
        <f t="shared" ref="J8:J30" si="13">(1-$C$38)*(J7+K7)+$C$38*(B8/L8)</f>
        <v>43.672708677810071</v>
      </c>
      <c r="K8" s="114">
        <f t="shared" ref="K8:K30" si="14">(1-$C$39)*K7+$C$39*(J8-J7)</f>
        <v>1.331889028389583</v>
      </c>
      <c r="L8" s="114">
        <f t="shared" ref="L8:L30" si="15">(1-$C$40)*L4+$C$40*(B4/SUM(J3:K3))</f>
        <v>1.121982159647833</v>
      </c>
      <c r="M8" s="137">
        <f t="shared" si="5"/>
        <v>50.494355728483796</v>
      </c>
      <c r="N8" s="104">
        <f t="shared" si="6"/>
        <v>-1.4943557284837965</v>
      </c>
      <c r="O8" s="104">
        <f t="shared" si="7"/>
        <v>1.4943557284837965</v>
      </c>
      <c r="P8" s="104">
        <f t="shared" si="8"/>
        <v>3.0497055683342787E-2</v>
      </c>
      <c r="Q8" s="104">
        <f t="shared" si="9"/>
        <v>2.2330990432523383</v>
      </c>
      <c r="R8" s="133">
        <f>SUM($N8:N8)</f>
        <v>-1.4943557284837965</v>
      </c>
      <c r="S8" s="103">
        <f>AVERAGE(O$3:O8)</f>
        <v>2.1528284824333781</v>
      </c>
      <c r="T8" s="103">
        <f>AVERAGE(P$3:P8)</f>
        <v>8.2079298414794694E-2</v>
      </c>
      <c r="U8" s="103">
        <f>AVERAGE(Q$3:Q8)</f>
        <v>8.3971169399043504</v>
      </c>
      <c r="V8" s="103">
        <f t="shared" si="10"/>
        <v>-0.69413598931704079</v>
      </c>
      <c r="AP8" s="42"/>
      <c r="AQ8" s="42"/>
      <c r="AR8" s="42"/>
      <c r="BL8" s="42"/>
      <c r="BM8" s="42"/>
      <c r="BN8" s="42"/>
      <c r="BO8" s="42"/>
      <c r="BP8" s="42"/>
    </row>
    <row r="9" spans="1:68" customFormat="1" ht="16.5" x14ac:dyDescent="0.3">
      <c r="A9" s="59">
        <v>7</v>
      </c>
      <c r="B9" s="122">
        <v>47</v>
      </c>
      <c r="C9" s="126">
        <f t="shared" si="11"/>
        <v>42.75</v>
      </c>
      <c r="D9" s="128">
        <f t="shared" si="0"/>
        <v>39.482518115942035</v>
      </c>
      <c r="E9" s="129">
        <f t="shared" si="2"/>
        <v>1.1904002642886802</v>
      </c>
      <c r="F9" s="130">
        <f t="shared" si="1"/>
        <v>3</v>
      </c>
      <c r="G9" s="130"/>
      <c r="H9" s="130"/>
      <c r="I9" s="123">
        <f t="shared" si="12"/>
        <v>47.040288633420154</v>
      </c>
      <c r="J9" s="114">
        <f t="shared" si="13"/>
        <v>39.448702492248188</v>
      </c>
      <c r="K9" s="114">
        <f t="shared" si="14"/>
        <v>1.2620971535121923</v>
      </c>
      <c r="L9" s="114">
        <f t="shared" si="15"/>
        <v>1.1914206813072159</v>
      </c>
      <c r="M9" s="137">
        <f t="shared" si="5"/>
        <v>48.503688650513396</v>
      </c>
      <c r="N9" s="104">
        <f t="shared" si="6"/>
        <v>-1.5036886505133964</v>
      </c>
      <c r="O9" s="104">
        <f t="shared" si="7"/>
        <v>1.5036886505133964</v>
      </c>
      <c r="P9" s="104">
        <f t="shared" si="8"/>
        <v>3.1993375542838223E-2</v>
      </c>
      <c r="Q9" s="104">
        <f t="shared" si="9"/>
        <v>2.2610795576827991</v>
      </c>
      <c r="R9" s="133">
        <f>SUM($N9:N9)</f>
        <v>-1.5036886505133964</v>
      </c>
      <c r="S9" s="103">
        <f>AVERAGE(O$3:O9)</f>
        <v>2.0600942207305235</v>
      </c>
      <c r="T9" s="103">
        <f>AVERAGE(P$3:P9)</f>
        <v>7.4924166575943779E-2</v>
      </c>
      <c r="U9" s="103">
        <f>AVERAGE(Q$3:Q9)</f>
        <v>7.5205401710155568</v>
      </c>
      <c r="V9" s="103">
        <f t="shared" si="10"/>
        <v>-0.72991256195077237</v>
      </c>
      <c r="AP9" s="42"/>
      <c r="AQ9" s="42"/>
      <c r="AR9" s="42"/>
      <c r="BL9" s="42"/>
      <c r="BM9" s="42"/>
      <c r="BN9" s="42"/>
      <c r="BO9" s="42"/>
      <c r="BP9" s="42"/>
    </row>
    <row r="10" spans="1:68" customFormat="1" ht="16.5" x14ac:dyDescent="0.3">
      <c r="A10" s="59">
        <v>8</v>
      </c>
      <c r="B10" s="122">
        <v>35</v>
      </c>
      <c r="C10" s="126">
        <f t="shared" si="11"/>
        <v>44</v>
      </c>
      <c r="D10" s="128">
        <f t="shared" si="0"/>
        <v>40.743876811594205</v>
      </c>
      <c r="E10" s="129">
        <f t="shared" si="2"/>
        <v>0.85902478455462761</v>
      </c>
      <c r="F10" s="130">
        <f t="shared" si="1"/>
        <v>4</v>
      </c>
      <c r="G10" s="130"/>
      <c r="H10" s="130"/>
      <c r="I10" s="123">
        <f t="shared" si="12"/>
        <v>33.642375770592636</v>
      </c>
      <c r="J10" s="114">
        <f t="shared" si="13"/>
        <v>42.388079193037214</v>
      </c>
      <c r="K10" s="114">
        <f t="shared" si="14"/>
        <v>1.2831667525219073</v>
      </c>
      <c r="L10" s="114">
        <f t="shared" si="15"/>
        <v>0.82570384566397614</v>
      </c>
      <c r="M10" s="137">
        <f t="shared" si="5"/>
        <v>36.059515722185495</v>
      </c>
      <c r="N10" s="104">
        <f t="shared" si="6"/>
        <v>-1.0595157221854947</v>
      </c>
      <c r="O10" s="104">
        <f t="shared" si="7"/>
        <v>1.0595157221854947</v>
      </c>
      <c r="P10" s="104">
        <f t="shared" si="8"/>
        <v>3.027187777672842E-2</v>
      </c>
      <c r="Q10" s="104">
        <f t="shared" si="9"/>
        <v>1.1225735655582505</v>
      </c>
      <c r="R10" s="133">
        <f>SUM($N10:N10)</f>
        <v>-1.0595157221854947</v>
      </c>
      <c r="S10" s="103">
        <f>AVERAGE(O$3:O10)</f>
        <v>1.935021908412395</v>
      </c>
      <c r="T10" s="103">
        <f>AVERAGE(P$3:P10)</f>
        <v>6.9342630476041861E-2</v>
      </c>
      <c r="U10" s="103">
        <f>AVERAGE(Q$3:Q10)</f>
        <v>6.7207943453333936</v>
      </c>
      <c r="V10" s="103">
        <f t="shared" si="10"/>
        <v>-0.54754714537303784</v>
      </c>
      <c r="AP10" s="42"/>
      <c r="AQ10" s="42"/>
      <c r="AR10" s="42"/>
      <c r="BL10" s="42"/>
      <c r="BM10" s="42"/>
      <c r="BN10" s="42"/>
      <c r="BO10" s="42"/>
      <c r="BP10" s="42"/>
    </row>
    <row r="11" spans="1:68" customFormat="1" ht="16.5" x14ac:dyDescent="0.3">
      <c r="A11" s="59">
        <v>9</v>
      </c>
      <c r="B11" s="122">
        <v>42</v>
      </c>
      <c r="C11" s="126">
        <f t="shared" si="11"/>
        <v>45.875</v>
      </c>
      <c r="D11" s="128">
        <f t="shared" si="0"/>
        <v>42.005235507246383</v>
      </c>
      <c r="E11" s="129">
        <f t="shared" si="2"/>
        <v>0.99987536060247828</v>
      </c>
      <c r="F11" s="130">
        <f t="shared" si="1"/>
        <v>1</v>
      </c>
      <c r="G11" s="130"/>
      <c r="H11" s="130"/>
      <c r="I11" s="123">
        <f t="shared" si="12"/>
        <v>36.162026375181505</v>
      </c>
      <c r="J11" s="114">
        <f t="shared" si="13"/>
        <v>48.786532950353589</v>
      </c>
      <c r="K11" s="114">
        <f t="shared" si="14"/>
        <v>1.3474238086492578</v>
      </c>
      <c r="L11" s="114">
        <f t="shared" si="15"/>
        <v>0.86089331338097475</v>
      </c>
      <c r="M11" s="137">
        <f t="shared" si="5"/>
        <v>43.159988147156476</v>
      </c>
      <c r="N11" s="104">
        <f t="shared" si="6"/>
        <v>-1.1599881471564757</v>
      </c>
      <c r="O11" s="104">
        <f t="shared" si="7"/>
        <v>1.1599881471564757</v>
      </c>
      <c r="P11" s="104">
        <f t="shared" si="8"/>
        <v>2.7618765408487518E-2</v>
      </c>
      <c r="Q11" s="104">
        <f t="shared" si="9"/>
        <v>1.3455725015435136</v>
      </c>
      <c r="R11" s="133">
        <f>SUM($N11:N11)</f>
        <v>-1.1599881471564757</v>
      </c>
      <c r="S11" s="103">
        <f>AVERAGE(O$3:O11)</f>
        <v>1.8489070460506261</v>
      </c>
      <c r="T11" s="103">
        <f>AVERAGE(P$3:P11)</f>
        <v>6.4706645468535828E-2</v>
      </c>
      <c r="U11" s="103">
        <f>AVERAGE(Q$3:Q11)</f>
        <v>6.1235474738011852</v>
      </c>
      <c r="V11" s="103">
        <f t="shared" si="10"/>
        <v>-0.62739127401470962</v>
      </c>
      <c r="AP11" s="42"/>
      <c r="AQ11" s="42"/>
      <c r="AR11" s="42"/>
      <c r="BL11" s="42"/>
      <c r="BM11" s="42"/>
      <c r="BN11" s="42"/>
      <c r="BO11" s="42"/>
      <c r="BP11" s="42"/>
    </row>
    <row r="12" spans="1:68" customFormat="1" ht="16.5" x14ac:dyDescent="0.3">
      <c r="A12" s="59">
        <v>10</v>
      </c>
      <c r="B12" s="122">
        <v>55</v>
      </c>
      <c r="C12" s="126">
        <f t="shared" si="11"/>
        <v>46.625</v>
      </c>
      <c r="D12" s="128">
        <f t="shared" si="0"/>
        <v>43.266594202898553</v>
      </c>
      <c r="E12" s="129">
        <f t="shared" si="2"/>
        <v>1.2711885696867584</v>
      </c>
      <c r="F12" s="130">
        <f t="shared" si="1"/>
        <v>2</v>
      </c>
      <c r="G12" s="130"/>
      <c r="H12" s="130"/>
      <c r="I12" s="123">
        <f t="shared" si="12"/>
        <v>48.544346804374527</v>
      </c>
      <c r="J12" s="114">
        <f t="shared" si="13"/>
        <v>49.020387291419468</v>
      </c>
      <c r="K12" s="114">
        <f t="shared" si="14"/>
        <v>1.3334354057085935</v>
      </c>
      <c r="L12" s="114">
        <f t="shared" si="15"/>
        <v>1.121982159647833</v>
      </c>
      <c r="M12" s="137">
        <f t="shared" si="5"/>
        <v>56.496090736247808</v>
      </c>
      <c r="N12" s="104">
        <f t="shared" si="6"/>
        <v>-1.4960907362478082</v>
      </c>
      <c r="O12" s="104">
        <f t="shared" si="7"/>
        <v>1.4960907362478082</v>
      </c>
      <c r="P12" s="104">
        <f t="shared" si="8"/>
        <v>2.7201649749960147E-2</v>
      </c>
      <c r="Q12" s="104">
        <f t="shared" si="9"/>
        <v>2.2382874910865089</v>
      </c>
      <c r="R12" s="133">
        <f>SUM($N12:N12)</f>
        <v>-1.4960907362478082</v>
      </c>
      <c r="S12" s="103">
        <f>AVERAGE(O$3:O12)</f>
        <v>1.8136254150703444</v>
      </c>
      <c r="T12" s="103">
        <f>AVERAGE(P$3:P12)</f>
        <v>6.0956145896678263E-2</v>
      </c>
      <c r="U12" s="103">
        <f>AVERAGE(Q$3:Q12)</f>
        <v>5.7350214755297175</v>
      </c>
      <c r="V12" s="103">
        <f t="shared" si="10"/>
        <v>-0.82491716526247505</v>
      </c>
      <c r="AP12" s="42"/>
      <c r="AQ12" s="42"/>
      <c r="AR12" s="42"/>
      <c r="BL12" s="42"/>
      <c r="BM12" s="42"/>
      <c r="BN12" s="42"/>
      <c r="BO12" s="42"/>
      <c r="BP12" s="42"/>
    </row>
    <row r="13" spans="1:68" customFormat="1" ht="16.5" x14ac:dyDescent="0.3">
      <c r="A13" s="59">
        <v>11</v>
      </c>
      <c r="B13" s="122">
        <v>56</v>
      </c>
      <c r="C13" s="126">
        <f t="shared" si="11"/>
        <v>45.375</v>
      </c>
      <c r="D13" s="128">
        <f t="shared" si="0"/>
        <v>44.52795289855073</v>
      </c>
      <c r="E13" s="129">
        <f t="shared" si="2"/>
        <v>1.2576369753082148</v>
      </c>
      <c r="F13" s="130">
        <f t="shared" si="1"/>
        <v>3</v>
      </c>
      <c r="G13" s="130"/>
      <c r="H13" s="130"/>
      <c r="I13" s="123">
        <f t="shared" si="12"/>
        <v>53.051523979606927</v>
      </c>
      <c r="J13" s="114">
        <f t="shared" si="13"/>
        <v>47.002709352465921</v>
      </c>
      <c r="K13" s="114">
        <f t="shared" si="14"/>
        <v>1.2913394924049526</v>
      </c>
      <c r="L13" s="114">
        <f t="shared" si="15"/>
        <v>1.1914206813072159</v>
      </c>
      <c r="M13" s="137">
        <f t="shared" si="5"/>
        <v>57.538528577840019</v>
      </c>
      <c r="N13" s="104">
        <f t="shared" si="6"/>
        <v>-1.5385285778400188</v>
      </c>
      <c r="O13" s="104">
        <f t="shared" si="7"/>
        <v>1.5385285778400188</v>
      </c>
      <c r="P13" s="104">
        <f t="shared" si="8"/>
        <v>2.747372460428605E-2</v>
      </c>
      <c r="Q13" s="104">
        <f t="shared" si="9"/>
        <v>2.367070184830431</v>
      </c>
      <c r="R13" s="133">
        <f>SUM($N13:N13)</f>
        <v>-1.5385285778400188</v>
      </c>
      <c r="S13" s="103">
        <f>AVERAGE(O$3:O13)</f>
        <v>1.7886166116857694</v>
      </c>
      <c r="T13" s="103">
        <f>AVERAGE(P$3:P13)</f>
        <v>5.7912289415551703E-2</v>
      </c>
      <c r="U13" s="103">
        <f>AVERAGE(Q$3:Q13)</f>
        <v>5.4288440854661459</v>
      </c>
      <c r="V13" s="103">
        <f t="shared" si="10"/>
        <v>-0.86017795417317366</v>
      </c>
      <c r="AP13" s="42"/>
      <c r="AQ13" s="42"/>
      <c r="AR13" s="42"/>
      <c r="BL13" s="42"/>
      <c r="BM13" s="42"/>
      <c r="BN13" s="42"/>
      <c r="BO13" s="42"/>
      <c r="BP13" s="42"/>
    </row>
    <row r="14" spans="1:68" customFormat="1" ht="16.5" x14ac:dyDescent="0.3">
      <c r="A14" s="59">
        <v>12</v>
      </c>
      <c r="B14" s="122">
        <v>32</v>
      </c>
      <c r="C14" s="126">
        <f t="shared" si="11"/>
        <v>44.5</v>
      </c>
      <c r="D14" s="128">
        <f t="shared" si="0"/>
        <v>45.7893115942029</v>
      </c>
      <c r="E14" s="129">
        <f t="shared" si="2"/>
        <v>0.69885304858025687</v>
      </c>
      <c r="F14" s="130">
        <f t="shared" si="1"/>
        <v>4</v>
      </c>
      <c r="G14" s="130"/>
      <c r="H14" s="130"/>
      <c r="I14" s="123">
        <f t="shared" si="12"/>
        <v>37.808410673639422</v>
      </c>
      <c r="J14" s="114">
        <f t="shared" si="13"/>
        <v>38.754815262205454</v>
      </c>
      <c r="K14" s="114">
        <f t="shared" si="14"/>
        <v>1.1715098392185879</v>
      </c>
      <c r="L14" s="114">
        <f t="shared" si="15"/>
        <v>0.82570384566397614</v>
      </c>
      <c r="M14" s="137">
        <f t="shared" si="5"/>
        <v>32.967320179475976</v>
      </c>
      <c r="N14" s="104">
        <f t="shared" si="6"/>
        <v>-0.96732017947597626</v>
      </c>
      <c r="O14" s="104">
        <f t="shared" si="7"/>
        <v>0.96732017947597626</v>
      </c>
      <c r="P14" s="104">
        <f t="shared" si="8"/>
        <v>3.0228755608624258E-2</v>
      </c>
      <c r="Q14" s="104">
        <f t="shared" si="9"/>
        <v>0.93570832962143491</v>
      </c>
      <c r="R14" s="133">
        <f>SUM($N14:N14)</f>
        <v>-0.96732017947597626</v>
      </c>
      <c r="S14" s="103">
        <f>AVERAGE(O$3:O14)</f>
        <v>1.7201752423349532</v>
      </c>
      <c r="T14" s="103">
        <f>AVERAGE(P$3:P14)</f>
        <v>5.5605328264974413E-2</v>
      </c>
      <c r="U14" s="103">
        <f>AVERAGE(Q$3:Q14)</f>
        <v>5.05441610581242</v>
      </c>
      <c r="V14" s="103">
        <f t="shared" si="10"/>
        <v>-0.56233815931622344</v>
      </c>
      <c r="AP14" s="42"/>
      <c r="AQ14" s="42"/>
      <c r="AR14" s="42"/>
      <c r="BL14" s="42"/>
      <c r="BM14" s="42"/>
      <c r="BN14" s="42"/>
      <c r="BO14" s="42"/>
      <c r="BP14" s="42"/>
    </row>
    <row r="15" spans="1:68" customFormat="1" ht="16.5" x14ac:dyDescent="0.3">
      <c r="A15" s="59">
        <v>13</v>
      </c>
      <c r="B15" s="122">
        <v>35</v>
      </c>
      <c r="C15" s="126">
        <f t="shared" si="11"/>
        <v>43.75</v>
      </c>
      <c r="D15" s="128">
        <f t="shared" si="0"/>
        <v>47.050670289855077</v>
      </c>
      <c r="E15" s="129">
        <f t="shared" si="2"/>
        <v>0.74387888173288352</v>
      </c>
      <c r="F15" s="130">
        <f t="shared" si="1"/>
        <v>1</v>
      </c>
      <c r="G15" s="130"/>
      <c r="H15" s="130"/>
      <c r="I15" s="123">
        <f t="shared" si="12"/>
        <v>40.505607442629127</v>
      </c>
      <c r="J15" s="114">
        <f t="shared" si="13"/>
        <v>40.655444125294657</v>
      </c>
      <c r="K15" s="114">
        <f t="shared" si="14"/>
        <v>1.1806688643126755</v>
      </c>
      <c r="L15" s="114">
        <f t="shared" si="15"/>
        <v>0.86089331338097475</v>
      </c>
      <c r="M15" s="137">
        <f t="shared" si="5"/>
        <v>36.016429930603891</v>
      </c>
      <c r="N15" s="104">
        <f t="shared" si="6"/>
        <v>-1.0164299306038913</v>
      </c>
      <c r="O15" s="104">
        <f t="shared" si="7"/>
        <v>1.0164299306038913</v>
      </c>
      <c r="P15" s="104">
        <f t="shared" si="8"/>
        <v>2.9040855160111179E-2</v>
      </c>
      <c r="Q15" s="104">
        <f t="shared" si="9"/>
        <v>1.0331298038274312</v>
      </c>
      <c r="R15" s="133">
        <f>SUM($N15:N15)</f>
        <v>-1.0164299306038913</v>
      </c>
      <c r="S15" s="103">
        <f>AVERAGE(O$3:O15)</f>
        <v>1.6660409875864099</v>
      </c>
      <c r="T15" s="103">
        <f>AVERAGE(P$3:P15)</f>
        <v>5.3561907256908015E-2</v>
      </c>
      <c r="U15" s="103">
        <f>AVERAGE(Q$3:Q15)</f>
        <v>4.7450863902751133</v>
      </c>
      <c r="V15" s="103">
        <f t="shared" si="10"/>
        <v>-0.61008698956223828</v>
      </c>
      <c r="AP15" s="42"/>
      <c r="AQ15" s="42"/>
      <c r="AR15" s="42"/>
      <c r="BL15" s="42"/>
      <c r="BM15" s="42"/>
      <c r="BN15" s="42"/>
      <c r="BO15" s="42"/>
      <c r="BP15" s="42"/>
    </row>
    <row r="16" spans="1:68" customFormat="1" ht="16.5" x14ac:dyDescent="0.3">
      <c r="A16" s="59">
        <v>14</v>
      </c>
      <c r="B16" s="122">
        <v>55</v>
      </c>
      <c r="C16" s="126">
        <f t="shared" si="11"/>
        <v>44.75</v>
      </c>
      <c r="D16" s="128">
        <f t="shared" si="0"/>
        <v>48.312028985507254</v>
      </c>
      <c r="E16" s="129">
        <f t="shared" si="2"/>
        <v>1.1384328324628845</v>
      </c>
      <c r="F16" s="130">
        <f t="shared" si="1"/>
        <v>2</v>
      </c>
      <c r="G16" s="130"/>
      <c r="H16" s="130"/>
      <c r="I16" s="123">
        <f t="shared" si="12"/>
        <v>54.205234618128138</v>
      </c>
      <c r="J16" s="114">
        <f t="shared" si="13"/>
        <v>49.020387291419468</v>
      </c>
      <c r="K16" s="114">
        <f t="shared" si="14"/>
        <v>1.2709160619016158</v>
      </c>
      <c r="L16" s="114">
        <f t="shared" si="15"/>
        <v>1.121982159647833</v>
      </c>
      <c r="M16" s="137">
        <f t="shared" si="5"/>
        <v>56.425945147863494</v>
      </c>
      <c r="N16" s="104">
        <f t="shared" si="6"/>
        <v>-1.4259451478634944</v>
      </c>
      <c r="O16" s="104">
        <f t="shared" si="7"/>
        <v>1.4259451478634944</v>
      </c>
      <c r="P16" s="104">
        <f t="shared" si="8"/>
        <v>2.5926275415699897E-2</v>
      </c>
      <c r="Q16" s="104">
        <f t="shared" si="9"/>
        <v>2.033319564715443</v>
      </c>
      <c r="R16" s="133">
        <f>SUM($N16:N16)</f>
        <v>-1.4259451478634944</v>
      </c>
      <c r="S16" s="103">
        <f>AVERAGE(O$3:O16)</f>
        <v>1.6488912847490589</v>
      </c>
      <c r="T16" s="103">
        <f>AVERAGE(P$3:P16)</f>
        <v>5.1587933553964578E-2</v>
      </c>
      <c r="U16" s="103">
        <f>AVERAGE(Q$3:Q16)</f>
        <v>4.5513887598779936</v>
      </c>
      <c r="V16" s="103">
        <f t="shared" si="10"/>
        <v>-0.86479027516996421</v>
      </c>
      <c r="AP16" s="50"/>
      <c r="AQ16" s="50"/>
      <c r="AR16" s="50"/>
      <c r="AS16" s="3"/>
      <c r="AT16" s="3"/>
      <c r="AU16" s="3"/>
      <c r="AV16" s="3"/>
      <c r="AW16" s="3"/>
      <c r="AX16" s="3"/>
      <c r="AY16" s="3"/>
      <c r="BL16" s="42"/>
      <c r="BM16" s="42"/>
      <c r="BN16" s="42"/>
      <c r="BO16" s="42"/>
      <c r="BP16" s="42"/>
    </row>
    <row r="17" spans="1:68" ht="16.5" x14ac:dyDescent="0.3">
      <c r="A17" s="59">
        <v>15</v>
      </c>
      <c r="B17" s="122">
        <v>50</v>
      </c>
      <c r="C17" s="126">
        <f t="shared" si="11"/>
        <v>47.625</v>
      </c>
      <c r="D17" s="128">
        <f t="shared" si="0"/>
        <v>49.573387681159424</v>
      </c>
      <c r="E17" s="129">
        <f t="shared" si="2"/>
        <v>1.0086056720913328</v>
      </c>
      <c r="F17" s="130">
        <f t="shared" si="1"/>
        <v>3</v>
      </c>
      <c r="G17" s="130"/>
      <c r="H17" s="130"/>
      <c r="I17" s="123">
        <f t="shared" si="12"/>
        <v>59.062759325793706</v>
      </c>
      <c r="J17" s="114">
        <f t="shared" si="13"/>
        <v>41.966704778987435</v>
      </c>
      <c r="K17" s="114">
        <f t="shared" si="14"/>
        <v>1.1663443736801624</v>
      </c>
      <c r="L17" s="114">
        <f t="shared" si="15"/>
        <v>1.1914206813072159</v>
      </c>
      <c r="M17" s="137">
        <f t="shared" si="5"/>
        <v>51.389606808328857</v>
      </c>
      <c r="N17" s="104">
        <f t="shared" si="6"/>
        <v>-1.3896068083288569</v>
      </c>
      <c r="O17" s="104">
        <f t="shared" si="7"/>
        <v>1.3896068083288569</v>
      </c>
      <c r="P17" s="104">
        <f t="shared" si="8"/>
        <v>2.7792136166577136E-2</v>
      </c>
      <c r="Q17" s="104">
        <f t="shared" si="9"/>
        <v>1.9310070817539122</v>
      </c>
      <c r="R17" s="133">
        <f>SUM($N17:N17)</f>
        <v>-1.3896068083288569</v>
      </c>
      <c r="S17" s="103">
        <f>AVERAGE(O$3:O17)</f>
        <v>1.6316056529877121</v>
      </c>
      <c r="T17" s="103">
        <f>AVERAGE(P$3:P17)</f>
        <v>5.0001547061472085E-2</v>
      </c>
      <c r="U17" s="103">
        <f>AVERAGE(Q$3:Q17)</f>
        <v>4.3766966480030556</v>
      </c>
      <c r="V17" s="103">
        <f t="shared" si="10"/>
        <v>-0.85168055515392493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 s="50"/>
      <c r="AQ17" s="50"/>
      <c r="AR17" s="50"/>
      <c r="AS17" s="3"/>
      <c r="AT17" s="3"/>
      <c r="AU17" s="3"/>
      <c r="AV17" s="3"/>
      <c r="AW17" s="3"/>
      <c r="AX17" s="3"/>
      <c r="AY17" s="3"/>
    </row>
    <row r="18" spans="1:68" ht="16.5" x14ac:dyDescent="0.3">
      <c r="A18" s="59">
        <v>16</v>
      </c>
      <c r="B18" s="122">
        <v>46</v>
      </c>
      <c r="C18" s="126">
        <f t="shared" si="11"/>
        <v>47.5</v>
      </c>
      <c r="D18" s="128">
        <f t="shared" si="0"/>
        <v>50.834746376811594</v>
      </c>
      <c r="E18" s="129">
        <f t="shared" si="2"/>
        <v>0.90489287895774817</v>
      </c>
      <c r="F18" s="130">
        <f t="shared" si="1"/>
        <v>4</v>
      </c>
      <c r="G18" s="130"/>
      <c r="H18" s="130"/>
      <c r="I18" s="123">
        <f t="shared" si="12"/>
        <v>41.974445576686215</v>
      </c>
      <c r="J18" s="114">
        <f t="shared" si="13"/>
        <v>55.710046939420344</v>
      </c>
      <c r="K18" s="114">
        <f t="shared" si="14"/>
        <v>1.3243337205026302</v>
      </c>
      <c r="L18" s="114">
        <f t="shared" si="15"/>
        <v>0.82570384566397614</v>
      </c>
      <c r="M18" s="137">
        <f t="shared" si="5"/>
        <v>47.093507445961507</v>
      </c>
      <c r="N18" s="104">
        <f t="shared" si="6"/>
        <v>-1.0935074459615066</v>
      </c>
      <c r="O18" s="104">
        <f t="shared" si="7"/>
        <v>1.0935074459615066</v>
      </c>
      <c r="P18" s="104">
        <f t="shared" si="8"/>
        <v>2.3771900999163188E-2</v>
      </c>
      <c r="Q18" s="104">
        <f t="shared" si="9"/>
        <v>1.1957585343732573</v>
      </c>
      <c r="R18" s="133">
        <f>SUM($N18:N18)</f>
        <v>-1.0935074459615066</v>
      </c>
      <c r="S18" s="103">
        <f>AVERAGE(O$3:O18)</f>
        <v>1.5979745150485742</v>
      </c>
      <c r="T18" s="103">
        <f>AVERAGE(P$3:P18)</f>
        <v>4.8362194182577777E-2</v>
      </c>
      <c r="U18" s="103">
        <f>AVERAGE(Q$3:Q18)</f>
        <v>4.1778880159011926</v>
      </c>
      <c r="V18" s="103">
        <f t="shared" si="10"/>
        <v>-0.68430843900427718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50"/>
      <c r="AQ18" s="50"/>
      <c r="AR18" s="50"/>
      <c r="AS18" s="3"/>
      <c r="AT18" s="3"/>
      <c r="AU18" s="3"/>
      <c r="AV18" s="3"/>
      <c r="AW18" s="3"/>
      <c r="AX18" s="3"/>
      <c r="AY18" s="3"/>
    </row>
    <row r="19" spans="1:68" ht="16.5" x14ac:dyDescent="0.3">
      <c r="A19" s="59">
        <v>17</v>
      </c>
      <c r="B19" s="122">
        <v>44</v>
      </c>
      <c r="C19" s="126">
        <f t="shared" si="11"/>
        <v>47.375</v>
      </c>
      <c r="D19" s="128">
        <f t="shared" si="0"/>
        <v>52.096105072463772</v>
      </c>
      <c r="E19" s="129">
        <f t="shared" si="2"/>
        <v>0.84459289113452174</v>
      </c>
      <c r="F19" s="130">
        <f t="shared" si="1"/>
        <v>1</v>
      </c>
      <c r="G19" s="130"/>
      <c r="H19" s="130"/>
      <c r="I19" s="123">
        <f t="shared" si="12"/>
        <v>44.849188510076743</v>
      </c>
      <c r="J19" s="114">
        <f t="shared" si="13"/>
        <v>51.109701186084706</v>
      </c>
      <c r="K19" s="114">
        <f t="shared" si="14"/>
        <v>1.2499092627683601</v>
      </c>
      <c r="L19" s="114">
        <f t="shared" si="15"/>
        <v>0.86089331338097475</v>
      </c>
      <c r="M19" s="137">
        <f t="shared" si="5"/>
        <v>45.076038526650223</v>
      </c>
      <c r="N19" s="104">
        <f t="shared" si="6"/>
        <v>-1.0760385266502226</v>
      </c>
      <c r="O19" s="104">
        <f t="shared" si="7"/>
        <v>1.0760385266502226</v>
      </c>
      <c r="P19" s="104">
        <f t="shared" si="8"/>
        <v>2.4455421060232331E-2</v>
      </c>
      <c r="Q19" s="104">
        <f t="shared" si="9"/>
        <v>1.1578589108355819</v>
      </c>
      <c r="R19" s="133">
        <f>SUM($N19:N19)</f>
        <v>-1.0760385266502226</v>
      </c>
      <c r="S19" s="103">
        <f>AVERAGE(O$3:O19)</f>
        <v>1.5672723980839653</v>
      </c>
      <c r="T19" s="103">
        <f>AVERAGE(P$3:P19)</f>
        <v>4.6955913410675107E-2</v>
      </c>
      <c r="U19" s="103">
        <f>AVERAGE(Q$3:Q19)</f>
        <v>4.0002392450149804</v>
      </c>
      <c r="V19" s="103">
        <f t="shared" si="10"/>
        <v>-0.68656764960941696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 s="50"/>
      <c r="AQ19" s="50"/>
      <c r="AR19" s="50"/>
      <c r="AS19" s="3"/>
      <c r="AT19" s="3"/>
      <c r="AU19" s="3"/>
      <c r="AV19" s="3"/>
      <c r="AW19" s="3"/>
      <c r="AX19" s="3"/>
      <c r="AY19" s="3"/>
    </row>
    <row r="20" spans="1:68" ht="16.5" x14ac:dyDescent="0.3">
      <c r="A20" s="59">
        <v>18</v>
      </c>
      <c r="B20" s="122">
        <v>45</v>
      </c>
      <c r="C20" s="126">
        <f t="shared" si="11"/>
        <v>48.875</v>
      </c>
      <c r="D20" s="128">
        <f t="shared" si="0"/>
        <v>53.357463768115949</v>
      </c>
      <c r="E20" s="129">
        <f t="shared" si="2"/>
        <v>0.84336842162445513</v>
      </c>
      <c r="F20" s="130">
        <f t="shared" si="1"/>
        <v>2</v>
      </c>
      <c r="G20" s="130"/>
      <c r="H20" s="130"/>
      <c r="I20" s="123">
        <f t="shared" si="12"/>
        <v>59.866122431881735</v>
      </c>
      <c r="J20" s="114">
        <f t="shared" si="13"/>
        <v>40.107589602070476</v>
      </c>
      <c r="K20" s="114">
        <f t="shared" si="14"/>
        <v>1.0960022013488786</v>
      </c>
      <c r="L20" s="114">
        <f t="shared" si="15"/>
        <v>1.121982159647833</v>
      </c>
      <c r="M20" s="137">
        <f t="shared" si="5"/>
        <v>46.229694916848203</v>
      </c>
      <c r="N20" s="104">
        <f t="shared" si="6"/>
        <v>-1.229694916848203</v>
      </c>
      <c r="O20" s="104">
        <f t="shared" si="7"/>
        <v>1.229694916848203</v>
      </c>
      <c r="P20" s="104">
        <f t="shared" si="8"/>
        <v>2.7326553707737844E-2</v>
      </c>
      <c r="Q20" s="104">
        <f t="shared" si="9"/>
        <v>1.5121495885223089</v>
      </c>
      <c r="R20" s="133">
        <f>SUM($N20:N20)</f>
        <v>-1.229694916848203</v>
      </c>
      <c r="S20" s="103">
        <f>AVERAGE(O$3:O20)</f>
        <v>1.5485180935708673</v>
      </c>
      <c r="T20" s="103">
        <f>AVERAGE(P$3:P20)</f>
        <v>4.5865393427178588E-2</v>
      </c>
      <c r="U20" s="103">
        <f>AVERAGE(Q$3:Q20)</f>
        <v>3.8620120418764987</v>
      </c>
      <c r="V20" s="103">
        <f t="shared" si="10"/>
        <v>-0.79411078369290389</v>
      </c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3"/>
      <c r="AT20" s="3"/>
      <c r="AU20" s="3"/>
      <c r="AV20" s="3"/>
      <c r="AW20" s="3"/>
      <c r="AX20" s="3"/>
      <c r="AY20" s="3"/>
    </row>
    <row r="21" spans="1:68" ht="16.5" x14ac:dyDescent="0.3">
      <c r="A21" s="59">
        <v>19</v>
      </c>
      <c r="B21" s="122">
        <v>59</v>
      </c>
      <c r="C21" s="126">
        <f t="shared" si="11"/>
        <v>48.625</v>
      </c>
      <c r="D21" s="128">
        <f t="shared" si="0"/>
        <v>54.618822463768119</v>
      </c>
      <c r="E21" s="129">
        <f t="shared" si="2"/>
        <v>1.0802136944482494</v>
      </c>
      <c r="F21" s="130">
        <f t="shared" si="1"/>
        <v>3</v>
      </c>
      <c r="G21" s="130"/>
      <c r="H21" s="130"/>
      <c r="I21" s="123">
        <f t="shared" si="12"/>
        <v>65.073994671980486</v>
      </c>
      <c r="J21" s="114">
        <f t="shared" si="13"/>
        <v>49.520711639205167</v>
      </c>
      <c r="K21" s="114">
        <f t="shared" si="14"/>
        <v>1.2004799433807676</v>
      </c>
      <c r="L21" s="114">
        <f t="shared" si="15"/>
        <v>1.1914206813072159</v>
      </c>
      <c r="M21" s="137">
        <f t="shared" si="5"/>
        <v>60.430276632038364</v>
      </c>
      <c r="N21" s="104">
        <f t="shared" si="6"/>
        <v>-1.430276632038364</v>
      </c>
      <c r="O21" s="104">
        <f t="shared" si="7"/>
        <v>1.430276632038364</v>
      </c>
      <c r="P21" s="104">
        <f t="shared" si="8"/>
        <v>2.4241976814209559E-2</v>
      </c>
      <c r="Q21" s="104">
        <f t="shared" si="9"/>
        <v>2.0456912441550057</v>
      </c>
      <c r="R21" s="133">
        <f>SUM($N21:N21)</f>
        <v>-1.430276632038364</v>
      </c>
      <c r="S21" s="103">
        <f>AVERAGE(O$3:O21)</f>
        <v>1.5422948587533671</v>
      </c>
      <c r="T21" s="103">
        <f>AVERAGE(P$3:P21)</f>
        <v>4.4727318868601276E-2</v>
      </c>
      <c r="U21" s="103">
        <f>AVERAGE(Q$3:Q21)</f>
        <v>3.7664162104174728</v>
      </c>
      <c r="V21" s="103">
        <f t="shared" si="10"/>
        <v>-0.92736912395237625</v>
      </c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3"/>
      <c r="AT21" s="3"/>
      <c r="AU21" s="3"/>
      <c r="AV21" s="3"/>
      <c r="AW21" s="3"/>
      <c r="AX21" s="3"/>
      <c r="AY21" s="3"/>
    </row>
    <row r="22" spans="1:68" ht="16.5" x14ac:dyDescent="0.3">
      <c r="A22" s="59">
        <v>20</v>
      </c>
      <c r="B22" s="122">
        <v>49</v>
      </c>
      <c r="C22" s="126">
        <f t="shared" si="11"/>
        <v>51.5</v>
      </c>
      <c r="D22" s="128">
        <f t="shared" si="0"/>
        <v>55.880181159420289</v>
      </c>
      <c r="E22" s="129">
        <f t="shared" si="2"/>
        <v>0.87687618370828369</v>
      </c>
      <c r="F22" s="130">
        <f t="shared" si="1"/>
        <v>4</v>
      </c>
      <c r="G22" s="130"/>
      <c r="H22" s="130"/>
      <c r="I22" s="123">
        <f t="shared" si="12"/>
        <v>46.140480479733</v>
      </c>
      <c r="J22" s="114">
        <f t="shared" si="13"/>
        <v>59.343310870252104</v>
      </c>
      <c r="K22" s="114">
        <f t="shared" si="14"/>
        <v>1.3087890182156681</v>
      </c>
      <c r="L22" s="114">
        <f t="shared" si="15"/>
        <v>0.82570384566397614</v>
      </c>
      <c r="M22" s="137">
        <f t="shared" si="5"/>
        <v>50.080672125503462</v>
      </c>
      <c r="N22" s="104">
        <f t="shared" si="6"/>
        <v>-1.0806721255034617</v>
      </c>
      <c r="O22" s="104">
        <f t="shared" si="7"/>
        <v>1.0806721255034617</v>
      </c>
      <c r="P22" s="104">
        <f t="shared" si="8"/>
        <v>2.2054533173540034E-2</v>
      </c>
      <c r="Q22" s="104">
        <f t="shared" si="9"/>
        <v>1.1678522428401696</v>
      </c>
      <c r="R22" s="133">
        <f>SUM($N22:N22)</f>
        <v>-1.0806721255034617</v>
      </c>
      <c r="S22" s="103">
        <f>AVERAGE(O$3:O22)</f>
        <v>1.5192137220908719</v>
      </c>
      <c r="T22" s="103">
        <f>AVERAGE(P$3:P22)</f>
        <v>4.3593679583848209E-2</v>
      </c>
      <c r="U22" s="103">
        <f>AVERAGE(Q$3:Q22)</f>
        <v>3.6364880120386074</v>
      </c>
      <c r="V22" s="103">
        <f t="shared" si="10"/>
        <v>-0.71133646951012808</v>
      </c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3"/>
      <c r="AT22" s="3"/>
      <c r="AU22" s="3"/>
      <c r="AV22" s="3"/>
      <c r="AW22" s="3"/>
      <c r="AX22" s="3"/>
      <c r="AY22" s="3"/>
    </row>
    <row r="23" spans="1:68" ht="16.5" x14ac:dyDescent="0.3">
      <c r="A23" s="59">
        <v>21</v>
      </c>
      <c r="B23" s="122">
        <v>39</v>
      </c>
      <c r="C23" s="126">
        <f t="shared" si="11"/>
        <v>57</v>
      </c>
      <c r="D23" s="128">
        <f t="shared" si="0"/>
        <v>57.141539855072466</v>
      </c>
      <c r="E23" s="129">
        <f t="shared" si="2"/>
        <v>0.68251573371868035</v>
      </c>
      <c r="F23" s="130">
        <f t="shared" si="1"/>
        <v>1</v>
      </c>
      <c r="G23" s="130"/>
      <c r="H23" s="130"/>
      <c r="I23" s="123">
        <f t="shared" si="12"/>
        <v>49.192769577524359</v>
      </c>
      <c r="J23" s="114">
        <f t="shared" si="13"/>
        <v>45.301780596756899</v>
      </c>
      <c r="K23" s="114">
        <f t="shared" si="14"/>
        <v>1.1159618459815952</v>
      </c>
      <c r="L23" s="114">
        <f t="shared" si="15"/>
        <v>0.86089331338097475</v>
      </c>
      <c r="M23" s="137">
        <f t="shared" si="5"/>
        <v>39.960724091193839</v>
      </c>
      <c r="N23" s="104">
        <f t="shared" si="6"/>
        <v>-0.96072409119383906</v>
      </c>
      <c r="O23" s="104">
        <f t="shared" si="7"/>
        <v>0.96072409119383906</v>
      </c>
      <c r="P23" s="104">
        <f t="shared" si="8"/>
        <v>2.4633951056252285E-2</v>
      </c>
      <c r="Q23" s="104">
        <f t="shared" si="9"/>
        <v>0.922990779400228</v>
      </c>
      <c r="R23" s="133">
        <f>SUM($N23:N23)</f>
        <v>-0.96072409119383906</v>
      </c>
      <c r="S23" s="103">
        <f>AVERAGE(O$3:O23)</f>
        <v>1.4926189777624419</v>
      </c>
      <c r="T23" s="103">
        <f>AVERAGE(P$3:P23)</f>
        <v>4.2690835368248407E-2</v>
      </c>
      <c r="U23" s="103">
        <f>AVERAGE(Q$3:Q23)</f>
        <v>3.5072738581034466</v>
      </c>
      <c r="V23" s="103">
        <f t="shared" si="10"/>
        <v>-0.64364992372939223</v>
      </c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3"/>
      <c r="AT23" s="3"/>
      <c r="AU23" s="3"/>
      <c r="AV23" s="3"/>
      <c r="AW23" s="3"/>
      <c r="AX23" s="3"/>
      <c r="AY23" s="3"/>
    </row>
    <row r="24" spans="1:68" ht="16.5" x14ac:dyDescent="0.3">
      <c r="A24" s="59">
        <v>22</v>
      </c>
      <c r="B24" s="122">
        <v>73</v>
      </c>
      <c r="C24" s="126">
        <f t="shared" si="11"/>
        <v>59.875</v>
      </c>
      <c r="D24" s="128">
        <f t="shared" si="0"/>
        <v>58.402898550724643</v>
      </c>
      <c r="E24" s="129">
        <f t="shared" si="2"/>
        <v>1.2499379621817459</v>
      </c>
      <c r="F24" s="130">
        <f t="shared" si="1"/>
        <v>2</v>
      </c>
      <c r="G24" s="130"/>
      <c r="H24" s="130"/>
      <c r="I24" s="123">
        <f t="shared" si="12"/>
        <v>65.527010245635324</v>
      </c>
      <c r="J24" s="114">
        <f t="shared" si="13"/>
        <v>65.06342313224765</v>
      </c>
      <c r="K24" s="114">
        <f t="shared" si="14"/>
        <v>1.350184588415299</v>
      </c>
      <c r="L24" s="114">
        <f t="shared" si="15"/>
        <v>1.121982159647833</v>
      </c>
      <c r="M24" s="137">
        <f t="shared" si="5"/>
        <v>74.514883020433416</v>
      </c>
      <c r="N24" s="104">
        <f t="shared" si="6"/>
        <v>-1.514883020433416</v>
      </c>
      <c r="O24" s="104">
        <f t="shared" si="7"/>
        <v>1.514883020433416</v>
      </c>
      <c r="P24" s="104">
        <f t="shared" si="8"/>
        <v>2.0751822197718029E-2</v>
      </c>
      <c r="Q24" s="104">
        <f t="shared" si="9"/>
        <v>2.2948705655974697</v>
      </c>
      <c r="R24" s="133">
        <f>SUM($N24:N24)</f>
        <v>-1.514883020433416</v>
      </c>
      <c r="S24" s="103">
        <f>AVERAGE(O$3:O24)</f>
        <v>1.4936309797020315</v>
      </c>
      <c r="T24" s="103">
        <f>AVERAGE(P$3:P24)</f>
        <v>4.1693607496860657E-2</v>
      </c>
      <c r="U24" s="103">
        <f>AVERAGE(Q$3:Q24)</f>
        <v>3.4521646175349927</v>
      </c>
      <c r="V24" s="103">
        <f t="shared" si="10"/>
        <v>-1.0142284413085916</v>
      </c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3"/>
      <c r="AT24" s="3"/>
      <c r="AU24" s="3"/>
      <c r="AV24" s="3"/>
      <c r="AW24" s="3"/>
      <c r="AX24" s="3"/>
      <c r="AY24" s="3"/>
    </row>
    <row r="25" spans="1:68" ht="16.5" x14ac:dyDescent="0.3">
      <c r="A25" s="59">
        <v>23</v>
      </c>
      <c r="B25" s="122">
        <v>75</v>
      </c>
      <c r="C25" s="126">
        <f t="shared" si="11"/>
        <v>63.375</v>
      </c>
      <c r="D25" s="128">
        <f t="shared" si="0"/>
        <v>59.664257246376813</v>
      </c>
      <c r="E25" s="129">
        <f t="shared" si="2"/>
        <v>1.2570340009479373</v>
      </c>
      <c r="F25" s="130">
        <f t="shared" si="1"/>
        <v>3</v>
      </c>
      <c r="G25" s="130"/>
      <c r="H25" s="130"/>
      <c r="I25" s="123">
        <f t="shared" si="12"/>
        <v>71.085230018167252</v>
      </c>
      <c r="J25" s="114">
        <f t="shared" si="13"/>
        <v>62.950057168481152</v>
      </c>
      <c r="K25" s="114">
        <f t="shared" si="14"/>
        <v>1.3066762648309405</v>
      </c>
      <c r="L25" s="114">
        <f t="shared" si="15"/>
        <v>1.1914206813072159</v>
      </c>
      <c r="M25" s="137">
        <f t="shared" si="5"/>
        <v>76.556801125692857</v>
      </c>
      <c r="N25" s="104">
        <f t="shared" si="6"/>
        <v>-1.5568011256928571</v>
      </c>
      <c r="O25" s="104">
        <f t="shared" si="7"/>
        <v>1.5568011256928571</v>
      </c>
      <c r="P25" s="104">
        <f t="shared" si="8"/>
        <v>2.0757348342571428E-2</v>
      </c>
      <c r="Q25" s="104">
        <f t="shared" si="9"/>
        <v>2.4236297449585469</v>
      </c>
      <c r="R25" s="133">
        <f>SUM($N25:N25)</f>
        <v>-1.5568011256928571</v>
      </c>
      <c r="S25" s="103">
        <f>AVERAGE(O$3:O25)</f>
        <v>1.4963775077885892</v>
      </c>
      <c r="T25" s="103">
        <f>AVERAGE(P$3:P25)</f>
        <v>4.0783335359717655E-2</v>
      </c>
      <c r="U25" s="103">
        <f>AVERAGE(Q$3:Q25)</f>
        <v>3.4074457100316691</v>
      </c>
      <c r="V25" s="103">
        <f t="shared" si="10"/>
        <v>-1.0403799292556626</v>
      </c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3"/>
      <c r="AT25" s="3"/>
      <c r="AU25" s="3"/>
      <c r="AV25" s="3"/>
      <c r="AW25" s="3"/>
      <c r="AX25" s="3"/>
      <c r="AY25" s="3"/>
    </row>
    <row r="26" spans="1:68" ht="16.5" x14ac:dyDescent="0.3">
      <c r="A26" s="59">
        <v>24</v>
      </c>
      <c r="B26" s="122">
        <v>56</v>
      </c>
      <c r="C26" s="126">
        <f t="shared" si="11"/>
        <v>65.75</v>
      </c>
      <c r="D26" s="128">
        <f t="shared" si="0"/>
        <v>60.92561594202899</v>
      </c>
      <c r="E26" s="129">
        <f t="shared" si="2"/>
        <v>0.91915361271495821</v>
      </c>
      <c r="F26" s="130">
        <f t="shared" si="1"/>
        <v>4</v>
      </c>
      <c r="G26" s="130"/>
      <c r="H26" s="130"/>
      <c r="I26" s="123">
        <f t="shared" si="12"/>
        <v>50.306515382779793</v>
      </c>
      <c r="J26" s="114">
        <f t="shared" si="13"/>
        <v>67.820926708859545</v>
      </c>
      <c r="K26" s="114">
        <f t="shared" si="14"/>
        <v>1.3514488391050561</v>
      </c>
      <c r="L26" s="114">
        <f t="shared" si="15"/>
        <v>0.82570384566397614</v>
      </c>
      <c r="M26" s="137">
        <f t="shared" si="5"/>
        <v>57.115896503667166</v>
      </c>
      <c r="N26" s="104">
        <f t="shared" si="6"/>
        <v>-1.115896503667166</v>
      </c>
      <c r="O26" s="104">
        <f t="shared" si="7"/>
        <v>1.115896503667166</v>
      </c>
      <c r="P26" s="104">
        <f t="shared" si="8"/>
        <v>1.9926723279770821E-2</v>
      </c>
      <c r="Q26" s="104">
        <f t="shared" si="9"/>
        <v>1.2452250068966053</v>
      </c>
      <c r="R26" s="133">
        <f>SUM($N26:N26)</f>
        <v>-1.115896503667166</v>
      </c>
      <c r="S26" s="103">
        <f>AVERAGE(O$3:O26)</f>
        <v>1.4805241326168632</v>
      </c>
      <c r="T26" s="103">
        <f>AVERAGE(P$3:P26)</f>
        <v>3.9914309856386533E-2</v>
      </c>
      <c r="U26" s="103">
        <f>AVERAGE(Q$3:Q26)</f>
        <v>3.3173531807343744</v>
      </c>
      <c r="V26" s="103">
        <f t="shared" si="10"/>
        <v>-0.75371719993161557</v>
      </c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3"/>
      <c r="AT26" s="3"/>
      <c r="AU26" s="3"/>
      <c r="AV26" s="3"/>
      <c r="AW26" s="3"/>
      <c r="AX26" s="3"/>
      <c r="AY26" s="3"/>
    </row>
    <row r="27" spans="1:68" ht="16.5" x14ac:dyDescent="0.3">
      <c r="A27" s="59">
        <v>25</v>
      </c>
      <c r="B27" s="122">
        <v>60</v>
      </c>
      <c r="C27" s="126">
        <f t="shared" si="11"/>
        <v>66.625</v>
      </c>
      <c r="D27" s="128">
        <f t="shared" si="0"/>
        <v>62.186974637681161</v>
      </c>
      <c r="E27" s="129">
        <f t="shared" si="2"/>
        <v>0.96483227154202156</v>
      </c>
      <c r="F27" s="130">
        <f t="shared" si="1"/>
        <v>1</v>
      </c>
      <c r="G27" s="130"/>
      <c r="H27" s="130"/>
      <c r="I27" s="123">
        <f t="shared" si="12"/>
        <v>53.536350644971975</v>
      </c>
      <c r="J27" s="114">
        <f t="shared" si="13"/>
        <v>69.695047071933701</v>
      </c>
      <c r="K27" s="114">
        <f t="shared" si="14"/>
        <v>1.3580145182977135</v>
      </c>
      <c r="L27" s="114">
        <f t="shared" si="15"/>
        <v>0.86089331338097475</v>
      </c>
      <c r="M27" s="137">
        <f t="shared" si="5"/>
        <v>61.169105618276788</v>
      </c>
      <c r="N27" s="104">
        <f t="shared" si="6"/>
        <v>-1.1691056182767881</v>
      </c>
      <c r="O27" s="104">
        <f t="shared" si="7"/>
        <v>1.1691056182767881</v>
      </c>
      <c r="P27" s="104">
        <f t="shared" si="8"/>
        <v>1.9485093637946468E-2</v>
      </c>
      <c r="Q27" s="104">
        <f t="shared" si="9"/>
        <v>1.3668079466863507</v>
      </c>
      <c r="R27" s="133">
        <f>SUM($N27:N27)</f>
        <v>-1.1691056182767881</v>
      </c>
      <c r="S27" s="103">
        <f>AVERAGE(O$3:O27)</f>
        <v>1.4680673920432603</v>
      </c>
      <c r="T27" s="103">
        <f>AVERAGE(P$3:P27)</f>
        <v>3.9097141207648935E-2</v>
      </c>
      <c r="U27" s="103">
        <f>AVERAGE(Q$3:Q27)</f>
        <v>3.2393313713724536</v>
      </c>
      <c r="V27" s="103">
        <f t="shared" si="10"/>
        <v>-0.79635691427600175</v>
      </c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3"/>
      <c r="AT27" s="3"/>
      <c r="AU27" s="3"/>
      <c r="AV27" s="3"/>
      <c r="AW27" s="3"/>
      <c r="AX27" s="3"/>
      <c r="AY27" s="3"/>
    </row>
    <row r="28" spans="1:68" ht="16.5" x14ac:dyDescent="0.3">
      <c r="A28" s="59">
        <v>26</v>
      </c>
      <c r="B28" s="122">
        <v>71</v>
      </c>
      <c r="C28" s="126">
        <f>AVERAGE(AVERAGE(B26:B29),AVERAGE(B27:B30))</f>
        <v>66</v>
      </c>
      <c r="D28" s="128">
        <f t="shared" si="0"/>
        <v>63.448333333333338</v>
      </c>
      <c r="E28" s="129">
        <f t="shared" si="2"/>
        <v>1.1190207255247051</v>
      </c>
      <c r="F28" s="130">
        <f t="shared" si="1"/>
        <v>2</v>
      </c>
      <c r="G28" s="130"/>
      <c r="H28" s="130"/>
      <c r="I28" s="123">
        <f t="shared" si="12"/>
        <v>71.187898059388928</v>
      </c>
      <c r="J28" s="114">
        <f t="shared" si="13"/>
        <v>63.280863594377855</v>
      </c>
      <c r="K28" s="114">
        <f t="shared" si="14"/>
        <v>1.260381958798247</v>
      </c>
      <c r="L28" s="114">
        <f t="shared" si="15"/>
        <v>1.121982159647833</v>
      </c>
      <c r="M28" s="137">
        <f t="shared" si="5"/>
        <v>72.414126072113618</v>
      </c>
      <c r="N28" s="104">
        <f t="shared" si="6"/>
        <v>-1.4141260721136177</v>
      </c>
      <c r="O28" s="104">
        <f t="shared" si="7"/>
        <v>1.4141260721136177</v>
      </c>
      <c r="P28" s="104">
        <f t="shared" si="8"/>
        <v>1.9917268621318561E-2</v>
      </c>
      <c r="Q28" s="104">
        <f t="shared" si="9"/>
        <v>1.9997525478314888</v>
      </c>
      <c r="R28" s="133">
        <f>SUM($N28:N28)</f>
        <v>-1.4141260721136177</v>
      </c>
      <c r="S28" s="103">
        <f>AVERAGE(O$3:O28)</f>
        <v>1.4659927258921202</v>
      </c>
      <c r="T28" s="103">
        <f>AVERAGE(P$3:P28)</f>
        <v>3.8359453800482383E-2</v>
      </c>
      <c r="U28" s="103">
        <f>AVERAGE(Q$3:Q28)</f>
        <v>3.1916552627747241</v>
      </c>
      <c r="V28" s="103">
        <f t="shared" si="10"/>
        <v>-0.96462011518717505</v>
      </c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3"/>
      <c r="AT28" s="3"/>
      <c r="AU28" s="3"/>
      <c r="AV28" s="3"/>
      <c r="AW28" s="3"/>
      <c r="AX28" s="3"/>
      <c r="AY28" s="3"/>
    </row>
    <row r="29" spans="1:68" ht="16.5" x14ac:dyDescent="0.3">
      <c r="A29" s="59">
        <v>27</v>
      </c>
      <c r="B29" s="122">
        <v>84</v>
      </c>
      <c r="C29" s="138"/>
      <c r="D29" s="128">
        <f t="shared" si="0"/>
        <v>64.709692028985501</v>
      </c>
      <c r="E29" s="129">
        <f t="shared" si="2"/>
        <v>1.2981053898753492</v>
      </c>
      <c r="F29" s="130">
        <f t="shared" si="1"/>
        <v>3</v>
      </c>
      <c r="G29" s="130"/>
      <c r="H29" s="130"/>
      <c r="I29" s="123">
        <f t="shared" si="12"/>
        <v>77.096465364354017</v>
      </c>
      <c r="J29" s="114">
        <f t="shared" si="13"/>
        <v>70.504064028698892</v>
      </c>
      <c r="K29" s="114">
        <f t="shared" si="14"/>
        <v>1.3352855098794958</v>
      </c>
      <c r="L29" s="114">
        <f t="shared" si="15"/>
        <v>1.1914206813072159</v>
      </c>
      <c r="M29" s="137">
        <f t="shared" si="5"/>
        <v>85.590886771920296</v>
      </c>
      <c r="N29" s="104">
        <f t="shared" si="6"/>
        <v>-1.5908867719202959</v>
      </c>
      <c r="O29" s="104">
        <f t="shared" si="7"/>
        <v>1.5908867719202959</v>
      </c>
      <c r="P29" s="104">
        <f t="shared" si="8"/>
        <v>1.8939128237146378E-2</v>
      </c>
      <c r="Q29" s="104">
        <f t="shared" si="9"/>
        <v>2.5309207210709799</v>
      </c>
      <c r="R29" s="133">
        <f>SUM($N29:N29)</f>
        <v>-1.5908867719202959</v>
      </c>
      <c r="S29" s="103">
        <f>AVERAGE(O$3:O29)</f>
        <v>1.470618431300571</v>
      </c>
      <c r="T29" s="103">
        <f>AVERAGE(P$3:P29)</f>
        <v>3.7640182483321787E-2</v>
      </c>
      <c r="U29" s="103">
        <f>AVERAGE(Q$3:Q29)</f>
        <v>3.1671836130819933</v>
      </c>
      <c r="V29" s="103">
        <f t="shared" si="10"/>
        <v>-1.0817807923931453</v>
      </c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3"/>
      <c r="AT29" s="3"/>
      <c r="AU29" s="3"/>
      <c r="AV29" s="3"/>
      <c r="AW29" s="3"/>
      <c r="AX29" s="3"/>
      <c r="AY29" s="3"/>
    </row>
    <row r="30" spans="1:68" ht="16.5" x14ac:dyDescent="0.3">
      <c r="A30" s="59">
        <v>28</v>
      </c>
      <c r="B30" s="122">
        <v>42</v>
      </c>
      <c r="C30" s="138"/>
      <c r="D30" s="128">
        <f t="shared" si="0"/>
        <v>65.971050724637678</v>
      </c>
      <c r="E30" s="129">
        <f t="shared" ref="E30" si="16">B30/D30</f>
        <v>0.63664288409331937</v>
      </c>
      <c r="F30" s="130">
        <f t="shared" si="1"/>
        <v>4</v>
      </c>
      <c r="G30" s="130"/>
      <c r="H30" s="130"/>
      <c r="I30" s="123">
        <f>D30*VLOOKUP(F30,$F$3:$H$6,3,0)</f>
        <v>54.472550285826571</v>
      </c>
      <c r="J30" s="114">
        <f t="shared" si="13"/>
        <v>50.865695031644663</v>
      </c>
      <c r="K30" s="114">
        <f t="shared" si="14"/>
        <v>1.0718192970190015</v>
      </c>
      <c r="L30" s="114">
        <f t="shared" si="15"/>
        <v>0.82570384566397614</v>
      </c>
      <c r="M30" s="137">
        <f t="shared" si="5"/>
        <v>42.885005315405451</v>
      </c>
      <c r="N30" s="104">
        <f t="shared" si="6"/>
        <v>-0.88500531540545069</v>
      </c>
      <c r="O30" s="104">
        <f t="shared" si="7"/>
        <v>0.88500531540545069</v>
      </c>
      <c r="P30" s="104">
        <f t="shared" si="8"/>
        <v>2.1071555128701208E-2</v>
      </c>
      <c r="Q30" s="104">
        <f t="shared" si="9"/>
        <v>0.7832344082959013</v>
      </c>
      <c r="R30" s="133">
        <f>SUM($N30:N30)</f>
        <v>-0.88500531540545069</v>
      </c>
      <c r="S30" s="103">
        <f>AVERAGE(O$3:O30)</f>
        <v>1.4497036771614595</v>
      </c>
      <c r="T30" s="103">
        <f>AVERAGE(P$3:P30)</f>
        <v>3.7048445792085341E-2</v>
      </c>
      <c r="U30" s="103">
        <f>AVERAGE(Q$3:Q30)</f>
        <v>3.0820425700539182</v>
      </c>
      <c r="V30" s="103">
        <f t="shared" si="10"/>
        <v>-0.61047325004948849</v>
      </c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3"/>
      <c r="AT30" s="3"/>
      <c r="AU30" s="3"/>
      <c r="AV30" s="3"/>
      <c r="AW30" s="3"/>
      <c r="AX30" s="3"/>
      <c r="AY30" s="3"/>
    </row>
    <row r="31" spans="1:68" ht="16.5" x14ac:dyDescent="0.3">
      <c r="A31" s="59">
        <v>29</v>
      </c>
      <c r="B31"/>
      <c r="C31"/>
      <c r="D31" s="139">
        <f t="shared" si="0"/>
        <v>67.232409420289855</v>
      </c>
      <c r="E31"/>
      <c r="F31" s="130">
        <f t="shared" si="1"/>
        <v>1</v>
      </c>
      <c r="G31"/>
      <c r="H31"/>
      <c r="I31" s="139">
        <f>D31*VLOOKUP(F31,$F$3:$H$6,3,0)</f>
        <v>57.879931712419591</v>
      </c>
      <c r="J31"/>
      <c r="K31"/>
      <c r="L31" s="114">
        <f>(1-$C$40)*L27+$C$40*B27/J27</f>
        <v>0.86089331338097475</v>
      </c>
      <c r="M31" s="104">
        <f>(J30+K30)*L27</f>
        <v>44.712658799175117</v>
      </c>
      <c r="N31" s="94"/>
      <c r="O31" s="104"/>
      <c r="P31" s="94"/>
      <c r="Q31"/>
      <c r="R31"/>
      <c r="S31"/>
      <c r="T31"/>
      <c r="U31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3"/>
      <c r="AT31" s="3"/>
      <c r="AU31" s="3"/>
      <c r="AV31" s="3"/>
      <c r="AW31" s="3"/>
      <c r="AX31" s="3"/>
      <c r="AY31" s="3"/>
      <c r="BL31"/>
      <c r="BM31"/>
      <c r="BN31"/>
      <c r="BO31"/>
      <c r="BP31"/>
    </row>
    <row r="32" spans="1:68" ht="16.5" x14ac:dyDescent="0.3">
      <c r="A32" s="59">
        <v>30</v>
      </c>
      <c r="B32"/>
      <c r="C32"/>
      <c r="D32" s="139">
        <f t="shared" si="0"/>
        <v>68.493768115942032</v>
      </c>
      <c r="E32"/>
      <c r="F32" s="130">
        <f t="shared" si="1"/>
        <v>2</v>
      </c>
      <c r="G32"/>
      <c r="H32"/>
      <c r="I32" s="139">
        <f t="shared" si="12"/>
        <v>76.848785873142532</v>
      </c>
      <c r="J32"/>
      <c r="K32"/>
      <c r="L32" s="114">
        <f>(1-$C$40)*L28+$C$40*B28/J28</f>
        <v>1.121982159647833</v>
      </c>
      <c r="M32" s="104">
        <f>(J30+2*K30)*L28</f>
        <v>59.475526622835929</v>
      </c>
      <c r="N32" s="50"/>
      <c r="O32" s="104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3"/>
      <c r="AT32" s="3"/>
      <c r="AU32" s="3"/>
      <c r="AV32" s="3"/>
      <c r="AW32" s="3"/>
      <c r="AX32" s="3"/>
      <c r="AY32" s="3"/>
      <c r="BL32"/>
      <c r="BM32"/>
      <c r="BN32"/>
      <c r="BO32"/>
      <c r="BP32"/>
    </row>
    <row r="33" spans="1:68" ht="16.5" x14ac:dyDescent="0.3">
      <c r="A33" s="59">
        <v>31</v>
      </c>
      <c r="D33" s="139">
        <f t="shared" si="0"/>
        <v>69.755126811594209</v>
      </c>
      <c r="E33"/>
      <c r="F33" s="130">
        <f t="shared" si="1"/>
        <v>3</v>
      </c>
      <c r="G33"/>
      <c r="H33"/>
      <c r="I33" s="139">
        <f t="shared" si="12"/>
        <v>83.107700710540811</v>
      </c>
      <c r="L33" s="114">
        <f>(1-$C$40)*L29+$C$40*B29/J29</f>
        <v>1.1914206813072159</v>
      </c>
      <c r="M33" s="104">
        <f>(J30+3*K30)*L29</f>
        <v>64.433404061044953</v>
      </c>
      <c r="O33" s="104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3"/>
      <c r="AT33" s="3"/>
      <c r="AU33" s="3"/>
      <c r="AV33" s="3"/>
      <c r="AW33" s="3"/>
      <c r="AX33" s="3"/>
      <c r="AY33" s="3"/>
      <c r="BL33"/>
      <c r="BM33"/>
      <c r="BN33"/>
      <c r="BO33"/>
      <c r="BP33"/>
    </row>
    <row r="34" spans="1:68" ht="16.5" x14ac:dyDescent="0.3">
      <c r="A34" s="59">
        <v>32</v>
      </c>
      <c r="D34" s="139">
        <f t="shared" si="0"/>
        <v>71.016485507246387</v>
      </c>
      <c r="E34"/>
      <c r="F34" s="130">
        <f t="shared" si="1"/>
        <v>4</v>
      </c>
      <c r="G34"/>
      <c r="H34"/>
      <c r="I34" s="139">
        <f t="shared" si="12"/>
        <v>58.638585188873371</v>
      </c>
      <c r="L34" s="114">
        <f>(1-$C$40)*L30+$C$40*B30/J30</f>
        <v>0.82570384566397614</v>
      </c>
      <c r="M34" s="104">
        <f>(J30+4*K30)*L30</f>
        <v>45.540021261621796</v>
      </c>
      <c r="O34" s="104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3"/>
      <c r="AT34" s="3"/>
      <c r="AU34" s="3"/>
      <c r="AV34" s="3"/>
      <c r="AW34" s="3"/>
      <c r="AX34" s="3"/>
      <c r="AY34" s="3"/>
      <c r="BL34"/>
      <c r="BM34"/>
      <c r="BN34"/>
      <c r="BO34"/>
      <c r="BP34"/>
    </row>
    <row r="35" spans="1:68" x14ac:dyDescent="0.25">
      <c r="A35"/>
      <c r="E35"/>
      <c r="F35"/>
      <c r="G35"/>
      <c r="H35"/>
      <c r="I35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3"/>
      <c r="AT35" s="3"/>
      <c r="AU35" s="3"/>
      <c r="AV35" s="3"/>
      <c r="AW35" s="3"/>
      <c r="AX35" s="3"/>
      <c r="AY35" s="3"/>
      <c r="BL35"/>
      <c r="BM35"/>
      <c r="BN35"/>
      <c r="BO35"/>
      <c r="BP35"/>
    </row>
    <row r="36" spans="1:68" x14ac:dyDescent="0.25">
      <c r="A36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3"/>
      <c r="AT36" s="3"/>
      <c r="AU36" s="3"/>
      <c r="AV36" s="3"/>
      <c r="AW36" s="3"/>
      <c r="AX36" s="3"/>
      <c r="AY36" s="3"/>
      <c r="BL36"/>
      <c r="BM36"/>
      <c r="BN36"/>
      <c r="BO36"/>
      <c r="BP36"/>
    </row>
    <row r="37" spans="1:68" x14ac:dyDescent="0.25">
      <c r="A37"/>
      <c r="B37" s="42" t="s">
        <v>79</v>
      </c>
      <c r="C37" s="135">
        <v>4</v>
      </c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3"/>
      <c r="AT37" s="3"/>
      <c r="AU37" s="3"/>
      <c r="AV37" s="3"/>
      <c r="AW37" s="3"/>
      <c r="AX37" s="3"/>
      <c r="AY37" s="3"/>
      <c r="BL37"/>
      <c r="BM37"/>
      <c r="BN37"/>
      <c r="BO37"/>
      <c r="BP37"/>
    </row>
    <row r="38" spans="1:68" x14ac:dyDescent="0.25">
      <c r="A38"/>
      <c r="B38" s="42" t="s">
        <v>137</v>
      </c>
      <c r="C38" s="134">
        <v>1</v>
      </c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3"/>
      <c r="AT38" s="3"/>
      <c r="AU38" s="3"/>
      <c r="AV38" s="3"/>
      <c r="AW38" s="3"/>
      <c r="AX38" s="3"/>
      <c r="AY38" s="3"/>
      <c r="BL38"/>
      <c r="BM38"/>
      <c r="BN38"/>
      <c r="BO38"/>
      <c r="BP38"/>
    </row>
    <row r="39" spans="1:68" x14ac:dyDescent="0.25">
      <c r="A39"/>
      <c r="B39" s="42" t="s">
        <v>135</v>
      </c>
      <c r="C39" s="134">
        <v>1.2561769470046077E-2</v>
      </c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3"/>
      <c r="AT39" s="3"/>
      <c r="AU39" s="3"/>
      <c r="AV39" s="3"/>
      <c r="AW39" s="3"/>
      <c r="AX39" s="3"/>
      <c r="AY39" s="3"/>
      <c r="BL39"/>
      <c r="BM39"/>
      <c r="BN39"/>
      <c r="BO39"/>
      <c r="BP39"/>
    </row>
    <row r="40" spans="1:68" x14ac:dyDescent="0.25">
      <c r="A40"/>
      <c r="B40" s="42" t="s">
        <v>136</v>
      </c>
      <c r="C40" s="134">
        <v>0</v>
      </c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3"/>
      <c r="AT40" s="3"/>
      <c r="AU40" s="3"/>
      <c r="AV40" s="3"/>
      <c r="AW40" s="3"/>
      <c r="AX40" s="3"/>
      <c r="AY40" s="3"/>
      <c r="BL40"/>
      <c r="BM40"/>
      <c r="BN40"/>
      <c r="BO40"/>
      <c r="BP40"/>
    </row>
    <row r="41" spans="1:68" x14ac:dyDescent="0.25">
      <c r="A41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3"/>
      <c r="AT41" s="3"/>
      <c r="AU41" s="3"/>
      <c r="AV41" s="3"/>
      <c r="AW41" s="3"/>
      <c r="AX41" s="3"/>
      <c r="AY41" s="3"/>
      <c r="BL41"/>
      <c r="BM41"/>
      <c r="BN41"/>
      <c r="BO41"/>
      <c r="BP41"/>
    </row>
    <row r="42" spans="1:68" x14ac:dyDescent="0.25">
      <c r="A42"/>
      <c r="B42" s="42" t="s">
        <v>123</v>
      </c>
      <c r="J42"/>
      <c r="K42"/>
      <c r="L42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3"/>
      <c r="AT42" s="3"/>
      <c r="AU42" s="3"/>
      <c r="AV42" s="3"/>
      <c r="AW42" s="3"/>
      <c r="AX42" s="3"/>
      <c r="AY42" s="3"/>
      <c r="BL42"/>
      <c r="BM42"/>
      <c r="BN42"/>
      <c r="BO42"/>
      <c r="BP42"/>
    </row>
    <row r="43" spans="1:68" x14ac:dyDescent="0.25">
      <c r="A43"/>
      <c r="B43" s="42" t="s">
        <v>124</v>
      </c>
      <c r="J43" s="103"/>
      <c r="K43"/>
      <c r="L43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3"/>
      <c r="AT43" s="3"/>
      <c r="AU43" s="3"/>
      <c r="AV43" s="3"/>
      <c r="AW43" s="3"/>
      <c r="AX43" s="3"/>
      <c r="AY43" s="3"/>
      <c r="BL43"/>
      <c r="BM43"/>
      <c r="BN43"/>
      <c r="BO43"/>
      <c r="BP43"/>
    </row>
    <row r="44" spans="1:68" x14ac:dyDescent="0.25">
      <c r="A44"/>
      <c r="B44" s="42" t="s">
        <v>125</v>
      </c>
      <c r="J44"/>
      <c r="K44"/>
      <c r="L44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3"/>
      <c r="AT44" s="3"/>
      <c r="AU44" s="3"/>
      <c r="AV44" s="3"/>
      <c r="AW44" s="3"/>
      <c r="AX44" s="3"/>
      <c r="AY44" s="3"/>
      <c r="BL44"/>
      <c r="BM44"/>
      <c r="BN44"/>
      <c r="BO44"/>
      <c r="BP44"/>
    </row>
    <row r="45" spans="1:68" x14ac:dyDescent="0.25">
      <c r="A45"/>
      <c r="B45" s="108" t="s">
        <v>107</v>
      </c>
      <c r="C45" s="108"/>
      <c r="D45" s="108"/>
      <c r="E45" s="108"/>
      <c r="F45" s="108"/>
      <c r="G45" s="108"/>
      <c r="H45" s="108"/>
      <c r="I45" s="108"/>
      <c r="J45"/>
      <c r="K45"/>
      <c r="L45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3"/>
      <c r="AT45" s="3"/>
      <c r="AU45" s="3"/>
      <c r="AV45" s="3"/>
      <c r="AW45" s="3"/>
      <c r="AX45" s="3"/>
      <c r="AY45" s="3"/>
      <c r="BL45"/>
      <c r="BM45"/>
      <c r="BN45"/>
      <c r="BO45"/>
      <c r="BP45"/>
    </row>
    <row r="46" spans="1:68" x14ac:dyDescent="0.25">
      <c r="A46"/>
      <c r="B46" t="s">
        <v>126</v>
      </c>
      <c r="C46"/>
      <c r="D46"/>
      <c r="E46"/>
      <c r="F46"/>
      <c r="G46"/>
      <c r="H46"/>
      <c r="I46"/>
      <c r="J46"/>
      <c r="K46"/>
      <c r="L46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3"/>
      <c r="AT46" s="3"/>
      <c r="AU46" s="3"/>
      <c r="AV46" s="3"/>
      <c r="AW46" s="3"/>
      <c r="AX46" s="3"/>
      <c r="AY46" s="3"/>
      <c r="BL46"/>
      <c r="BM46"/>
      <c r="BN46"/>
      <c r="BO46"/>
      <c r="BP46"/>
    </row>
    <row r="47" spans="1:68" x14ac:dyDescent="0.25">
      <c r="A47"/>
      <c r="B47" t="s">
        <v>113</v>
      </c>
      <c r="C47"/>
      <c r="D47"/>
      <c r="E47"/>
      <c r="F47"/>
      <c r="G47"/>
      <c r="H47"/>
      <c r="I47"/>
      <c r="J47"/>
      <c r="K47"/>
      <c r="L47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3"/>
      <c r="AT47" s="3"/>
      <c r="AU47" s="3"/>
      <c r="AV47" s="3"/>
      <c r="AW47" s="3"/>
      <c r="AX47" s="3"/>
      <c r="AY47" s="3"/>
      <c r="BL47"/>
      <c r="BM47"/>
      <c r="BN47"/>
      <c r="BO47"/>
      <c r="BP47"/>
    </row>
    <row r="48" spans="1:68" x14ac:dyDescent="0.25">
      <c r="A48"/>
      <c r="B48" t="s">
        <v>127</v>
      </c>
      <c r="C48"/>
      <c r="D48"/>
      <c r="E48"/>
      <c r="F48"/>
      <c r="G48"/>
      <c r="H48"/>
      <c r="I48"/>
      <c r="J48"/>
      <c r="K48"/>
      <c r="L48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3"/>
      <c r="AT48" s="3"/>
      <c r="AU48" s="3"/>
      <c r="AV48" s="3"/>
      <c r="AW48" s="3"/>
      <c r="AX48" s="3"/>
      <c r="AY48" s="3"/>
      <c r="BL48"/>
      <c r="BM48"/>
      <c r="BN48"/>
      <c r="BO48"/>
      <c r="BP48"/>
    </row>
    <row r="49" spans="1:68" x14ac:dyDescent="0.25">
      <c r="A49"/>
      <c r="B49" t="s">
        <v>128</v>
      </c>
      <c r="C49"/>
      <c r="D49"/>
      <c r="E49"/>
      <c r="F49"/>
      <c r="G49"/>
      <c r="H49"/>
      <c r="I49"/>
      <c r="J49"/>
      <c r="K49"/>
      <c r="L49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3"/>
      <c r="AT49" s="3"/>
      <c r="AU49" s="3"/>
      <c r="AV49" s="3"/>
      <c r="AW49" s="3"/>
      <c r="AX49" s="3"/>
      <c r="AY49" s="3"/>
      <c r="BL49"/>
      <c r="BM49"/>
      <c r="BN49"/>
      <c r="BO49"/>
      <c r="BP49"/>
    </row>
    <row r="50" spans="1:68" x14ac:dyDescent="0.25">
      <c r="A50"/>
      <c r="B50" t="s">
        <v>129</v>
      </c>
      <c r="C50"/>
      <c r="D50"/>
      <c r="E50"/>
      <c r="F50"/>
      <c r="G50"/>
      <c r="H50"/>
      <c r="I50"/>
      <c r="J50"/>
      <c r="K50"/>
      <c r="L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3"/>
      <c r="AT50" s="3"/>
      <c r="AU50" s="3"/>
      <c r="AV50" s="3"/>
      <c r="AW50" s="3"/>
      <c r="AX50" s="3"/>
      <c r="AY50" s="3"/>
      <c r="BL50"/>
      <c r="BM50"/>
      <c r="BN50"/>
      <c r="BO50"/>
      <c r="BP50"/>
    </row>
    <row r="51" spans="1:68" x14ac:dyDescent="0.25">
      <c r="A51"/>
      <c r="B51"/>
      <c r="C51"/>
      <c r="D51"/>
      <c r="E51"/>
      <c r="F51"/>
      <c r="G51"/>
      <c r="H51"/>
      <c r="I51"/>
      <c r="J51"/>
      <c r="K51"/>
      <c r="L51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3"/>
      <c r="AT51" s="3"/>
      <c r="AU51" s="3"/>
      <c r="AV51" s="3"/>
      <c r="AW51" s="3"/>
      <c r="AX51" s="3"/>
      <c r="AY51" s="3"/>
      <c r="BL51"/>
      <c r="BM51"/>
      <c r="BN51"/>
      <c r="BO51"/>
      <c r="BP51"/>
    </row>
    <row r="52" spans="1:68" x14ac:dyDescent="0.25">
      <c r="A52"/>
      <c r="B52"/>
      <c r="C52"/>
      <c r="D52"/>
      <c r="E52"/>
      <c r="F52"/>
      <c r="G52"/>
      <c r="H52"/>
      <c r="I52"/>
      <c r="J52"/>
      <c r="K52"/>
      <c r="L52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3"/>
      <c r="AT52" s="3"/>
      <c r="AU52" s="3"/>
      <c r="AV52" s="3"/>
      <c r="AW52" s="3"/>
      <c r="AX52" s="3"/>
      <c r="AY52" s="3"/>
      <c r="BL52"/>
      <c r="BM52"/>
      <c r="BN52"/>
      <c r="BO52"/>
      <c r="BP52"/>
    </row>
    <row r="53" spans="1:68" x14ac:dyDescent="0.25">
      <c r="A53"/>
      <c r="B53"/>
      <c r="C53"/>
      <c r="D53"/>
      <c r="E53"/>
      <c r="F53"/>
      <c r="G53"/>
      <c r="H53"/>
      <c r="I53"/>
      <c r="J53"/>
      <c r="K53"/>
      <c r="L53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3"/>
      <c r="AT53" s="3"/>
      <c r="AU53" s="3"/>
      <c r="AV53" s="3"/>
      <c r="AW53" s="3"/>
      <c r="AX53" s="3"/>
      <c r="AY53" s="3"/>
      <c r="BL53"/>
      <c r="BM53"/>
      <c r="BN53"/>
      <c r="BO53"/>
      <c r="BP53"/>
    </row>
    <row r="54" spans="1:68" x14ac:dyDescent="0.25">
      <c r="A54"/>
      <c r="B54"/>
      <c r="C54"/>
      <c r="D54"/>
      <c r="E54"/>
      <c r="F54"/>
      <c r="G54"/>
      <c r="H54"/>
      <c r="I54"/>
      <c r="J54"/>
      <c r="K54"/>
      <c r="L54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3"/>
      <c r="AT54" s="3"/>
      <c r="AU54" s="3"/>
      <c r="AV54" s="3"/>
      <c r="AW54" s="3"/>
      <c r="AX54" s="3"/>
      <c r="AY54" s="3"/>
      <c r="BL54"/>
      <c r="BM54"/>
      <c r="BN54"/>
      <c r="BO54"/>
      <c r="BP54"/>
    </row>
    <row r="55" spans="1:68" x14ac:dyDescent="0.25">
      <c r="A55"/>
      <c r="B55"/>
      <c r="C55"/>
      <c r="D55"/>
      <c r="E55"/>
      <c r="F55"/>
      <c r="G55"/>
      <c r="H55"/>
      <c r="I55"/>
      <c r="J55"/>
      <c r="K55"/>
      <c r="L55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3"/>
      <c r="AT55" s="3"/>
      <c r="AU55" s="3"/>
      <c r="AV55" s="3"/>
      <c r="AW55" s="3"/>
      <c r="AX55" s="3"/>
      <c r="AY55" s="3"/>
      <c r="BL55"/>
      <c r="BM55"/>
      <c r="BN55"/>
      <c r="BO55"/>
      <c r="BP55"/>
    </row>
    <row r="56" spans="1:68" x14ac:dyDescent="0.25">
      <c r="A56"/>
      <c r="B56"/>
      <c r="C56"/>
      <c r="D56"/>
      <c r="E56"/>
      <c r="F56"/>
      <c r="G56"/>
      <c r="H56"/>
      <c r="I56"/>
      <c r="J56"/>
      <c r="K56"/>
      <c r="L56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3"/>
      <c r="AT56" s="3"/>
      <c r="AU56" s="3"/>
      <c r="AV56" s="3"/>
      <c r="AW56" s="3"/>
      <c r="AX56" s="3"/>
      <c r="AY56" s="3"/>
      <c r="BL56"/>
      <c r="BM56"/>
      <c r="BN56"/>
      <c r="BO56"/>
      <c r="BP56"/>
    </row>
    <row r="57" spans="1:68" x14ac:dyDescent="0.25">
      <c r="A57"/>
      <c r="B57"/>
      <c r="C57"/>
      <c r="D57"/>
      <c r="E57"/>
      <c r="F57"/>
      <c r="G57"/>
      <c r="H57"/>
      <c r="I57"/>
      <c r="J57"/>
      <c r="K57"/>
      <c r="L57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3"/>
      <c r="AT57" s="3"/>
      <c r="AU57" s="3"/>
      <c r="AV57" s="3"/>
      <c r="AW57" s="3"/>
      <c r="AX57" s="3"/>
      <c r="AY57" s="3"/>
      <c r="BL57"/>
      <c r="BM57"/>
      <c r="BN57"/>
      <c r="BO57"/>
      <c r="BP57"/>
    </row>
    <row r="58" spans="1:68" x14ac:dyDescent="0.25">
      <c r="A58"/>
      <c r="B58"/>
      <c r="C58"/>
      <c r="D58"/>
      <c r="E58"/>
      <c r="F58"/>
      <c r="G58"/>
      <c r="H58"/>
      <c r="I58"/>
      <c r="J58"/>
      <c r="K58"/>
      <c r="L58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3"/>
      <c r="AT58" s="3"/>
      <c r="AU58" s="3"/>
      <c r="AV58" s="3"/>
      <c r="AW58" s="3"/>
      <c r="AX58" s="3"/>
      <c r="AY58" s="3"/>
      <c r="BL58"/>
      <c r="BM58"/>
      <c r="BN58"/>
      <c r="BO58"/>
      <c r="BP58"/>
    </row>
    <row r="59" spans="1:68" x14ac:dyDescent="0.25">
      <c r="A59"/>
      <c r="B59"/>
      <c r="C59"/>
      <c r="D59"/>
      <c r="E59"/>
      <c r="F59"/>
      <c r="G59"/>
      <c r="H59"/>
      <c r="I59"/>
      <c r="J59"/>
      <c r="K59"/>
      <c r="L59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3"/>
      <c r="AT59" s="3"/>
      <c r="AU59" s="3"/>
      <c r="AV59" s="3"/>
      <c r="AW59" s="3"/>
      <c r="AX59" s="3"/>
      <c r="AY59" s="3"/>
      <c r="BL59"/>
      <c r="BM59"/>
      <c r="BN59"/>
      <c r="BO59"/>
      <c r="BP59"/>
    </row>
    <row r="60" spans="1:68" x14ac:dyDescent="0.25">
      <c r="A60"/>
      <c r="B60"/>
      <c r="C60"/>
      <c r="D60"/>
      <c r="E60"/>
      <c r="F60"/>
      <c r="G60"/>
      <c r="H60"/>
      <c r="I60"/>
      <c r="J60"/>
      <c r="K60"/>
      <c r="L6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3"/>
      <c r="AT60" s="3"/>
      <c r="AU60" s="3"/>
      <c r="AV60" s="3"/>
      <c r="AW60" s="3"/>
      <c r="AX60" s="3"/>
      <c r="AY60" s="3"/>
      <c r="BL60"/>
      <c r="BM60"/>
      <c r="BN60"/>
      <c r="BO60"/>
      <c r="BP60"/>
    </row>
    <row r="61" spans="1:68" x14ac:dyDescent="0.25">
      <c r="A61"/>
      <c r="B61"/>
      <c r="C61"/>
      <c r="D61"/>
      <c r="E61"/>
      <c r="F61"/>
      <c r="G61"/>
      <c r="H61"/>
      <c r="I61"/>
      <c r="J61"/>
      <c r="K61"/>
      <c r="L61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3"/>
      <c r="AT61" s="3"/>
      <c r="AU61" s="3"/>
      <c r="AV61" s="3"/>
      <c r="AW61" s="3"/>
      <c r="AX61" s="3"/>
      <c r="AY61" s="3"/>
      <c r="BL61"/>
      <c r="BM61"/>
      <c r="BN61"/>
      <c r="BO61"/>
      <c r="BP61"/>
    </row>
    <row r="62" spans="1:68" x14ac:dyDescent="0.25">
      <c r="A62"/>
      <c r="B62"/>
      <c r="C62"/>
      <c r="D62"/>
      <c r="E62"/>
      <c r="F62"/>
      <c r="G62"/>
      <c r="H62"/>
      <c r="I62"/>
      <c r="J62"/>
      <c r="K62"/>
      <c r="L62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3"/>
      <c r="AT62" s="3"/>
      <c r="AU62" s="3"/>
      <c r="AV62" s="3"/>
      <c r="AW62" s="3"/>
      <c r="AX62" s="3"/>
      <c r="AY62" s="3"/>
      <c r="BL62"/>
      <c r="BM62"/>
      <c r="BN62"/>
      <c r="BO62"/>
      <c r="BP62"/>
    </row>
    <row r="63" spans="1:68" x14ac:dyDescent="0.25">
      <c r="A63"/>
      <c r="B63"/>
      <c r="C63"/>
      <c r="D63"/>
      <c r="E63"/>
      <c r="F63"/>
      <c r="G63"/>
      <c r="H63"/>
      <c r="I63"/>
      <c r="J63"/>
      <c r="K63"/>
      <c r="L63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3"/>
      <c r="AT63" s="3"/>
      <c r="AU63" s="3"/>
      <c r="AV63" s="3"/>
      <c r="AW63" s="3"/>
      <c r="AX63" s="3"/>
      <c r="AY63" s="3"/>
      <c r="BL63"/>
      <c r="BM63"/>
      <c r="BN63"/>
      <c r="BO63"/>
      <c r="BP63"/>
    </row>
    <row r="64" spans="1:68" x14ac:dyDescent="0.25">
      <c r="A64"/>
      <c r="B64"/>
      <c r="C64"/>
      <c r="D64"/>
      <c r="E64"/>
      <c r="F64"/>
      <c r="G64"/>
      <c r="H64"/>
      <c r="I64"/>
      <c r="J64"/>
      <c r="K64"/>
      <c r="L64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3"/>
      <c r="AT64" s="3"/>
      <c r="AU64" s="3"/>
      <c r="AV64" s="3"/>
      <c r="AW64" s="3"/>
      <c r="AX64" s="3"/>
      <c r="AY64" s="3"/>
      <c r="BL64"/>
      <c r="BM64"/>
      <c r="BN64"/>
      <c r="BO64"/>
      <c r="BP64"/>
    </row>
    <row r="65" spans="1:68" x14ac:dyDescent="0.25">
      <c r="A65"/>
      <c r="B65"/>
      <c r="C65"/>
      <c r="D65"/>
      <c r="E65"/>
      <c r="F65"/>
      <c r="G65"/>
      <c r="H65"/>
      <c r="I65"/>
      <c r="J65"/>
      <c r="K65"/>
      <c r="L65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3"/>
      <c r="AT65" s="3"/>
      <c r="AU65" s="3"/>
      <c r="AV65" s="3"/>
      <c r="AW65" s="3"/>
      <c r="AX65" s="3"/>
      <c r="AY65" s="3"/>
      <c r="BL65"/>
      <c r="BM65"/>
      <c r="BN65"/>
      <c r="BO65"/>
      <c r="BP65"/>
    </row>
    <row r="66" spans="1:68" x14ac:dyDescent="0.25">
      <c r="A66"/>
      <c r="B66"/>
      <c r="C66"/>
      <c r="D66"/>
      <c r="E66"/>
      <c r="F66"/>
      <c r="G66"/>
      <c r="H66"/>
      <c r="I66"/>
      <c r="J66"/>
      <c r="K66"/>
      <c r="L66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3"/>
      <c r="AT66" s="3"/>
      <c r="AU66" s="3"/>
      <c r="AV66" s="3"/>
      <c r="AW66" s="3"/>
      <c r="AX66" s="3"/>
      <c r="AY66" s="3"/>
      <c r="BL66"/>
      <c r="BM66"/>
      <c r="BN66"/>
      <c r="BO66"/>
      <c r="BP66"/>
    </row>
    <row r="67" spans="1:68" x14ac:dyDescent="0.25">
      <c r="A67"/>
      <c r="B67"/>
      <c r="C67"/>
      <c r="D67"/>
      <c r="E67"/>
      <c r="F67"/>
      <c r="G67"/>
      <c r="H67"/>
      <c r="I67"/>
      <c r="J67"/>
      <c r="K67"/>
      <c r="L67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3"/>
      <c r="AT67" s="3"/>
      <c r="AU67" s="3"/>
      <c r="AV67" s="3"/>
      <c r="AW67" s="3"/>
      <c r="AX67" s="3"/>
      <c r="AY67" s="3"/>
      <c r="BL67"/>
      <c r="BM67"/>
      <c r="BN67"/>
      <c r="BO67"/>
      <c r="BP67"/>
    </row>
    <row r="68" spans="1:68" x14ac:dyDescent="0.25">
      <c r="A68"/>
      <c r="B68"/>
      <c r="C68"/>
      <c r="D68"/>
      <c r="E68"/>
      <c r="F68"/>
      <c r="G68"/>
      <c r="H68"/>
      <c r="I68"/>
      <c r="J68"/>
      <c r="K68"/>
      <c r="L68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3"/>
      <c r="AT68" s="3"/>
      <c r="AU68" s="3"/>
      <c r="AV68" s="3"/>
      <c r="AW68" s="3"/>
      <c r="AX68" s="3"/>
      <c r="AY68" s="3"/>
      <c r="BL68"/>
      <c r="BM68"/>
      <c r="BN68"/>
      <c r="BO68"/>
      <c r="BP68"/>
    </row>
    <row r="69" spans="1:68" x14ac:dyDescent="0.25">
      <c r="A69"/>
      <c r="B69"/>
      <c r="C69"/>
      <c r="D69"/>
      <c r="E69"/>
      <c r="F69"/>
      <c r="G69"/>
      <c r="H69"/>
      <c r="I69"/>
      <c r="J69"/>
      <c r="K69"/>
      <c r="L69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3"/>
      <c r="AT69" s="3"/>
      <c r="AU69" s="3"/>
      <c r="AV69" s="3"/>
      <c r="AW69" s="3"/>
      <c r="AX69" s="3"/>
      <c r="AY69" s="3"/>
      <c r="BL69"/>
      <c r="BM69"/>
      <c r="BN69"/>
      <c r="BO69"/>
      <c r="BP69"/>
    </row>
    <row r="70" spans="1:68" x14ac:dyDescent="0.25">
      <c r="A70"/>
      <c r="B70"/>
      <c r="C70"/>
      <c r="D70"/>
      <c r="E70"/>
      <c r="F70"/>
      <c r="G70"/>
      <c r="H70"/>
      <c r="I70"/>
      <c r="J70"/>
      <c r="K70"/>
      <c r="L7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3"/>
      <c r="AT70" s="3"/>
      <c r="AU70" s="3"/>
      <c r="AV70" s="3"/>
      <c r="AW70" s="3"/>
      <c r="AX70" s="3"/>
      <c r="AY70" s="3"/>
      <c r="BL70"/>
      <c r="BM70"/>
      <c r="BN70"/>
      <c r="BO70"/>
      <c r="BP70"/>
    </row>
    <row r="71" spans="1:68" x14ac:dyDescent="0.25">
      <c r="A71"/>
      <c r="B71"/>
      <c r="C71"/>
      <c r="D71"/>
      <c r="E71"/>
      <c r="F71"/>
      <c r="G71"/>
      <c r="H71"/>
      <c r="I71"/>
      <c r="J71"/>
      <c r="K71"/>
      <c r="L71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3"/>
      <c r="AT71" s="3"/>
      <c r="AU71" s="3"/>
      <c r="AV71" s="3"/>
      <c r="AW71" s="3"/>
      <c r="AX71" s="3"/>
      <c r="AY71" s="3"/>
      <c r="BL71"/>
      <c r="BM71"/>
      <c r="BN71"/>
      <c r="BO71"/>
      <c r="BP71"/>
    </row>
    <row r="72" spans="1:68" x14ac:dyDescent="0.25">
      <c r="A72"/>
      <c r="B72"/>
      <c r="C72"/>
      <c r="D72"/>
      <c r="E72"/>
      <c r="F72"/>
      <c r="G72"/>
      <c r="H72"/>
      <c r="I72"/>
      <c r="J72"/>
      <c r="K72"/>
      <c r="L72"/>
      <c r="BL72"/>
      <c r="BM72"/>
      <c r="BN72"/>
      <c r="BO72"/>
      <c r="BP72"/>
    </row>
    <row r="73" spans="1:68" x14ac:dyDescent="0.25">
      <c r="A73"/>
      <c r="B73"/>
      <c r="C73"/>
      <c r="D73"/>
      <c r="E73"/>
      <c r="F73"/>
      <c r="G73"/>
      <c r="H73"/>
      <c r="I73"/>
      <c r="J73"/>
      <c r="K73"/>
      <c r="L73"/>
      <c r="BL73"/>
      <c r="BM73"/>
      <c r="BN73"/>
      <c r="BO73"/>
      <c r="BP73"/>
    </row>
    <row r="74" spans="1:68" x14ac:dyDescent="0.25">
      <c r="A74"/>
      <c r="B74"/>
      <c r="C74"/>
      <c r="D74"/>
      <c r="E74"/>
      <c r="F74"/>
      <c r="G74"/>
      <c r="H74"/>
      <c r="I74"/>
      <c r="J74"/>
      <c r="K74"/>
      <c r="L74"/>
      <c r="BL74"/>
      <c r="BM74"/>
      <c r="BN74"/>
      <c r="BO74"/>
      <c r="BP74"/>
    </row>
    <row r="75" spans="1:68" x14ac:dyDescent="0.25">
      <c r="A75"/>
      <c r="B75"/>
      <c r="C75"/>
      <c r="D75"/>
      <c r="E75"/>
      <c r="F75"/>
      <c r="G75"/>
      <c r="H75"/>
      <c r="I75"/>
      <c r="J75"/>
      <c r="K75"/>
      <c r="L75"/>
      <c r="BL75"/>
      <c r="BM75"/>
      <c r="BN75"/>
      <c r="BO75"/>
      <c r="BP75"/>
    </row>
    <row r="76" spans="1:68" x14ac:dyDescent="0.25">
      <c r="A76"/>
      <c r="B76"/>
      <c r="C76"/>
      <c r="D76"/>
      <c r="E76"/>
      <c r="F76"/>
      <c r="G76"/>
      <c r="H76"/>
      <c r="I76"/>
      <c r="J76"/>
      <c r="K76"/>
      <c r="L76"/>
      <c r="BL76"/>
      <c r="BM76"/>
      <c r="BN76"/>
      <c r="BO76"/>
      <c r="BP76"/>
    </row>
    <row r="77" spans="1:68" ht="16.5" x14ac:dyDescent="0.3">
      <c r="A77"/>
      <c r="B77"/>
      <c r="C77"/>
      <c r="D77"/>
      <c r="E77"/>
      <c r="F77"/>
      <c r="G77"/>
      <c r="H77"/>
      <c r="I77"/>
      <c r="J77"/>
      <c r="K77"/>
      <c r="L77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BL77"/>
      <c r="BM77"/>
      <c r="BN77"/>
      <c r="BO77"/>
      <c r="BP77"/>
    </row>
    <row r="78" spans="1:68" ht="16.5" x14ac:dyDescent="0.3">
      <c r="A78"/>
      <c r="B78"/>
      <c r="C78"/>
      <c r="D78"/>
      <c r="E78"/>
      <c r="F78"/>
      <c r="G78"/>
      <c r="H78"/>
      <c r="I78"/>
      <c r="J78"/>
      <c r="K78"/>
      <c r="L78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BL78"/>
      <c r="BM78"/>
      <c r="BN78"/>
      <c r="BO78"/>
      <c r="BP78"/>
    </row>
    <row r="79" spans="1:68" ht="16.5" x14ac:dyDescent="0.3">
      <c r="A79"/>
      <c r="B79"/>
      <c r="C79"/>
      <c r="D79"/>
      <c r="E79"/>
      <c r="F79"/>
      <c r="G79"/>
      <c r="H79"/>
      <c r="I79"/>
      <c r="J79"/>
      <c r="K79"/>
      <c r="L79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BL79"/>
      <c r="BM79"/>
      <c r="BN79"/>
      <c r="BO79"/>
      <c r="BP79"/>
    </row>
    <row r="80" spans="1:68" ht="16.5" x14ac:dyDescent="0.3">
      <c r="A80"/>
      <c r="B80"/>
      <c r="C80"/>
      <c r="D80"/>
      <c r="E80"/>
      <c r="F80"/>
      <c r="G80"/>
      <c r="H80"/>
      <c r="I80"/>
      <c r="J80"/>
      <c r="K80"/>
      <c r="L80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BL80"/>
      <c r="BM80"/>
      <c r="BN80"/>
      <c r="BO80"/>
      <c r="BP80"/>
    </row>
    <row r="81" spans="1:68" ht="16.5" x14ac:dyDescent="0.3">
      <c r="A81"/>
      <c r="B81"/>
      <c r="C81"/>
      <c r="D81"/>
      <c r="E81"/>
      <c r="F81"/>
      <c r="G81"/>
      <c r="H81"/>
      <c r="I81"/>
      <c r="J81"/>
      <c r="K81"/>
      <c r="L81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BL81"/>
      <c r="BM81"/>
      <c r="BN81"/>
      <c r="BO81"/>
      <c r="BP81"/>
    </row>
    <row r="82" spans="1:68" ht="16.5" x14ac:dyDescent="0.3">
      <c r="A82"/>
      <c r="B82"/>
      <c r="C82"/>
      <c r="D82"/>
      <c r="E82"/>
      <c r="F82"/>
      <c r="G82"/>
      <c r="H82"/>
      <c r="I82"/>
      <c r="J82"/>
      <c r="K82"/>
      <c r="L82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BL82"/>
      <c r="BM82"/>
      <c r="BN82"/>
      <c r="BO82"/>
      <c r="BP82"/>
    </row>
    <row r="83" spans="1:68" ht="16.5" x14ac:dyDescent="0.3">
      <c r="A83"/>
      <c r="B83"/>
      <c r="C83"/>
      <c r="D83"/>
      <c r="E83"/>
      <c r="F83"/>
      <c r="G83"/>
      <c r="H83"/>
      <c r="I83"/>
      <c r="J83"/>
      <c r="K83"/>
      <c r="L83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BL83"/>
      <c r="BM83"/>
      <c r="BN83"/>
      <c r="BO83"/>
      <c r="BP83"/>
    </row>
    <row r="84" spans="1:68" ht="16.5" x14ac:dyDescent="0.3">
      <c r="A84"/>
      <c r="B84"/>
      <c r="C84"/>
      <c r="D84"/>
      <c r="E84"/>
      <c r="F84"/>
      <c r="G84"/>
      <c r="H84"/>
      <c r="I84"/>
      <c r="J84"/>
      <c r="K84"/>
      <c r="L84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BL84"/>
      <c r="BM84"/>
      <c r="BN84"/>
      <c r="BO84"/>
      <c r="BP84"/>
    </row>
    <row r="85" spans="1:68" ht="16.5" x14ac:dyDescent="0.3">
      <c r="A85"/>
      <c r="B85"/>
      <c r="C85"/>
      <c r="D85"/>
      <c r="E85"/>
      <c r="F85"/>
      <c r="G85"/>
      <c r="H85"/>
      <c r="I85"/>
      <c r="J85"/>
      <c r="K85"/>
      <c r="L85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BL85"/>
      <c r="BM85"/>
      <c r="BN85"/>
      <c r="BO85"/>
      <c r="BP85"/>
    </row>
    <row r="86" spans="1:68" ht="16.5" x14ac:dyDescent="0.3">
      <c r="A86"/>
      <c r="B86"/>
      <c r="C86"/>
      <c r="D86"/>
      <c r="E86"/>
      <c r="F86"/>
      <c r="G86"/>
      <c r="H86"/>
      <c r="I86"/>
      <c r="J86"/>
      <c r="K86"/>
      <c r="L8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</row>
    <row r="87" spans="1:68" ht="16.5" x14ac:dyDescent="0.3">
      <c r="A87"/>
      <c r="B87"/>
      <c r="C87"/>
      <c r="D87"/>
      <c r="E87"/>
      <c r="F87"/>
      <c r="G87"/>
      <c r="H87"/>
      <c r="I87"/>
      <c r="J87"/>
      <c r="K87"/>
      <c r="L87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</row>
    <row r="88" spans="1:68" ht="16.5" x14ac:dyDescent="0.3">
      <c r="A88"/>
      <c r="B88"/>
      <c r="C88"/>
      <c r="D88"/>
      <c r="E88"/>
      <c r="F88"/>
      <c r="G88"/>
      <c r="H88"/>
      <c r="I88"/>
      <c r="J88"/>
      <c r="K88"/>
      <c r="L88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</row>
    <row r="89" spans="1:68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68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68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68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68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68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68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68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</sheetData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B2F0-3C85-4409-A758-C595FC63A728}">
  <dimension ref="A1:BP298"/>
  <sheetViews>
    <sheetView zoomScale="75" zoomScaleNormal="75" workbookViewId="0">
      <selection activeCell="L11" sqref="L11"/>
    </sheetView>
  </sheetViews>
  <sheetFormatPr defaultColWidth="9.140625" defaultRowHeight="15" x14ac:dyDescent="0.25"/>
  <cols>
    <col min="1" max="1" width="4.5703125" style="42" bestFit="1" customWidth="1"/>
    <col min="2" max="2" width="17" style="42" customWidth="1"/>
    <col min="3" max="3" width="14.140625" style="42" bestFit="1" customWidth="1"/>
    <col min="4" max="4" width="11.7109375" style="42" bestFit="1" customWidth="1"/>
    <col min="5" max="5" width="9" style="42" bestFit="1" customWidth="1"/>
    <col min="6" max="6" width="5.140625" style="42" bestFit="1" customWidth="1"/>
    <col min="7" max="8" width="11.85546875" style="42" bestFit="1" customWidth="1"/>
    <col min="9" max="9" width="12.85546875" style="42" bestFit="1" customWidth="1"/>
    <col min="10" max="11" width="9.7109375" style="42" customWidth="1"/>
    <col min="12" max="12" width="11" style="42" bestFit="1" customWidth="1"/>
    <col min="13" max="13" width="20.5703125" style="42" bestFit="1" customWidth="1"/>
    <col min="14" max="16" width="9.7109375" style="42" customWidth="1"/>
    <col min="17" max="17" width="13.28515625" style="42" bestFit="1" customWidth="1"/>
    <col min="18" max="18" width="12.140625" style="42" bestFit="1" customWidth="1"/>
    <col min="19" max="19" width="13.85546875" style="42" bestFit="1" customWidth="1"/>
    <col min="20" max="20" width="12.42578125" style="42" bestFit="1" customWidth="1"/>
    <col min="21" max="21" width="12.42578125" style="42" customWidth="1"/>
    <col min="22" max="22" width="12.140625" style="42" bestFit="1" customWidth="1"/>
    <col min="23" max="26" width="9.28515625" style="42" bestFit="1" customWidth="1"/>
    <col min="27" max="28" width="9.140625" style="42"/>
    <col min="29" max="29" width="9.28515625" style="42" bestFit="1" customWidth="1"/>
    <col min="30" max="40" width="9.140625" style="42"/>
    <col min="41" max="41" width="9.140625" style="42" customWidth="1"/>
    <col min="42" max="44" width="9.140625" style="42"/>
    <col min="45" max="45" width="9.28515625" bestFit="1" customWidth="1"/>
    <col min="46" max="46" width="14" customWidth="1"/>
    <col min="47" max="47" width="12.28515625" customWidth="1"/>
    <col min="48" max="48" width="10.140625" bestFit="1" customWidth="1"/>
    <col min="49" max="49" width="10.140625" customWidth="1"/>
    <col min="50" max="52" width="9.28515625" customWidth="1"/>
    <col min="53" max="53" width="9.28515625" bestFit="1" customWidth="1"/>
    <col min="54" max="54" width="12.28515625" bestFit="1" customWidth="1"/>
    <col min="64" max="16384" width="9.140625" style="42"/>
  </cols>
  <sheetData>
    <row r="1" spans="1:68" customFormat="1" ht="17.25" thickBot="1" x14ac:dyDescent="0.35">
      <c r="A1" s="111" t="s">
        <v>4</v>
      </c>
      <c r="B1" s="112" t="s">
        <v>104</v>
      </c>
      <c r="C1" s="113" t="s">
        <v>130</v>
      </c>
      <c r="D1" s="113" t="s">
        <v>131</v>
      </c>
      <c r="E1" s="113" t="s">
        <v>132</v>
      </c>
      <c r="F1" s="113" t="s">
        <v>20</v>
      </c>
      <c r="G1" s="113" t="s">
        <v>133</v>
      </c>
      <c r="H1" s="113" t="s">
        <v>134</v>
      </c>
      <c r="I1" s="113" t="s">
        <v>139</v>
      </c>
      <c r="J1" s="94" t="s">
        <v>59</v>
      </c>
      <c r="K1" s="94" t="s">
        <v>19</v>
      </c>
      <c r="L1" s="94" t="s">
        <v>106</v>
      </c>
      <c r="M1" s="1" t="s">
        <v>140</v>
      </c>
      <c r="N1" s="1" t="s">
        <v>3</v>
      </c>
      <c r="O1" s="1" t="s">
        <v>2</v>
      </c>
      <c r="P1" s="1" t="s">
        <v>138</v>
      </c>
      <c r="Q1" s="1" t="s">
        <v>101</v>
      </c>
      <c r="R1" s="42" t="s">
        <v>105</v>
      </c>
      <c r="S1" s="42" t="s">
        <v>1</v>
      </c>
      <c r="T1" s="42" t="s">
        <v>103</v>
      </c>
      <c r="U1" s="42" t="s">
        <v>102</v>
      </c>
      <c r="V1" s="50" t="s">
        <v>23</v>
      </c>
    </row>
    <row r="2" spans="1:68" customFormat="1" ht="16.5" x14ac:dyDescent="0.3">
      <c r="A2" s="50">
        <v>0</v>
      </c>
      <c r="B2" s="50"/>
      <c r="C2" s="127">
        <f>INTERCEPT($C$5:$C$12,$A$5:$A$12)</f>
        <v>18438.988095238095</v>
      </c>
      <c r="D2" s="127">
        <f>SLOPE($C$5:$C$12,$A$5:$A$12)</f>
        <v>523.80952380952385</v>
      </c>
      <c r="E2" s="50"/>
      <c r="F2" s="50"/>
      <c r="G2" s="50"/>
      <c r="H2" s="50"/>
      <c r="I2" s="50"/>
      <c r="J2" s="136">
        <f>C2</f>
        <v>18438.988095238095</v>
      </c>
      <c r="K2" s="136">
        <f>D2</f>
        <v>523.80952380952385</v>
      </c>
      <c r="L2" s="113"/>
      <c r="M2" s="74"/>
      <c r="N2" s="74"/>
      <c r="O2" s="74"/>
      <c r="P2" s="74"/>
      <c r="Q2" s="74"/>
      <c r="R2" s="42"/>
      <c r="AP2" s="42"/>
      <c r="AQ2" s="42"/>
      <c r="AR2" s="42"/>
      <c r="BL2" s="42"/>
      <c r="BM2" s="42"/>
      <c r="BN2" s="42"/>
      <c r="BO2" s="42"/>
      <c r="BP2" s="42"/>
    </row>
    <row r="3" spans="1:68" customFormat="1" ht="16.5" x14ac:dyDescent="0.3">
      <c r="A3" s="59">
        <v>1</v>
      </c>
      <c r="B3" s="122">
        <v>8000</v>
      </c>
      <c r="C3" s="125"/>
      <c r="D3" s="128">
        <f t="shared" ref="D3:D14" si="0">$C$2+$D$2*A3</f>
        <v>18962.797619047618</v>
      </c>
      <c r="E3" s="129">
        <f>B3/D3</f>
        <v>0.42187867849015148</v>
      </c>
      <c r="F3" s="130">
        <f t="shared" ref="F3:F14" si="1">IF(MOD(A3,$C$37)&gt;0,MOD(A3,$C$37),$C$37)</f>
        <v>1</v>
      </c>
      <c r="G3" s="131">
        <f>AVERAGEIF($F$3:$F$30,F3,$E$3:$E$30)</f>
        <v>0.47168067193938779</v>
      </c>
      <c r="H3" s="131">
        <f>G3/AVERAGE($G$3:$G$6)</f>
        <v>0.47283758187169111</v>
      </c>
      <c r="I3" s="123">
        <f>D3*VLOOKUP(F3,$F$3:$H$6,3,0)</f>
        <v>8966.3233717127368</v>
      </c>
      <c r="J3" s="115">
        <f>(1-$C$38)*SUM(J2:K2)+$C$38*B3/L3</f>
        <v>18860.614183470476</v>
      </c>
      <c r="K3" s="115">
        <f>(1-$C$39)*K2+$C$39*(J3-J2)</f>
        <v>513.59118025180953</v>
      </c>
      <c r="L3" s="116">
        <f>H3</f>
        <v>0.47283758187169111</v>
      </c>
      <c r="M3" s="137">
        <f>(J2+K2)*L3</f>
        <v>8966.3233717127368</v>
      </c>
      <c r="N3" s="104">
        <f>B3-M3</f>
        <v>-966.32337171273684</v>
      </c>
      <c r="O3" s="104">
        <f>ABS(N3)</f>
        <v>966.32337171273684</v>
      </c>
      <c r="P3" s="104">
        <f>O3/B3</f>
        <v>0.12079042146409211</v>
      </c>
      <c r="Q3" s="104">
        <f>N3^2</f>
        <v>933780.85871827218</v>
      </c>
      <c r="R3" s="133">
        <f>SUM($N3:N3)</f>
        <v>-966.32337171273684</v>
      </c>
      <c r="S3" s="103">
        <f>AVERAGE(O$3:O3)</f>
        <v>966.32337171273684</v>
      </c>
      <c r="T3" s="103">
        <f>AVERAGE(P$3:P3)</f>
        <v>0.12079042146409211</v>
      </c>
      <c r="U3" s="103">
        <f>AVERAGE(Q$3:Q3)</f>
        <v>933780.85871827218</v>
      </c>
      <c r="V3" s="103">
        <f>R3/S3</f>
        <v>-1</v>
      </c>
      <c r="AP3" s="42"/>
      <c r="AQ3" s="42"/>
      <c r="AR3" s="42"/>
      <c r="BL3" s="42"/>
      <c r="BM3" s="42"/>
      <c r="BN3" s="42"/>
      <c r="BO3" s="42"/>
      <c r="BP3" s="42"/>
    </row>
    <row r="4" spans="1:68" customFormat="1" ht="16.5" x14ac:dyDescent="0.3">
      <c r="A4" s="59">
        <v>2</v>
      </c>
      <c r="B4" s="122">
        <v>13000</v>
      </c>
      <c r="C4" s="125"/>
      <c r="D4" s="128">
        <f t="shared" si="0"/>
        <v>19486.607142857145</v>
      </c>
      <c r="E4" s="129">
        <f t="shared" ref="E4:E14" si="2">B4/D4</f>
        <v>0.66712485681557843</v>
      </c>
      <c r="F4" s="130">
        <f t="shared" si="1"/>
        <v>2</v>
      </c>
      <c r="G4" s="131">
        <f t="shared" ref="G4:G6" si="3">AVERAGEIF($F$3:$F$30,F4,$E$3:$E$30)</f>
        <v>0.68340443601506251</v>
      </c>
      <c r="H4" s="131">
        <f>G4/AVERAGE($G$3:$G$6)</f>
        <v>0.68508064923905398</v>
      </c>
      <c r="I4" s="123">
        <f>D4*VLOOKUP(F4,$F$3:$H$6,3,0)</f>
        <v>13349.89747289496</v>
      </c>
      <c r="J4" s="115">
        <f>(1-$C$38)*(J3+K3)+$C$38*(B4/L4)</f>
        <v>19354.288497775717</v>
      </c>
      <c r="K4" s="115">
        <f>(1-$C$39)*K3+$C$39*(J4-J3)</f>
        <v>511.59949365715272</v>
      </c>
      <c r="L4" s="116">
        <f t="shared" ref="L4:L6" si="4">H4</f>
        <v>0.68508064923905398</v>
      </c>
      <c r="M4" s="137">
        <f t="shared" ref="M4:M13" si="5">(J4+K4)*L4</f>
        <v>13609.735442881156</v>
      </c>
      <c r="N4" s="104">
        <f t="shared" ref="N4:N14" si="6">B4-M4</f>
        <v>-609.7354428811559</v>
      </c>
      <c r="O4" s="104">
        <f t="shared" ref="O4:O14" si="7">ABS(N4)</f>
        <v>609.7354428811559</v>
      </c>
      <c r="P4" s="104">
        <f t="shared" ref="P4:P14" si="8">O4/B4</f>
        <v>4.6902726375473533E-2</v>
      </c>
      <c r="Q4" s="104">
        <f t="shared" ref="Q4:Q14" si="9">N4^2</f>
        <v>371777.31030547933</v>
      </c>
      <c r="R4" s="133">
        <f>SUM($N4:N4)</f>
        <v>-609.7354428811559</v>
      </c>
      <c r="S4" s="103">
        <f>AVERAGE(O$3:O4)</f>
        <v>788.02940729694637</v>
      </c>
      <c r="T4" s="103">
        <f>AVERAGE(P$3:P4)</f>
        <v>8.3846573919782813E-2</v>
      </c>
      <c r="U4" s="103">
        <f>AVERAGE(Q$3:Q4)</f>
        <v>652779.08451187576</v>
      </c>
      <c r="V4" s="103">
        <f t="shared" ref="V4:V14" si="10">R4/S4</f>
        <v>-0.77374706734947329</v>
      </c>
      <c r="AP4" s="42"/>
      <c r="AQ4" s="42"/>
      <c r="AR4" s="42"/>
      <c r="BL4" s="42"/>
      <c r="BM4" s="42"/>
      <c r="BN4" s="42"/>
      <c r="BO4" s="42"/>
      <c r="BP4" s="42"/>
    </row>
    <row r="5" spans="1:68" customFormat="1" ht="16.5" x14ac:dyDescent="0.3">
      <c r="A5" s="59">
        <v>3</v>
      </c>
      <c r="B5" s="122">
        <v>23000</v>
      </c>
      <c r="C5" s="126">
        <f>AVERAGE(AVERAGE(B3:B6),AVERAGE(B4:B7))</f>
        <v>19750</v>
      </c>
      <c r="D5" s="128">
        <f t="shared" si="0"/>
        <v>20010.416666666668</v>
      </c>
      <c r="E5" s="129">
        <f t="shared" si="2"/>
        <v>1.1494013534617387</v>
      </c>
      <c r="F5" s="130">
        <f t="shared" si="1"/>
        <v>3</v>
      </c>
      <c r="G5" s="131">
        <f t="shared" si="3"/>
        <v>1.1707081255011917</v>
      </c>
      <c r="H5" s="131">
        <f>G5/AVERAGE($G$3:$G$6)</f>
        <v>1.173579567853603</v>
      </c>
      <c r="I5" s="123">
        <f>D5*VLOOKUP(F5,$F$3:$H$6,3,0)</f>
        <v>23483.816144237204</v>
      </c>
      <c r="J5" s="115">
        <f>(1-$C$38)*(J4+K4)+$C$38*(B5/L5)</f>
        <v>19852.501585746351</v>
      </c>
      <c r="K5" s="115">
        <f>(1-$C$39)*K4+$C$39*(J5-J4)</f>
        <v>510.26085308850094</v>
      </c>
      <c r="L5" s="116">
        <f t="shared" si="4"/>
        <v>1.173579567853603</v>
      </c>
      <c r="M5" s="137">
        <f t="shared" si="5"/>
        <v>23897.321943273386</v>
      </c>
      <c r="N5" s="104">
        <f t="shared" si="6"/>
        <v>-897.32194327338584</v>
      </c>
      <c r="O5" s="104">
        <f t="shared" si="7"/>
        <v>897.32194327338584</v>
      </c>
      <c r="P5" s="104">
        <f t="shared" si="8"/>
        <v>3.9013997533625472E-2</v>
      </c>
      <c r="Q5" s="104">
        <f t="shared" si="9"/>
        <v>805186.66987992544</v>
      </c>
      <c r="R5" s="133">
        <f>SUM($N5:N5)</f>
        <v>-897.32194327338584</v>
      </c>
      <c r="S5" s="103">
        <f>AVERAGE(O$3:O5)</f>
        <v>824.4602526224262</v>
      </c>
      <c r="T5" s="103">
        <f>AVERAGE(P$3:P5)</f>
        <v>6.8902381791063699E-2</v>
      </c>
      <c r="U5" s="103">
        <f>AVERAGE(Q$3:Q5)</f>
        <v>703581.6129678922</v>
      </c>
      <c r="V5" s="103">
        <f t="shared" si="10"/>
        <v>-1.0883750191949251</v>
      </c>
      <c r="Z5">
        <f>INTERCEPT($B$3:$B$30,$A$3:$A$30)</f>
        <v>12015.151515151514</v>
      </c>
      <c r="AA5">
        <f>SLOPE($B$3:$B$30,$A$3:$A$30)</f>
        <v>1548.951048951049</v>
      </c>
      <c r="AP5" s="42"/>
      <c r="AQ5" s="42"/>
      <c r="AR5" s="42"/>
      <c r="BL5" s="42"/>
      <c r="BM5" s="42"/>
      <c r="BN5" s="42"/>
      <c r="BO5" s="42"/>
      <c r="BP5" s="42"/>
    </row>
    <row r="6" spans="1:68" customFormat="1" ht="16.5" x14ac:dyDescent="0.3">
      <c r="A6" s="59">
        <v>4</v>
      </c>
      <c r="B6" s="122">
        <v>34000</v>
      </c>
      <c r="C6" s="126">
        <f t="shared" ref="C6:C12" si="11">AVERAGE(AVERAGE(B4:B7),AVERAGE(B5:B8))</f>
        <v>20625</v>
      </c>
      <c r="D6" s="128">
        <f t="shared" si="0"/>
        <v>20534.226190476191</v>
      </c>
      <c r="E6" s="129">
        <f t="shared" si="2"/>
        <v>1.6557721574027102</v>
      </c>
      <c r="F6" s="130">
        <f t="shared" si="1"/>
        <v>4</v>
      </c>
      <c r="G6" s="131">
        <f t="shared" si="3"/>
        <v>1.6644198124048513</v>
      </c>
      <c r="H6" s="131">
        <f>G6/AVERAGE($G$3:$G$6)</f>
        <v>1.6685022010356516</v>
      </c>
      <c r="I6" s="123">
        <f t="shared" ref="I6:I14" si="12">D6*VLOOKUP(F6,$F$3:$H$6,3,0)</f>
        <v>34261.401595373449</v>
      </c>
      <c r="J6" s="115">
        <f>(1-$C$38)*(J5+K5)+$C$38*(B6/L6)</f>
        <v>20363.502205663528</v>
      </c>
      <c r="K6" s="115">
        <f>(1-$C$39)*K5+$C$39*(J6-J5)</f>
        <v>510.3348297713685</v>
      </c>
      <c r="L6" s="116">
        <f t="shared" si="4"/>
        <v>1.6685022010356516</v>
      </c>
      <c r="M6" s="137">
        <f t="shared" si="5"/>
        <v>34828.043037682626</v>
      </c>
      <c r="N6" s="104">
        <f t="shared" si="6"/>
        <v>-828.04303768262616</v>
      </c>
      <c r="O6" s="104">
        <f t="shared" si="7"/>
        <v>828.04303768262616</v>
      </c>
      <c r="P6" s="104">
        <f t="shared" si="8"/>
        <v>2.4354206990665477E-2</v>
      </c>
      <c r="Q6" s="104">
        <f t="shared" si="9"/>
        <v>685655.27225467109</v>
      </c>
      <c r="R6" s="133">
        <f>SUM($N6:N6)</f>
        <v>-828.04303768262616</v>
      </c>
      <c r="S6" s="103">
        <f>AVERAGE(O$3:O6)</f>
        <v>825.35594888747619</v>
      </c>
      <c r="T6" s="103">
        <f>AVERAGE(P$3:P6)</f>
        <v>5.7765338090964145E-2</v>
      </c>
      <c r="U6" s="103">
        <f>AVERAGE(Q$3:Q6)</f>
        <v>699100.02778958692</v>
      </c>
      <c r="V6" s="103">
        <f t="shared" si="10"/>
        <v>-1.0032556726570785</v>
      </c>
      <c r="Z6">
        <f>Z5+4*AA5</f>
        <v>18210.95571095571</v>
      </c>
      <c r="AP6" s="42"/>
      <c r="AQ6" s="42"/>
      <c r="AR6" s="42"/>
      <c r="BL6" s="42"/>
      <c r="BM6" s="42"/>
      <c r="BN6" s="42"/>
      <c r="BO6" s="42"/>
      <c r="BP6" s="42"/>
    </row>
    <row r="7" spans="1:68" customFormat="1" ht="16.5" x14ac:dyDescent="0.3">
      <c r="A7" s="59">
        <v>5</v>
      </c>
      <c r="B7" s="122">
        <v>10000</v>
      </c>
      <c r="C7" s="126">
        <f t="shared" si="11"/>
        <v>21250</v>
      </c>
      <c r="D7" s="128">
        <f t="shared" si="0"/>
        <v>21058.035714285714</v>
      </c>
      <c r="E7" s="129">
        <f t="shared" si="2"/>
        <v>0.47487810048759804</v>
      </c>
      <c r="F7" s="130">
        <f t="shared" si="1"/>
        <v>1</v>
      </c>
      <c r="G7" s="132">
        <f>AVERAGE(G3:G6)</f>
        <v>0.99755326146512346</v>
      </c>
      <c r="H7" s="132">
        <f>AVERAGE(H3:H6)</f>
        <v>1</v>
      </c>
      <c r="I7" s="123">
        <f t="shared" si="12"/>
        <v>9957.0306861105673</v>
      </c>
      <c r="J7" s="114">
        <f>(1-$C$38)*(J6+K6)+$C$38*(B7/L7)</f>
        <v>20899.111258422705</v>
      </c>
      <c r="K7" s="114">
        <f>(1-$C$39)*K6+$C$39*(J7-J6)</f>
        <v>512.86225207014934</v>
      </c>
      <c r="L7" s="114">
        <f>(1-$C$40)*L3+$C$40*(B3/SUM(J2:K2))</f>
        <v>0.46774169153353717</v>
      </c>
      <c r="M7" s="137">
        <f t="shared" si="5"/>
        <v>10015.272708869217</v>
      </c>
      <c r="N7" s="104">
        <f t="shared" si="6"/>
        <v>-15.27270886921724</v>
      </c>
      <c r="O7" s="104">
        <f t="shared" si="7"/>
        <v>15.27270886921724</v>
      </c>
      <c r="P7" s="104">
        <f t="shared" si="8"/>
        <v>1.5272708869217241E-3</v>
      </c>
      <c r="Q7" s="104">
        <f t="shared" si="9"/>
        <v>233.25563620386694</v>
      </c>
      <c r="R7" s="133">
        <f>SUM($N7:N7)</f>
        <v>-15.27270886921724</v>
      </c>
      <c r="S7" s="103">
        <f>AVERAGE(O$3:O7)</f>
        <v>663.33930088382442</v>
      </c>
      <c r="T7" s="103">
        <f>AVERAGE(P$3:P7)</f>
        <v>4.6517724650155662E-2</v>
      </c>
      <c r="U7" s="103">
        <f>AVERAGE(Q$3:Q7)</f>
        <v>559326.67335891037</v>
      </c>
      <c r="V7" s="103">
        <f t="shared" si="10"/>
        <v>-2.3023977094178028E-2</v>
      </c>
      <c r="AP7" s="42"/>
      <c r="AQ7" s="42"/>
      <c r="AR7" s="42"/>
      <c r="BL7" s="42"/>
      <c r="BM7" s="42"/>
      <c r="BN7" s="42"/>
      <c r="BO7" s="42"/>
      <c r="BP7" s="42"/>
    </row>
    <row r="8" spans="1:68" customFormat="1" ht="16.5" x14ac:dyDescent="0.3">
      <c r="A8" s="59">
        <v>6</v>
      </c>
      <c r="B8" s="122">
        <v>18000</v>
      </c>
      <c r="C8" s="126">
        <f t="shared" si="11"/>
        <v>21750</v>
      </c>
      <c r="D8" s="128">
        <f t="shared" si="0"/>
        <v>21581.845238095237</v>
      </c>
      <c r="E8" s="129">
        <f t="shared" si="2"/>
        <v>0.83403433772322977</v>
      </c>
      <c r="F8" s="130">
        <f t="shared" si="1"/>
        <v>2</v>
      </c>
      <c r="G8" s="130"/>
      <c r="H8" s="130"/>
      <c r="I8" s="123">
        <f t="shared" si="12"/>
        <v>14785.30454749107</v>
      </c>
      <c r="J8" s="114">
        <f t="shared" ref="J8:J14" si="13">(1-$C$38)*(J7+K7)+$C$38*(B8/L8)</f>
        <v>21657.795361980083</v>
      </c>
      <c r="K8" s="114">
        <f t="shared" ref="K8:K14" si="14">(1-$C$39)*K7+$C$39*(J8-J7)</f>
        <v>537.44443721887217</v>
      </c>
      <c r="L8" s="114">
        <f t="shared" ref="L8:L18" si="15">(1-$C$40)*L4+$C$40*(B4/SUM(J3:K3))</f>
        <v>0.68367211049412768</v>
      </c>
      <c r="M8" s="137">
        <f t="shared" si="5"/>
        <v>15174.266436441609</v>
      </c>
      <c r="N8" s="104">
        <f t="shared" si="6"/>
        <v>2825.7335635583913</v>
      </c>
      <c r="O8" s="104">
        <f t="shared" si="7"/>
        <v>2825.7335635583913</v>
      </c>
      <c r="P8" s="104">
        <f t="shared" si="8"/>
        <v>0.15698519797546617</v>
      </c>
      <c r="Q8" s="104">
        <f t="shared" si="9"/>
        <v>7984770.1722204052</v>
      </c>
      <c r="R8" s="133">
        <f>SUM($N8:N8)</f>
        <v>2825.7335635583913</v>
      </c>
      <c r="S8" s="103">
        <f>AVERAGE(O$3:O8)</f>
        <v>1023.7383446629188</v>
      </c>
      <c r="T8" s="103">
        <f>AVERAGE(P$3:P8)</f>
        <v>6.492897020437409E-2</v>
      </c>
      <c r="U8" s="103">
        <f>AVERAGE(Q$3:Q8)</f>
        <v>1796900.5898358263</v>
      </c>
      <c r="V8" s="103">
        <f t="shared" si="10"/>
        <v>2.7602107299095127</v>
      </c>
      <c r="AP8" s="42"/>
      <c r="AQ8" s="42"/>
      <c r="AR8" s="42"/>
      <c r="BL8" s="42"/>
      <c r="BM8" s="42"/>
      <c r="BN8" s="42"/>
      <c r="BO8" s="42"/>
      <c r="BP8" s="42"/>
    </row>
    <row r="9" spans="1:68" customFormat="1" ht="16.5" x14ac:dyDescent="0.3">
      <c r="A9" s="59">
        <v>7</v>
      </c>
      <c r="B9" s="122">
        <v>23000</v>
      </c>
      <c r="C9" s="126">
        <f t="shared" si="11"/>
        <v>22500</v>
      </c>
      <c r="D9" s="128">
        <f t="shared" si="0"/>
        <v>22105.654761904763</v>
      </c>
      <c r="E9" s="129">
        <f t="shared" si="2"/>
        <v>1.0404577583305283</v>
      </c>
      <c r="F9" s="130">
        <f t="shared" si="1"/>
        <v>3</v>
      </c>
      <c r="G9" s="130"/>
      <c r="H9" s="130"/>
      <c r="I9" s="123">
        <f t="shared" si="12"/>
        <v>25942.744762597133</v>
      </c>
      <c r="J9" s="114">
        <f t="shared" si="13"/>
        <v>22066.70818527904</v>
      </c>
      <c r="K9" s="114">
        <f t="shared" si="14"/>
        <v>524.59127582688063</v>
      </c>
      <c r="L9" s="114">
        <f t="shared" si="15"/>
        <v>1.1719979610100058</v>
      </c>
      <c r="M9" s="137">
        <f t="shared" si="5"/>
        <v>26476.956904982584</v>
      </c>
      <c r="N9" s="104">
        <f t="shared" si="6"/>
        <v>-3476.9569049825841</v>
      </c>
      <c r="O9" s="104">
        <f t="shared" si="7"/>
        <v>3476.9569049825841</v>
      </c>
      <c r="P9" s="104">
        <f t="shared" si="8"/>
        <v>0.15117203934706888</v>
      </c>
      <c r="Q9" s="104">
        <f t="shared" si="9"/>
        <v>12089229.31910607</v>
      </c>
      <c r="R9" s="133">
        <f>SUM($N9:N9)</f>
        <v>-3476.9569049825841</v>
      </c>
      <c r="S9" s="103">
        <f>AVERAGE(O$3:O9)</f>
        <v>1374.1981389942996</v>
      </c>
      <c r="T9" s="103">
        <f>AVERAGE(P$3:P9)</f>
        <v>7.7249408653330492E-2</v>
      </c>
      <c r="U9" s="103">
        <f>AVERAGE(Q$3:Q9)</f>
        <v>3267233.2654458615</v>
      </c>
      <c r="V9" s="103">
        <f t="shared" si="10"/>
        <v>-2.5301714551346857</v>
      </c>
      <c r="AP9" s="42"/>
      <c r="AQ9" s="42"/>
      <c r="AR9" s="42"/>
      <c r="BL9" s="42"/>
      <c r="BM9" s="42"/>
      <c r="BN9" s="42"/>
      <c r="BO9" s="42"/>
      <c r="BP9" s="42"/>
    </row>
    <row r="10" spans="1:68" customFormat="1" ht="16.5" x14ac:dyDescent="0.3">
      <c r="A10" s="59">
        <v>8</v>
      </c>
      <c r="B10" s="122">
        <v>38000</v>
      </c>
      <c r="C10" s="126">
        <f t="shared" si="11"/>
        <v>22125</v>
      </c>
      <c r="D10" s="128">
        <f t="shared" si="0"/>
        <v>22629.464285714286</v>
      </c>
      <c r="E10" s="129">
        <f t="shared" si="2"/>
        <v>1.6792266719274018</v>
      </c>
      <c r="F10" s="130">
        <f t="shared" si="1"/>
        <v>4</v>
      </c>
      <c r="G10" s="130"/>
      <c r="H10" s="130"/>
      <c r="I10" s="123">
        <f t="shared" si="12"/>
        <v>37757.310968971957</v>
      </c>
      <c r="J10" s="114">
        <f t="shared" si="13"/>
        <v>22600.397629850366</v>
      </c>
      <c r="K10" s="114">
        <f t="shared" si="14"/>
        <v>525.50109270132521</v>
      </c>
      <c r="L10" s="114">
        <f>(1-$C$40)*L6+$C$40*(B6/SUM(J5:K5))</f>
        <v>1.6686234323848466</v>
      </c>
      <c r="M10" s="137">
        <f t="shared" si="5"/>
        <v>38588.416503408538</v>
      </c>
      <c r="N10" s="104">
        <f t="shared" si="6"/>
        <v>-588.41650340853812</v>
      </c>
      <c r="O10" s="104">
        <f t="shared" si="7"/>
        <v>588.41650340853812</v>
      </c>
      <c r="P10" s="104">
        <f t="shared" si="8"/>
        <v>1.5484644826540477E-2</v>
      </c>
      <c r="Q10" s="104">
        <f t="shared" si="9"/>
        <v>346233.98148353014</v>
      </c>
      <c r="R10" s="133">
        <f>SUM($N10:N10)</f>
        <v>-588.41650340853812</v>
      </c>
      <c r="S10" s="103">
        <f>AVERAGE(O$3:O10)</f>
        <v>1275.9754345460794</v>
      </c>
      <c r="T10" s="103">
        <f>AVERAGE(P$3:P10)</f>
        <v>6.9528813174981732E-2</v>
      </c>
      <c r="U10" s="103">
        <f>AVERAGE(Q$3:Q10)</f>
        <v>2902108.35495057</v>
      </c>
      <c r="V10" s="103">
        <f t="shared" si="10"/>
        <v>-0.46115033838238723</v>
      </c>
      <c r="AP10" s="42"/>
      <c r="AQ10" s="42"/>
      <c r="AR10" s="42"/>
      <c r="BL10" s="42"/>
      <c r="BM10" s="42"/>
      <c r="BN10" s="42"/>
      <c r="BO10" s="42"/>
      <c r="BP10" s="42"/>
    </row>
    <row r="11" spans="1:68" customFormat="1" ht="16.5" x14ac:dyDescent="0.3">
      <c r="A11" s="59">
        <v>9</v>
      </c>
      <c r="B11" s="122">
        <v>12000</v>
      </c>
      <c r="C11" s="126">
        <f t="shared" si="11"/>
        <v>22625</v>
      </c>
      <c r="D11" s="128">
        <f t="shared" si="0"/>
        <v>23153.273809523809</v>
      </c>
      <c r="E11" s="129">
        <f t="shared" si="2"/>
        <v>0.51828523684041394</v>
      </c>
      <c r="F11" s="130">
        <f t="shared" si="1"/>
        <v>1</v>
      </c>
      <c r="G11" s="130"/>
      <c r="H11" s="130"/>
      <c r="I11" s="123">
        <f t="shared" si="12"/>
        <v>10947.738000508396</v>
      </c>
      <c r="J11" s="114">
        <f t="shared" si="13"/>
        <v>23249.264228204611</v>
      </c>
      <c r="K11" s="114">
        <f t="shared" si="14"/>
        <v>537.83764326661719</v>
      </c>
      <c r="L11" s="114">
        <f t="shared" si="15"/>
        <v>0.46887438293018324</v>
      </c>
      <c r="M11" s="137">
        <f t="shared" si="5"/>
        <v>11153.162711683479</v>
      </c>
      <c r="N11" s="104">
        <f t="shared" si="6"/>
        <v>846.83728831652115</v>
      </c>
      <c r="O11" s="104">
        <f t="shared" si="7"/>
        <v>846.83728831652115</v>
      </c>
      <c r="P11" s="104">
        <f t="shared" si="8"/>
        <v>7.0569774026376764E-2</v>
      </c>
      <c r="Q11" s="104">
        <f t="shared" si="9"/>
        <v>717133.39288327878</v>
      </c>
      <c r="R11" s="133">
        <f>SUM($N11:N11)</f>
        <v>846.83728831652115</v>
      </c>
      <c r="S11" s="103">
        <f>AVERAGE(O$3:O11)</f>
        <v>1228.2934182983508</v>
      </c>
      <c r="T11" s="103">
        <f>AVERAGE(P$3:P11)</f>
        <v>6.9644475491803401E-2</v>
      </c>
      <c r="U11" s="103">
        <f>AVERAGE(Q$3:Q11)</f>
        <v>2659333.3591653155</v>
      </c>
      <c r="V11" s="103">
        <f t="shared" si="10"/>
        <v>0.68944217700825083</v>
      </c>
      <c r="AP11" s="42"/>
      <c r="AQ11" s="42"/>
      <c r="AR11" s="42"/>
      <c r="BL11" s="42"/>
      <c r="BM11" s="42"/>
      <c r="BN11" s="42"/>
      <c r="BO11" s="42"/>
      <c r="BP11" s="42"/>
    </row>
    <row r="12" spans="1:68" customFormat="1" ht="16.5" x14ac:dyDescent="0.3">
      <c r="A12" s="59">
        <v>10</v>
      </c>
      <c r="B12" s="122">
        <v>13000</v>
      </c>
      <c r="C12" s="126">
        <f t="shared" si="11"/>
        <v>24125</v>
      </c>
      <c r="D12" s="128">
        <f t="shared" si="0"/>
        <v>23677.083333333336</v>
      </c>
      <c r="E12" s="129">
        <f t="shared" si="2"/>
        <v>0.54905411350637923</v>
      </c>
      <c r="F12" s="130">
        <f t="shared" si="1"/>
        <v>2</v>
      </c>
      <c r="G12" s="130"/>
      <c r="H12" s="130"/>
      <c r="I12" s="123">
        <f t="shared" si="12"/>
        <v>16220.711622087187</v>
      </c>
      <c r="J12" s="114">
        <f t="shared" si="13"/>
        <v>23527.154655343576</v>
      </c>
      <c r="K12" s="114">
        <f t="shared" si="14"/>
        <v>511.84292165385204</v>
      </c>
      <c r="L12" s="114">
        <f t="shared" si="15"/>
        <v>0.69937001371911456</v>
      </c>
      <c r="M12" s="137">
        <f t="shared" si="5"/>
        <v>16812.154065218456</v>
      </c>
      <c r="N12" s="104">
        <f t="shared" si="6"/>
        <v>-3812.1540652184558</v>
      </c>
      <c r="O12" s="104">
        <f t="shared" si="7"/>
        <v>3812.1540652184558</v>
      </c>
      <c r="P12" s="104">
        <f t="shared" si="8"/>
        <v>0.29324262040141968</v>
      </c>
      <c r="Q12" s="104">
        <f t="shared" si="9"/>
        <v>14532518.616961598</v>
      </c>
      <c r="R12" s="133">
        <f>SUM($N12:N12)</f>
        <v>-3812.1540652184558</v>
      </c>
      <c r="S12" s="103">
        <f>AVERAGE(O$3:O12)</f>
        <v>1486.6794829903613</v>
      </c>
      <c r="T12" s="103">
        <f>AVERAGE(P$3:P12)</f>
        <v>9.2004289982765025E-2</v>
      </c>
      <c r="U12" s="103">
        <f>AVERAGE(Q$3:Q12)</f>
        <v>3846651.8849449442</v>
      </c>
      <c r="V12" s="103">
        <f t="shared" si="10"/>
        <v>-2.5642070862177704</v>
      </c>
      <c r="AP12" s="42"/>
      <c r="AQ12" s="42"/>
      <c r="AR12" s="42"/>
      <c r="BL12" s="42"/>
      <c r="BM12" s="42"/>
      <c r="BN12" s="42"/>
      <c r="BO12" s="42"/>
      <c r="BP12" s="42"/>
    </row>
    <row r="13" spans="1:68" customFormat="1" ht="16.5" x14ac:dyDescent="0.3">
      <c r="A13" s="59">
        <v>11</v>
      </c>
      <c r="B13" s="122">
        <v>32000</v>
      </c>
      <c r="C13" s="126"/>
      <c r="D13" s="128">
        <f t="shared" si="0"/>
        <v>24200.892857142859</v>
      </c>
      <c r="E13" s="129">
        <f t="shared" si="2"/>
        <v>1.3222652647113078</v>
      </c>
      <c r="F13" s="130">
        <f t="shared" si="1"/>
        <v>3</v>
      </c>
      <c r="G13" s="130"/>
      <c r="H13" s="130"/>
      <c r="I13" s="123">
        <f t="shared" si="12"/>
        <v>28401.673380957061</v>
      </c>
      <c r="J13" s="114">
        <f t="shared" si="13"/>
        <v>24218.234565936938</v>
      </c>
      <c r="K13" s="114">
        <f t="shared" si="14"/>
        <v>529.76662054780309</v>
      </c>
      <c r="L13" s="114">
        <f t="shared" si="15"/>
        <v>1.1584239883201588</v>
      </c>
      <c r="M13" s="137">
        <f t="shared" si="5"/>
        <v>28668.678237399676</v>
      </c>
      <c r="N13" s="104">
        <f t="shared" si="6"/>
        <v>3331.3217626003243</v>
      </c>
      <c r="O13" s="104">
        <f t="shared" si="7"/>
        <v>3331.3217626003243</v>
      </c>
      <c r="P13" s="104">
        <f t="shared" si="8"/>
        <v>0.10410380508126013</v>
      </c>
      <c r="Q13" s="104">
        <f t="shared" si="9"/>
        <v>11097704.685974531</v>
      </c>
      <c r="R13" s="133">
        <f>SUM($N13:N13)</f>
        <v>3331.3217626003243</v>
      </c>
      <c r="S13" s="103">
        <f>AVERAGE(O$3:O13)</f>
        <v>1654.3742356821763</v>
      </c>
      <c r="T13" s="103">
        <f>AVERAGE(P$3:P13)</f>
        <v>9.3104245900810026E-2</v>
      </c>
      <c r="U13" s="103">
        <f>AVERAGE(Q$3:Q13)</f>
        <v>4505838.5032203607</v>
      </c>
      <c r="V13" s="103">
        <f t="shared" si="10"/>
        <v>2.0136446099976064</v>
      </c>
      <c r="AP13" s="42"/>
      <c r="AQ13" s="42"/>
      <c r="AR13" s="42"/>
      <c r="BL13" s="42"/>
      <c r="BM13" s="42"/>
      <c r="BN13" s="42"/>
      <c r="BO13" s="42"/>
      <c r="BP13" s="42"/>
    </row>
    <row r="14" spans="1:68" customFormat="1" ht="16.5" x14ac:dyDescent="0.3">
      <c r="A14" s="59">
        <v>12</v>
      </c>
      <c r="B14" s="122">
        <v>41000</v>
      </c>
      <c r="C14" s="126"/>
      <c r="D14" s="128">
        <f t="shared" si="0"/>
        <v>24724.702380952382</v>
      </c>
      <c r="E14" s="129">
        <f t="shared" si="2"/>
        <v>1.6582606078844417</v>
      </c>
      <c r="F14" s="130">
        <f t="shared" si="1"/>
        <v>4</v>
      </c>
      <c r="G14" s="130"/>
      <c r="H14" s="130"/>
      <c r="I14" s="123">
        <f t="shared" si="12"/>
        <v>41253.220342570465</v>
      </c>
      <c r="J14" s="114">
        <f t="shared" si="13"/>
        <v>24738.169972669231</v>
      </c>
      <c r="K14" s="114">
        <f t="shared" si="14"/>
        <v>528.78349916625211</v>
      </c>
      <c r="L14" s="114">
        <f t="shared" si="15"/>
        <v>1.6699674380791549</v>
      </c>
      <c r="M14" s="137">
        <f>(J14+K14)*L14</f>
        <v>42194.989557426314</v>
      </c>
      <c r="N14" s="104">
        <f t="shared" si="6"/>
        <v>-1194.9895574263137</v>
      </c>
      <c r="O14" s="104">
        <f t="shared" si="7"/>
        <v>1194.9895574263137</v>
      </c>
      <c r="P14" s="104">
        <f t="shared" si="8"/>
        <v>2.9146086766495456E-2</v>
      </c>
      <c r="Q14" s="104">
        <f t="shared" si="9"/>
        <v>1428000.042357937</v>
      </c>
      <c r="R14" s="133">
        <f>SUM($N14:N14)</f>
        <v>-1194.9895574263137</v>
      </c>
      <c r="S14" s="103">
        <f>AVERAGE(O$3:O14)</f>
        <v>1616.0921791608544</v>
      </c>
      <c r="T14" s="103">
        <f>AVERAGE(P$3:P14)</f>
        <v>8.7774399306283821E-2</v>
      </c>
      <c r="U14" s="103">
        <f>AVERAGE(Q$3:Q14)</f>
        <v>4249351.9648151593</v>
      </c>
      <c r="V14" s="103">
        <f t="shared" si="10"/>
        <v>-0.7394315577016185</v>
      </c>
      <c r="AP14" s="42"/>
      <c r="AQ14" s="42"/>
      <c r="AR14" s="42"/>
      <c r="BL14" s="42"/>
      <c r="BM14" s="42"/>
      <c r="BN14" s="42"/>
      <c r="BO14" s="42"/>
      <c r="BP14" s="42"/>
    </row>
    <row r="15" spans="1:68" customFormat="1" ht="16.5" x14ac:dyDescent="0.3">
      <c r="A15" s="59">
        <v>13</v>
      </c>
      <c r="L15" s="114">
        <f t="shared" si="15"/>
        <v>0.47387681989765784</v>
      </c>
      <c r="M15" s="137">
        <f>($J$14+$K$14*(A15-$A$14))*L15</f>
        <v>11973.423559735484</v>
      </c>
      <c r="AP15" s="42"/>
      <c r="AQ15" s="42"/>
      <c r="AR15" s="42"/>
      <c r="BL15" s="42"/>
      <c r="BM15" s="42"/>
      <c r="BN15" s="42"/>
      <c r="BO15" s="42"/>
      <c r="BP15" s="42"/>
    </row>
    <row r="16" spans="1:68" customFormat="1" ht="16.5" x14ac:dyDescent="0.3">
      <c r="A16" s="59">
        <v>14</v>
      </c>
      <c r="L16" s="114">
        <f t="shared" si="15"/>
        <v>0.6840844788026077</v>
      </c>
      <c r="M16" s="137">
        <f t="shared" ref="M16:M17" si="16">($J$14+$K$14*(A16-$A$14))*L16</f>
        <v>17646.463281136883</v>
      </c>
      <c r="AP16" s="50"/>
      <c r="AQ16" s="50"/>
      <c r="AR16" s="50"/>
      <c r="AS16" s="3"/>
      <c r="AT16" s="3"/>
      <c r="AU16" s="3"/>
      <c r="AV16" s="3"/>
      <c r="AW16" s="3"/>
      <c r="AX16" s="3"/>
      <c r="AY16" s="3"/>
      <c r="BL16" s="42"/>
      <c r="BM16" s="42"/>
      <c r="BN16" s="42"/>
      <c r="BO16" s="42"/>
      <c r="BP16" s="42"/>
    </row>
    <row r="17" spans="1:68" ht="16.5" x14ac:dyDescent="0.3">
      <c r="A17" s="59">
        <v>15</v>
      </c>
      <c r="B17"/>
      <c r="C17"/>
      <c r="D17"/>
      <c r="E17"/>
      <c r="F17"/>
      <c r="G17"/>
      <c r="H17"/>
      <c r="I17"/>
      <c r="J17"/>
      <c r="K17"/>
      <c r="L17" s="114">
        <f t="shared" si="15"/>
        <v>1.1756986210844202</v>
      </c>
      <c r="M17" s="137">
        <f t="shared" si="16"/>
        <v>30949.702417485096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 s="50"/>
      <c r="AQ17" s="50"/>
      <c r="AR17" s="50"/>
      <c r="AS17" s="3"/>
      <c r="AT17" s="3"/>
      <c r="AU17" s="3"/>
      <c r="AV17" s="3"/>
      <c r="AW17" s="3"/>
      <c r="AX17" s="3"/>
      <c r="AY17" s="3"/>
    </row>
    <row r="18" spans="1:68" ht="16.5" x14ac:dyDescent="0.3">
      <c r="A18" s="59">
        <v>16</v>
      </c>
      <c r="B18"/>
      <c r="C18"/>
      <c r="D18"/>
      <c r="E18"/>
      <c r="F18"/>
      <c r="G18"/>
      <c r="H18"/>
      <c r="I18"/>
      <c r="J18"/>
      <c r="K18"/>
      <c r="L18" s="114">
        <f t="shared" si="15"/>
        <v>1.6686406394561084</v>
      </c>
      <c r="M18" s="137">
        <f>($J$14+$K$14*(A18-$A$14))*L18</f>
        <v>44808.514306899138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50"/>
      <c r="AQ18" s="50"/>
      <c r="AR18" s="50"/>
      <c r="AS18" s="3"/>
      <c r="AT18" s="3"/>
      <c r="AU18" s="3"/>
      <c r="AV18" s="3"/>
      <c r="AW18" s="3"/>
      <c r="AX18" s="3"/>
      <c r="AY18" s="3"/>
    </row>
    <row r="19" spans="1:68" ht="16.5" x14ac:dyDescent="0.3">
      <c r="A19" s="59">
        <v>17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 s="50"/>
      <c r="AQ19" s="50"/>
      <c r="AR19" s="50"/>
      <c r="AS19" s="3"/>
      <c r="AT19" s="3"/>
      <c r="AU19" s="3"/>
      <c r="AV19" s="3"/>
      <c r="AW19" s="3"/>
      <c r="AX19" s="3"/>
      <c r="AY19" s="3"/>
    </row>
    <row r="20" spans="1:68" ht="16.5" x14ac:dyDescent="0.3">
      <c r="A20" s="59">
        <v>18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3"/>
      <c r="AT20" s="3"/>
      <c r="AU20" s="3"/>
      <c r="AV20" s="3"/>
      <c r="AW20" s="3"/>
      <c r="AX20" s="3"/>
      <c r="AY20" s="3"/>
    </row>
    <row r="21" spans="1:68" ht="16.5" x14ac:dyDescent="0.3">
      <c r="A21" s="59">
        <v>19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3"/>
      <c r="AT21" s="3"/>
      <c r="AU21" s="3"/>
      <c r="AV21" s="3"/>
      <c r="AW21" s="3"/>
      <c r="AX21" s="3"/>
      <c r="AY21" s="3"/>
    </row>
    <row r="22" spans="1:68" ht="16.5" x14ac:dyDescent="0.3">
      <c r="A22" s="59">
        <v>20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3"/>
      <c r="AT22" s="3"/>
      <c r="AU22" s="3"/>
      <c r="AV22" s="3"/>
      <c r="AW22" s="3"/>
      <c r="AX22" s="3"/>
      <c r="AY22" s="3"/>
    </row>
    <row r="23" spans="1:68" ht="16.5" x14ac:dyDescent="0.3">
      <c r="A23" s="59">
        <v>21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3"/>
      <c r="AT23" s="3"/>
      <c r="AU23" s="3"/>
      <c r="AV23" s="3"/>
      <c r="AW23" s="3"/>
      <c r="AX23" s="3"/>
      <c r="AY23" s="3"/>
    </row>
    <row r="24" spans="1:68" ht="16.5" x14ac:dyDescent="0.3">
      <c r="A24" s="59">
        <v>22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3"/>
      <c r="AT24" s="3"/>
      <c r="AU24" s="3"/>
      <c r="AV24" s="3"/>
      <c r="AW24" s="3"/>
      <c r="AX24" s="3"/>
      <c r="AY24" s="3"/>
    </row>
    <row r="25" spans="1:68" ht="16.5" x14ac:dyDescent="0.3">
      <c r="A25" s="59">
        <v>23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3"/>
      <c r="AT25" s="3"/>
      <c r="AU25" s="3"/>
      <c r="AV25" s="3"/>
      <c r="AW25" s="3"/>
      <c r="AX25" s="3"/>
      <c r="AY25" s="3"/>
    </row>
    <row r="26" spans="1:68" ht="16.5" x14ac:dyDescent="0.3">
      <c r="A26" s="59">
        <v>24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3"/>
      <c r="AT26" s="3"/>
      <c r="AU26" s="3"/>
      <c r="AV26" s="3"/>
      <c r="AW26" s="3"/>
      <c r="AX26" s="3"/>
      <c r="AY26" s="3"/>
    </row>
    <row r="27" spans="1:68" ht="16.5" x14ac:dyDescent="0.3">
      <c r="A27" s="59">
        <v>25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3"/>
      <c r="AT27" s="3"/>
      <c r="AU27" s="3"/>
      <c r="AV27" s="3"/>
      <c r="AW27" s="3"/>
      <c r="AX27" s="3"/>
      <c r="AY27" s="3"/>
    </row>
    <row r="28" spans="1:68" ht="16.5" x14ac:dyDescent="0.3">
      <c r="A28" s="59">
        <v>26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3"/>
      <c r="AT28" s="3"/>
      <c r="AU28" s="3"/>
      <c r="AV28" s="3"/>
      <c r="AW28" s="3"/>
      <c r="AX28" s="3"/>
      <c r="AY28" s="3"/>
    </row>
    <row r="29" spans="1:68" ht="16.5" x14ac:dyDescent="0.3">
      <c r="A29" s="59">
        <v>27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3"/>
      <c r="AT29" s="3"/>
      <c r="AU29" s="3"/>
      <c r="AV29" s="3"/>
      <c r="AW29" s="3"/>
      <c r="AX29" s="3"/>
      <c r="AY29" s="3"/>
    </row>
    <row r="30" spans="1:68" ht="16.5" x14ac:dyDescent="0.3">
      <c r="A30" s="59">
        <v>28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3"/>
      <c r="AT30" s="3"/>
      <c r="AU30" s="3"/>
      <c r="AV30" s="3"/>
      <c r="AW30" s="3"/>
      <c r="AX30" s="3"/>
      <c r="AY30" s="3"/>
    </row>
    <row r="31" spans="1:68" ht="16.5" x14ac:dyDescent="0.3">
      <c r="A31" s="59">
        <v>29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3"/>
      <c r="AT31" s="3"/>
      <c r="AU31" s="3"/>
      <c r="AV31" s="3"/>
      <c r="AW31" s="3"/>
      <c r="AX31" s="3"/>
      <c r="AY31" s="3"/>
      <c r="BL31"/>
      <c r="BM31"/>
      <c r="BN31"/>
      <c r="BO31"/>
      <c r="BP31"/>
    </row>
    <row r="32" spans="1:68" ht="16.5" x14ac:dyDescent="0.3">
      <c r="A32" s="59">
        <v>30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3"/>
      <c r="AT32" s="3"/>
      <c r="AU32" s="3"/>
      <c r="AV32" s="3"/>
      <c r="AW32" s="3"/>
      <c r="AX32" s="3"/>
      <c r="AY32" s="3"/>
      <c r="BL32"/>
      <c r="BM32"/>
      <c r="BN32"/>
      <c r="BO32"/>
      <c r="BP32"/>
    </row>
    <row r="33" spans="1:68" ht="16.5" x14ac:dyDescent="0.3">
      <c r="A33" s="59">
        <v>31</v>
      </c>
      <c r="D33"/>
      <c r="E33"/>
      <c r="F33"/>
      <c r="G33"/>
      <c r="H33"/>
      <c r="I33"/>
      <c r="L33"/>
      <c r="M33"/>
      <c r="N33"/>
      <c r="O33"/>
      <c r="P33"/>
      <c r="Q33"/>
      <c r="R33"/>
      <c r="S33"/>
      <c r="T33"/>
      <c r="U33"/>
      <c r="V33"/>
      <c r="W33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3"/>
      <c r="AT33" s="3"/>
      <c r="AU33" s="3"/>
      <c r="AV33" s="3"/>
      <c r="AW33" s="3"/>
      <c r="AX33" s="3"/>
      <c r="AY33" s="3"/>
      <c r="BL33"/>
      <c r="BM33"/>
      <c r="BN33"/>
      <c r="BO33"/>
      <c r="BP33"/>
    </row>
    <row r="34" spans="1:68" ht="16.5" x14ac:dyDescent="0.3">
      <c r="A34" s="59">
        <v>32</v>
      </c>
      <c r="D34"/>
      <c r="E34"/>
      <c r="F34"/>
      <c r="G34"/>
      <c r="H34"/>
      <c r="I34"/>
      <c r="L34"/>
      <c r="M34"/>
      <c r="N34"/>
      <c r="O34"/>
      <c r="P34"/>
      <c r="Q34"/>
      <c r="R34"/>
      <c r="S34"/>
      <c r="T34"/>
      <c r="U34"/>
      <c r="V34"/>
      <c r="W34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3"/>
      <c r="AT34" s="3"/>
      <c r="AU34" s="3"/>
      <c r="AV34" s="3"/>
      <c r="AW34" s="3"/>
      <c r="AX34" s="3"/>
      <c r="AY34" s="3"/>
      <c r="BL34"/>
      <c r="BM34"/>
      <c r="BN34"/>
      <c r="BO34"/>
      <c r="BP34"/>
    </row>
    <row r="35" spans="1:68" x14ac:dyDescent="0.25">
      <c r="A35"/>
      <c r="E35"/>
      <c r="F35"/>
      <c r="G35"/>
      <c r="H35"/>
      <c r="I35"/>
      <c r="L35"/>
      <c r="M35"/>
      <c r="N35"/>
      <c r="O35"/>
      <c r="P35"/>
      <c r="Q35"/>
      <c r="R35"/>
      <c r="S35"/>
      <c r="T35"/>
      <c r="U35"/>
      <c r="V35"/>
      <c r="W35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3"/>
      <c r="AT35" s="3"/>
      <c r="AU35" s="3"/>
      <c r="AV35" s="3"/>
      <c r="AW35" s="3"/>
      <c r="AX35" s="3"/>
      <c r="AY35" s="3"/>
      <c r="BL35"/>
      <c r="BM35"/>
      <c r="BN35"/>
      <c r="BO35"/>
      <c r="BP35"/>
    </row>
    <row r="36" spans="1:68" x14ac:dyDescent="0.25">
      <c r="A36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3"/>
      <c r="AT36" s="3"/>
      <c r="AU36" s="3"/>
      <c r="AV36" s="3"/>
      <c r="AW36" s="3"/>
      <c r="AX36" s="3"/>
      <c r="AY36" s="3"/>
      <c r="BL36"/>
      <c r="BM36"/>
      <c r="BN36"/>
      <c r="BO36"/>
      <c r="BP36"/>
    </row>
    <row r="37" spans="1:68" x14ac:dyDescent="0.25">
      <c r="A37"/>
      <c r="B37" s="42" t="s">
        <v>79</v>
      </c>
      <c r="C37" s="135">
        <v>4</v>
      </c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3"/>
      <c r="AT37" s="3"/>
      <c r="AU37" s="3"/>
      <c r="AV37" s="3"/>
      <c r="AW37" s="3"/>
      <c r="AX37" s="3"/>
      <c r="AY37" s="3"/>
      <c r="BL37"/>
      <c r="BM37"/>
      <c r="BN37"/>
      <c r="BO37"/>
      <c r="BP37"/>
    </row>
    <row r="38" spans="1:68" x14ac:dyDescent="0.25">
      <c r="A38"/>
      <c r="B38" s="42" t="s">
        <v>137</v>
      </c>
      <c r="C38" s="134">
        <v>0.05</v>
      </c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3"/>
      <c r="AT38" s="3"/>
      <c r="AU38" s="3"/>
      <c r="AV38" s="3"/>
      <c r="AW38" s="3"/>
      <c r="AX38" s="3"/>
      <c r="AY38" s="3"/>
      <c r="BL38"/>
      <c r="BM38"/>
      <c r="BN38"/>
      <c r="BO38"/>
      <c r="BP38"/>
    </row>
    <row r="39" spans="1:68" x14ac:dyDescent="0.25">
      <c r="A39"/>
      <c r="B39" s="42" t="s">
        <v>135</v>
      </c>
      <c r="C39" s="134">
        <v>0.1</v>
      </c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3"/>
      <c r="AT39" s="3"/>
      <c r="AU39" s="3"/>
      <c r="AV39" s="3"/>
      <c r="AW39" s="3"/>
      <c r="AX39" s="3"/>
      <c r="AY39" s="3"/>
      <c r="BL39"/>
      <c r="BM39"/>
      <c r="BN39"/>
      <c r="BO39"/>
      <c r="BP39"/>
    </row>
    <row r="40" spans="1:68" x14ac:dyDescent="0.25">
      <c r="A40"/>
      <c r="B40" s="42" t="s">
        <v>136</v>
      </c>
      <c r="C40" s="134">
        <v>0.1</v>
      </c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3"/>
      <c r="AT40" s="3"/>
      <c r="AU40" s="3"/>
      <c r="AV40" s="3"/>
      <c r="AW40" s="3"/>
      <c r="AX40" s="3"/>
      <c r="AY40" s="3"/>
      <c r="BL40"/>
      <c r="BM40"/>
      <c r="BN40"/>
      <c r="BO40"/>
      <c r="BP40"/>
    </row>
    <row r="41" spans="1:68" x14ac:dyDescent="0.25">
      <c r="A41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3"/>
      <c r="AT41" s="3"/>
      <c r="AU41" s="3"/>
      <c r="AV41" s="3"/>
      <c r="AW41" s="3"/>
      <c r="AX41" s="3"/>
      <c r="AY41" s="3"/>
      <c r="BL41"/>
      <c r="BM41"/>
      <c r="BN41"/>
      <c r="BO41"/>
      <c r="BP41"/>
    </row>
    <row r="42" spans="1:68" x14ac:dyDescent="0.25">
      <c r="A42"/>
      <c r="B42" s="42" t="s">
        <v>123</v>
      </c>
      <c r="J42"/>
      <c r="K42"/>
      <c r="L42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3"/>
      <c r="AT42" s="3"/>
      <c r="AU42" s="3"/>
      <c r="AV42" s="3"/>
      <c r="AW42" s="3"/>
      <c r="AX42" s="3"/>
      <c r="AY42" s="3"/>
      <c r="BL42"/>
      <c r="BM42"/>
      <c r="BN42"/>
      <c r="BO42"/>
      <c r="BP42"/>
    </row>
    <row r="43" spans="1:68" x14ac:dyDescent="0.25">
      <c r="A43"/>
      <c r="B43" s="42" t="s">
        <v>124</v>
      </c>
      <c r="J43" s="103"/>
      <c r="K43"/>
      <c r="L43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3"/>
      <c r="AT43" s="3"/>
      <c r="AU43" s="3"/>
      <c r="AV43" s="3"/>
      <c r="AW43" s="3"/>
      <c r="AX43" s="3"/>
      <c r="AY43" s="3"/>
      <c r="BL43"/>
      <c r="BM43"/>
      <c r="BN43"/>
      <c r="BO43"/>
      <c r="BP43"/>
    </row>
    <row r="44" spans="1:68" x14ac:dyDescent="0.25">
      <c r="A44"/>
      <c r="B44" s="42" t="s">
        <v>125</v>
      </c>
      <c r="J44"/>
      <c r="K44"/>
      <c r="L44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3"/>
      <c r="AT44" s="3"/>
      <c r="AU44" s="3"/>
      <c r="AV44" s="3"/>
      <c r="AW44" s="3"/>
      <c r="AX44" s="3"/>
      <c r="AY44" s="3"/>
      <c r="BL44"/>
      <c r="BM44"/>
      <c r="BN44"/>
      <c r="BO44"/>
      <c r="BP44"/>
    </row>
    <row r="45" spans="1:68" x14ac:dyDescent="0.25">
      <c r="A45"/>
      <c r="B45" s="108" t="s">
        <v>107</v>
      </c>
      <c r="C45" s="108"/>
      <c r="D45" s="108"/>
      <c r="E45" s="108"/>
      <c r="F45" s="108"/>
      <c r="G45" s="108"/>
      <c r="H45" s="108"/>
      <c r="I45" s="108"/>
      <c r="J45"/>
      <c r="K45"/>
      <c r="L45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3"/>
      <c r="AT45" s="3"/>
      <c r="AU45" s="3"/>
      <c r="AV45" s="3"/>
      <c r="AW45" s="3"/>
      <c r="AX45" s="3"/>
      <c r="AY45" s="3"/>
      <c r="BL45"/>
      <c r="BM45"/>
      <c r="BN45"/>
      <c r="BO45"/>
      <c r="BP45"/>
    </row>
    <row r="46" spans="1:68" x14ac:dyDescent="0.25">
      <c r="A46"/>
      <c r="B46" t="s">
        <v>126</v>
      </c>
      <c r="C46"/>
      <c r="D46"/>
      <c r="E46"/>
      <c r="F46"/>
      <c r="G46"/>
      <c r="H46"/>
      <c r="I46"/>
      <c r="J46"/>
      <c r="K46"/>
      <c r="L46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3"/>
      <c r="AT46" s="3"/>
      <c r="AU46" s="3"/>
      <c r="AV46" s="3"/>
      <c r="AW46" s="3"/>
      <c r="AX46" s="3"/>
      <c r="AY46" s="3"/>
      <c r="BL46"/>
      <c r="BM46"/>
      <c r="BN46"/>
      <c r="BO46"/>
      <c r="BP46"/>
    </row>
    <row r="47" spans="1:68" x14ac:dyDescent="0.25">
      <c r="A47"/>
      <c r="B47" t="s">
        <v>113</v>
      </c>
      <c r="C47"/>
      <c r="D47"/>
      <c r="E47"/>
      <c r="F47"/>
      <c r="G47"/>
      <c r="H47"/>
      <c r="I47"/>
      <c r="J47"/>
      <c r="K47"/>
      <c r="L47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3"/>
      <c r="AT47" s="3"/>
      <c r="AU47" s="3"/>
      <c r="AV47" s="3"/>
      <c r="AW47" s="3"/>
      <c r="AX47" s="3"/>
      <c r="AY47" s="3"/>
      <c r="BL47"/>
      <c r="BM47"/>
      <c r="BN47"/>
      <c r="BO47"/>
      <c r="BP47"/>
    </row>
    <row r="48" spans="1:68" x14ac:dyDescent="0.25">
      <c r="A48"/>
      <c r="B48" t="s">
        <v>127</v>
      </c>
      <c r="C48"/>
      <c r="D48"/>
      <c r="E48"/>
      <c r="F48"/>
      <c r="G48"/>
      <c r="H48"/>
      <c r="I48"/>
      <c r="J48"/>
      <c r="K48"/>
      <c r="L48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3"/>
      <c r="AT48" s="3"/>
      <c r="AU48" s="3"/>
      <c r="AV48" s="3"/>
      <c r="AW48" s="3"/>
      <c r="AX48" s="3"/>
      <c r="AY48" s="3"/>
      <c r="BL48"/>
      <c r="BM48"/>
      <c r="BN48"/>
      <c r="BO48"/>
      <c r="BP48"/>
    </row>
    <row r="49" spans="1:68" x14ac:dyDescent="0.25">
      <c r="A49"/>
      <c r="B49" t="s">
        <v>128</v>
      </c>
      <c r="C49"/>
      <c r="D49"/>
      <c r="E49"/>
      <c r="F49"/>
      <c r="G49"/>
      <c r="H49"/>
      <c r="I49"/>
      <c r="J49"/>
      <c r="K49"/>
      <c r="L49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3"/>
      <c r="AT49" s="3"/>
      <c r="AU49" s="3"/>
      <c r="AV49" s="3"/>
      <c r="AW49" s="3"/>
      <c r="AX49" s="3"/>
      <c r="AY49" s="3"/>
      <c r="BL49"/>
      <c r="BM49"/>
      <c r="BN49"/>
      <c r="BO49"/>
      <c r="BP49"/>
    </row>
    <row r="50" spans="1:68" x14ac:dyDescent="0.25">
      <c r="A50"/>
      <c r="B50" t="s">
        <v>129</v>
      </c>
      <c r="C50"/>
      <c r="D50"/>
      <c r="E50"/>
      <c r="F50"/>
      <c r="G50"/>
      <c r="H50"/>
      <c r="I50"/>
      <c r="J50"/>
      <c r="K50"/>
      <c r="L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3"/>
      <c r="AT50" s="3"/>
      <c r="AU50" s="3"/>
      <c r="AV50" s="3"/>
      <c r="AW50" s="3"/>
      <c r="AX50" s="3"/>
      <c r="AY50" s="3"/>
      <c r="BL50"/>
      <c r="BM50"/>
      <c r="BN50"/>
      <c r="BO50"/>
      <c r="BP50"/>
    </row>
    <row r="51" spans="1:68" x14ac:dyDescent="0.25">
      <c r="A51"/>
      <c r="B51"/>
      <c r="C51"/>
      <c r="D51"/>
      <c r="E51"/>
      <c r="F51"/>
      <c r="G51"/>
      <c r="H51"/>
      <c r="I51"/>
      <c r="J51"/>
      <c r="K51"/>
      <c r="L51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3"/>
      <c r="AT51" s="3"/>
      <c r="AU51" s="3"/>
      <c r="AV51" s="3"/>
      <c r="AW51" s="3"/>
      <c r="AX51" s="3"/>
      <c r="AY51" s="3"/>
      <c r="BL51"/>
      <c r="BM51"/>
      <c r="BN51"/>
      <c r="BO51"/>
      <c r="BP51"/>
    </row>
    <row r="52" spans="1:68" x14ac:dyDescent="0.25">
      <c r="A52"/>
      <c r="B52"/>
      <c r="C52"/>
      <c r="D52"/>
      <c r="E52"/>
      <c r="F52"/>
      <c r="G52"/>
      <c r="H52"/>
      <c r="I52"/>
      <c r="J52"/>
      <c r="K52"/>
      <c r="L52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3"/>
      <c r="AT52" s="3"/>
      <c r="AU52" s="3"/>
      <c r="AV52" s="3"/>
      <c r="AW52" s="3"/>
      <c r="AX52" s="3"/>
      <c r="AY52" s="3"/>
      <c r="BL52"/>
      <c r="BM52"/>
      <c r="BN52"/>
      <c r="BO52"/>
      <c r="BP52"/>
    </row>
    <row r="53" spans="1:68" x14ac:dyDescent="0.25">
      <c r="A53"/>
      <c r="B53"/>
      <c r="C53"/>
      <c r="D53"/>
      <c r="E53"/>
      <c r="F53"/>
      <c r="G53"/>
      <c r="H53"/>
      <c r="I53"/>
      <c r="J53"/>
      <c r="K53"/>
      <c r="L53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3"/>
      <c r="AT53" s="3"/>
      <c r="AU53" s="3"/>
      <c r="AV53" s="3"/>
      <c r="AW53" s="3"/>
      <c r="AX53" s="3"/>
      <c r="AY53" s="3"/>
      <c r="BL53"/>
      <c r="BM53"/>
      <c r="BN53"/>
      <c r="BO53"/>
      <c r="BP53"/>
    </row>
    <row r="54" spans="1:68" x14ac:dyDescent="0.25">
      <c r="A54"/>
      <c r="B54"/>
      <c r="C54"/>
      <c r="D54"/>
      <c r="E54"/>
      <c r="F54"/>
      <c r="G54"/>
      <c r="H54"/>
      <c r="I54"/>
      <c r="J54"/>
      <c r="K54"/>
      <c r="L54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3"/>
      <c r="AT54" s="3"/>
      <c r="AU54" s="3"/>
      <c r="AV54" s="3"/>
      <c r="AW54" s="3"/>
      <c r="AX54" s="3"/>
      <c r="AY54" s="3"/>
      <c r="BL54"/>
      <c r="BM54"/>
      <c r="BN54"/>
      <c r="BO54"/>
      <c r="BP54"/>
    </row>
    <row r="55" spans="1:68" x14ac:dyDescent="0.25">
      <c r="A55"/>
      <c r="B55"/>
      <c r="C55"/>
      <c r="D55"/>
      <c r="E55"/>
      <c r="F55"/>
      <c r="G55"/>
      <c r="H55"/>
      <c r="I55"/>
      <c r="J55"/>
      <c r="K55"/>
      <c r="L55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3"/>
      <c r="AT55" s="3"/>
      <c r="AU55" s="3"/>
      <c r="AV55" s="3"/>
      <c r="AW55" s="3"/>
      <c r="AX55" s="3"/>
      <c r="AY55" s="3"/>
      <c r="BL55"/>
      <c r="BM55"/>
      <c r="BN55"/>
      <c r="BO55"/>
      <c r="BP55"/>
    </row>
    <row r="56" spans="1:68" x14ac:dyDescent="0.25">
      <c r="A56"/>
      <c r="B56"/>
      <c r="C56"/>
      <c r="D56"/>
      <c r="E56"/>
      <c r="F56"/>
      <c r="G56"/>
      <c r="H56"/>
      <c r="I56"/>
      <c r="J56"/>
      <c r="K56"/>
      <c r="L56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3"/>
      <c r="AT56" s="3"/>
      <c r="AU56" s="3"/>
      <c r="AV56" s="3"/>
      <c r="AW56" s="3"/>
      <c r="AX56" s="3"/>
      <c r="AY56" s="3"/>
      <c r="BL56"/>
      <c r="BM56"/>
      <c r="BN56"/>
      <c r="BO56"/>
      <c r="BP56"/>
    </row>
    <row r="57" spans="1:68" x14ac:dyDescent="0.25">
      <c r="A57"/>
      <c r="B57"/>
      <c r="C57"/>
      <c r="D57"/>
      <c r="E57"/>
      <c r="F57"/>
      <c r="G57"/>
      <c r="H57"/>
      <c r="I57"/>
      <c r="J57"/>
      <c r="K57"/>
      <c r="L57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3"/>
      <c r="AT57" s="3"/>
      <c r="AU57" s="3"/>
      <c r="AV57" s="3"/>
      <c r="AW57" s="3"/>
      <c r="AX57" s="3"/>
      <c r="AY57" s="3"/>
      <c r="BL57"/>
      <c r="BM57"/>
      <c r="BN57"/>
      <c r="BO57"/>
      <c r="BP57"/>
    </row>
    <row r="58" spans="1:68" x14ac:dyDescent="0.25">
      <c r="A58"/>
      <c r="B58"/>
      <c r="C58"/>
      <c r="D58"/>
      <c r="E58"/>
      <c r="F58"/>
      <c r="G58"/>
      <c r="H58"/>
      <c r="I58"/>
      <c r="J58"/>
      <c r="K58"/>
      <c r="L58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3"/>
      <c r="AT58" s="3"/>
      <c r="AU58" s="3"/>
      <c r="AV58" s="3"/>
      <c r="AW58" s="3"/>
      <c r="AX58" s="3"/>
      <c r="AY58" s="3"/>
      <c r="BL58"/>
      <c r="BM58"/>
      <c r="BN58"/>
      <c r="BO58"/>
      <c r="BP58"/>
    </row>
    <row r="59" spans="1:68" x14ac:dyDescent="0.25">
      <c r="A59"/>
      <c r="B59"/>
      <c r="C59"/>
      <c r="D59"/>
      <c r="E59"/>
      <c r="F59"/>
      <c r="G59"/>
      <c r="H59"/>
      <c r="I59"/>
      <c r="J59"/>
      <c r="K59"/>
      <c r="L59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3"/>
      <c r="AT59" s="3"/>
      <c r="AU59" s="3"/>
      <c r="AV59" s="3"/>
      <c r="AW59" s="3"/>
      <c r="AX59" s="3"/>
      <c r="AY59" s="3"/>
      <c r="BL59"/>
      <c r="BM59"/>
      <c r="BN59"/>
      <c r="BO59"/>
      <c r="BP59"/>
    </row>
    <row r="60" spans="1:68" x14ac:dyDescent="0.25">
      <c r="A60"/>
      <c r="B60"/>
      <c r="C60"/>
      <c r="D60"/>
      <c r="E60"/>
      <c r="F60"/>
      <c r="G60"/>
      <c r="H60"/>
      <c r="I60"/>
      <c r="J60"/>
      <c r="K60"/>
      <c r="L6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3"/>
      <c r="AT60" s="3"/>
      <c r="AU60" s="3"/>
      <c r="AV60" s="3"/>
      <c r="AW60" s="3"/>
      <c r="AX60" s="3"/>
      <c r="AY60" s="3"/>
      <c r="BL60"/>
      <c r="BM60"/>
      <c r="BN60"/>
      <c r="BO60"/>
      <c r="BP60"/>
    </row>
    <row r="61" spans="1:68" x14ac:dyDescent="0.25">
      <c r="A61"/>
      <c r="B61"/>
      <c r="C61"/>
      <c r="D61"/>
      <c r="E61"/>
      <c r="F61"/>
      <c r="G61"/>
      <c r="H61"/>
      <c r="I61"/>
      <c r="J61"/>
      <c r="K61"/>
      <c r="L61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3"/>
      <c r="AT61" s="3"/>
      <c r="AU61" s="3"/>
      <c r="AV61" s="3"/>
      <c r="AW61" s="3"/>
      <c r="AX61" s="3"/>
      <c r="AY61" s="3"/>
      <c r="BL61"/>
      <c r="BM61"/>
      <c r="BN61"/>
      <c r="BO61"/>
      <c r="BP61"/>
    </row>
    <row r="62" spans="1:68" x14ac:dyDescent="0.25">
      <c r="A62"/>
      <c r="B62"/>
      <c r="C62"/>
      <c r="D62"/>
      <c r="E62"/>
      <c r="F62"/>
      <c r="G62"/>
      <c r="H62"/>
      <c r="I62"/>
      <c r="J62"/>
      <c r="K62"/>
      <c r="L62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3"/>
      <c r="AT62" s="3"/>
      <c r="AU62" s="3"/>
      <c r="AV62" s="3"/>
      <c r="AW62" s="3"/>
      <c r="AX62" s="3"/>
      <c r="AY62" s="3"/>
      <c r="BL62"/>
      <c r="BM62"/>
      <c r="BN62"/>
      <c r="BO62"/>
      <c r="BP62"/>
    </row>
    <row r="63" spans="1:68" x14ac:dyDescent="0.25">
      <c r="A63"/>
      <c r="B63"/>
      <c r="C63"/>
      <c r="D63"/>
      <c r="E63"/>
      <c r="F63"/>
      <c r="G63"/>
      <c r="H63"/>
      <c r="I63"/>
      <c r="J63"/>
      <c r="K63"/>
      <c r="L63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3"/>
      <c r="AT63" s="3"/>
      <c r="AU63" s="3"/>
      <c r="AV63" s="3"/>
      <c r="AW63" s="3"/>
      <c r="AX63" s="3"/>
      <c r="AY63" s="3"/>
      <c r="BL63"/>
      <c r="BM63"/>
      <c r="BN63"/>
      <c r="BO63"/>
      <c r="BP63"/>
    </row>
    <row r="64" spans="1:68" x14ac:dyDescent="0.25">
      <c r="A64"/>
      <c r="B64"/>
      <c r="C64"/>
      <c r="D64"/>
      <c r="E64"/>
      <c r="F64"/>
      <c r="G64"/>
      <c r="H64"/>
      <c r="I64"/>
      <c r="J64"/>
      <c r="K64"/>
      <c r="L64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3"/>
      <c r="AT64" s="3"/>
      <c r="AU64" s="3"/>
      <c r="AV64" s="3"/>
      <c r="AW64" s="3"/>
      <c r="AX64" s="3"/>
      <c r="AY64" s="3"/>
      <c r="BL64"/>
      <c r="BM64"/>
      <c r="BN64"/>
      <c r="BO64"/>
      <c r="BP64"/>
    </row>
    <row r="65" spans="1:68" x14ac:dyDescent="0.25">
      <c r="A65"/>
      <c r="B65"/>
      <c r="C65"/>
      <c r="D65"/>
      <c r="E65"/>
      <c r="F65"/>
      <c r="G65"/>
      <c r="H65"/>
      <c r="I65"/>
      <c r="J65"/>
      <c r="K65"/>
      <c r="L65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3"/>
      <c r="AT65" s="3"/>
      <c r="AU65" s="3"/>
      <c r="AV65" s="3"/>
      <c r="AW65" s="3"/>
      <c r="AX65" s="3"/>
      <c r="AY65" s="3"/>
      <c r="BL65"/>
      <c r="BM65"/>
      <c r="BN65"/>
      <c r="BO65"/>
      <c r="BP65"/>
    </row>
    <row r="66" spans="1:68" x14ac:dyDescent="0.25">
      <c r="A66"/>
      <c r="B66"/>
      <c r="C66"/>
      <c r="D66"/>
      <c r="E66"/>
      <c r="F66"/>
      <c r="G66"/>
      <c r="H66"/>
      <c r="I66"/>
      <c r="J66"/>
      <c r="K66"/>
      <c r="L66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3"/>
      <c r="AT66" s="3"/>
      <c r="AU66" s="3"/>
      <c r="AV66" s="3"/>
      <c r="AW66" s="3"/>
      <c r="AX66" s="3"/>
      <c r="AY66" s="3"/>
      <c r="BL66"/>
      <c r="BM66"/>
      <c r="BN66"/>
      <c r="BO66"/>
      <c r="BP66"/>
    </row>
    <row r="67" spans="1:68" x14ac:dyDescent="0.25">
      <c r="A67"/>
      <c r="B67"/>
      <c r="C67"/>
      <c r="D67"/>
      <c r="E67"/>
      <c r="F67"/>
      <c r="G67"/>
      <c r="H67"/>
      <c r="I67"/>
      <c r="J67"/>
      <c r="K67"/>
      <c r="L67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3"/>
      <c r="AT67" s="3"/>
      <c r="AU67" s="3"/>
      <c r="AV67" s="3"/>
      <c r="AW67" s="3"/>
      <c r="AX67" s="3"/>
      <c r="AY67" s="3"/>
      <c r="BL67"/>
      <c r="BM67"/>
      <c r="BN67"/>
      <c r="BO67"/>
      <c r="BP67"/>
    </row>
    <row r="68" spans="1:68" x14ac:dyDescent="0.25">
      <c r="A68"/>
      <c r="B68"/>
      <c r="C68"/>
      <c r="D68"/>
      <c r="E68"/>
      <c r="F68"/>
      <c r="G68"/>
      <c r="H68"/>
      <c r="I68"/>
      <c r="J68"/>
      <c r="K68"/>
      <c r="L68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3"/>
      <c r="AT68" s="3"/>
      <c r="AU68" s="3"/>
      <c r="AV68" s="3"/>
      <c r="AW68" s="3"/>
      <c r="AX68" s="3"/>
      <c r="AY68" s="3"/>
      <c r="BL68"/>
      <c r="BM68"/>
      <c r="BN68"/>
      <c r="BO68"/>
      <c r="BP68"/>
    </row>
    <row r="69" spans="1:68" x14ac:dyDescent="0.25">
      <c r="A69"/>
      <c r="B69"/>
      <c r="C69"/>
      <c r="D69"/>
      <c r="E69"/>
      <c r="F69"/>
      <c r="G69"/>
      <c r="H69"/>
      <c r="I69"/>
      <c r="J69"/>
      <c r="K69"/>
      <c r="L69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3"/>
      <c r="AT69" s="3"/>
      <c r="AU69" s="3"/>
      <c r="AV69" s="3"/>
      <c r="AW69" s="3"/>
      <c r="AX69" s="3"/>
      <c r="AY69" s="3"/>
      <c r="BL69"/>
      <c r="BM69"/>
      <c r="BN69"/>
      <c r="BO69"/>
      <c r="BP69"/>
    </row>
    <row r="70" spans="1:68" x14ac:dyDescent="0.25">
      <c r="A70"/>
      <c r="B70"/>
      <c r="C70"/>
      <c r="D70"/>
      <c r="E70"/>
      <c r="F70"/>
      <c r="G70"/>
      <c r="H70"/>
      <c r="I70"/>
      <c r="J70"/>
      <c r="K70"/>
      <c r="L7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3"/>
      <c r="AT70" s="3"/>
      <c r="AU70" s="3"/>
      <c r="AV70" s="3"/>
      <c r="AW70" s="3"/>
      <c r="AX70" s="3"/>
      <c r="AY70" s="3"/>
      <c r="BL70"/>
      <c r="BM70"/>
      <c r="BN70"/>
      <c r="BO70"/>
      <c r="BP70"/>
    </row>
    <row r="71" spans="1:68" x14ac:dyDescent="0.25">
      <c r="A71"/>
      <c r="B71"/>
      <c r="C71"/>
      <c r="D71"/>
      <c r="E71"/>
      <c r="F71"/>
      <c r="G71"/>
      <c r="H71"/>
      <c r="I71"/>
      <c r="J71"/>
      <c r="K71"/>
      <c r="L71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3"/>
      <c r="AT71" s="3"/>
      <c r="AU71" s="3"/>
      <c r="AV71" s="3"/>
      <c r="AW71" s="3"/>
      <c r="AX71" s="3"/>
      <c r="AY71" s="3"/>
      <c r="BL71"/>
      <c r="BM71"/>
      <c r="BN71"/>
      <c r="BO71"/>
      <c r="BP71"/>
    </row>
    <row r="72" spans="1:68" x14ac:dyDescent="0.25">
      <c r="A72"/>
      <c r="B72"/>
      <c r="C72"/>
      <c r="D72"/>
      <c r="E72"/>
      <c r="F72"/>
      <c r="G72"/>
      <c r="H72"/>
      <c r="I72"/>
      <c r="J72"/>
      <c r="K72"/>
      <c r="L72"/>
      <c r="BL72"/>
      <c r="BM72"/>
      <c r="BN72"/>
      <c r="BO72"/>
      <c r="BP72"/>
    </row>
    <row r="73" spans="1:68" x14ac:dyDescent="0.25">
      <c r="A73"/>
      <c r="B73"/>
      <c r="C73"/>
      <c r="D73"/>
      <c r="E73"/>
      <c r="F73"/>
      <c r="G73"/>
      <c r="H73"/>
      <c r="I73"/>
      <c r="J73"/>
      <c r="K73"/>
      <c r="L73"/>
      <c r="BL73"/>
      <c r="BM73"/>
      <c r="BN73"/>
      <c r="BO73"/>
      <c r="BP73"/>
    </row>
    <row r="74" spans="1:68" x14ac:dyDescent="0.25">
      <c r="A74"/>
      <c r="B74"/>
      <c r="C74"/>
      <c r="D74"/>
      <c r="E74"/>
      <c r="F74"/>
      <c r="G74"/>
      <c r="H74"/>
      <c r="I74"/>
      <c r="J74"/>
      <c r="K74"/>
      <c r="L74"/>
      <c r="BL74"/>
      <c r="BM74"/>
      <c r="BN74"/>
      <c r="BO74"/>
      <c r="BP74"/>
    </row>
    <row r="75" spans="1:68" x14ac:dyDescent="0.25">
      <c r="A75"/>
      <c r="B75"/>
      <c r="C75"/>
      <c r="D75"/>
      <c r="E75"/>
      <c r="F75"/>
      <c r="G75"/>
      <c r="H75"/>
      <c r="I75"/>
      <c r="J75"/>
      <c r="K75"/>
      <c r="L75"/>
      <c r="BL75"/>
      <c r="BM75"/>
      <c r="BN75"/>
      <c r="BO75"/>
      <c r="BP75"/>
    </row>
    <row r="76" spans="1:68" x14ac:dyDescent="0.25">
      <c r="A76"/>
      <c r="B76"/>
      <c r="C76"/>
      <c r="D76"/>
      <c r="E76"/>
      <c r="F76"/>
      <c r="G76"/>
      <c r="H76"/>
      <c r="I76"/>
      <c r="J76"/>
      <c r="K76"/>
      <c r="L76"/>
      <c r="BL76"/>
      <c r="BM76"/>
      <c r="BN76"/>
      <c r="BO76"/>
      <c r="BP76"/>
    </row>
    <row r="77" spans="1:68" ht="16.5" x14ac:dyDescent="0.3">
      <c r="A77"/>
      <c r="B77"/>
      <c r="C77"/>
      <c r="D77"/>
      <c r="E77"/>
      <c r="F77"/>
      <c r="G77"/>
      <c r="H77"/>
      <c r="I77"/>
      <c r="J77"/>
      <c r="K77"/>
      <c r="L77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BL77"/>
      <c r="BM77"/>
      <c r="BN77"/>
      <c r="BO77"/>
      <c r="BP77"/>
    </row>
    <row r="78" spans="1:68" ht="16.5" x14ac:dyDescent="0.3">
      <c r="A78"/>
      <c r="B78"/>
      <c r="C78"/>
      <c r="D78"/>
      <c r="E78"/>
      <c r="F78"/>
      <c r="G78"/>
      <c r="H78"/>
      <c r="I78"/>
      <c r="J78"/>
      <c r="K78"/>
      <c r="L78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BL78"/>
      <c r="BM78"/>
      <c r="BN78"/>
      <c r="BO78"/>
      <c r="BP78"/>
    </row>
    <row r="79" spans="1:68" ht="16.5" x14ac:dyDescent="0.3">
      <c r="A79"/>
      <c r="B79"/>
      <c r="C79"/>
      <c r="D79"/>
      <c r="E79"/>
      <c r="F79"/>
      <c r="G79"/>
      <c r="H79"/>
      <c r="I79"/>
      <c r="J79"/>
      <c r="K79"/>
      <c r="L79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BL79"/>
      <c r="BM79"/>
      <c r="BN79"/>
      <c r="BO79"/>
      <c r="BP79"/>
    </row>
    <row r="80" spans="1:68" ht="16.5" x14ac:dyDescent="0.3">
      <c r="A80"/>
      <c r="B80"/>
      <c r="C80"/>
      <c r="D80"/>
      <c r="E80"/>
      <c r="F80"/>
      <c r="G80"/>
      <c r="H80"/>
      <c r="I80"/>
      <c r="J80"/>
      <c r="K80"/>
      <c r="L80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BL80"/>
      <c r="BM80"/>
      <c r="BN80"/>
      <c r="BO80"/>
      <c r="BP80"/>
    </row>
    <row r="81" spans="1:68" ht="16.5" x14ac:dyDescent="0.3">
      <c r="A81"/>
      <c r="B81"/>
      <c r="C81"/>
      <c r="D81"/>
      <c r="E81"/>
      <c r="F81"/>
      <c r="G81"/>
      <c r="H81"/>
      <c r="I81"/>
      <c r="J81"/>
      <c r="K81"/>
      <c r="L81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BL81"/>
      <c r="BM81"/>
      <c r="BN81"/>
      <c r="BO81"/>
      <c r="BP81"/>
    </row>
    <row r="82" spans="1:68" ht="16.5" x14ac:dyDescent="0.3">
      <c r="A82"/>
      <c r="B82"/>
      <c r="C82"/>
      <c r="D82"/>
      <c r="E82"/>
      <c r="F82"/>
      <c r="G82"/>
      <c r="H82"/>
      <c r="I82"/>
      <c r="J82"/>
      <c r="K82"/>
      <c r="L82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BL82"/>
      <c r="BM82"/>
      <c r="BN82"/>
      <c r="BO82"/>
      <c r="BP82"/>
    </row>
    <row r="83" spans="1:68" ht="16.5" x14ac:dyDescent="0.3">
      <c r="A83"/>
      <c r="B83"/>
      <c r="C83"/>
      <c r="D83"/>
      <c r="E83"/>
      <c r="F83"/>
      <c r="G83"/>
      <c r="H83"/>
      <c r="I83"/>
      <c r="J83"/>
      <c r="K83"/>
      <c r="L83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BL83"/>
      <c r="BM83"/>
      <c r="BN83"/>
      <c r="BO83"/>
      <c r="BP83"/>
    </row>
    <row r="84" spans="1:68" ht="16.5" x14ac:dyDescent="0.3">
      <c r="A84"/>
      <c r="B84"/>
      <c r="C84"/>
      <c r="D84"/>
      <c r="E84"/>
      <c r="F84"/>
      <c r="G84"/>
      <c r="H84"/>
      <c r="I84"/>
      <c r="J84"/>
      <c r="K84"/>
      <c r="L84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BL84"/>
      <c r="BM84"/>
      <c r="BN84"/>
      <c r="BO84"/>
      <c r="BP84"/>
    </row>
    <row r="85" spans="1:68" ht="16.5" x14ac:dyDescent="0.3">
      <c r="A85"/>
      <c r="B85"/>
      <c r="C85"/>
      <c r="D85"/>
      <c r="E85"/>
      <c r="F85"/>
      <c r="G85"/>
      <c r="H85"/>
      <c r="I85"/>
      <c r="J85"/>
      <c r="K85"/>
      <c r="L85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BL85"/>
      <c r="BM85"/>
      <c r="BN85"/>
      <c r="BO85"/>
      <c r="BP85"/>
    </row>
    <row r="86" spans="1:68" ht="16.5" x14ac:dyDescent="0.3">
      <c r="A86"/>
      <c r="B86"/>
      <c r="C86"/>
      <c r="D86"/>
      <c r="E86"/>
      <c r="F86"/>
      <c r="G86"/>
      <c r="H86"/>
      <c r="I86"/>
      <c r="J86"/>
      <c r="K86"/>
      <c r="L8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</row>
    <row r="87" spans="1:68" ht="16.5" x14ac:dyDescent="0.3">
      <c r="A87"/>
      <c r="B87"/>
      <c r="C87"/>
      <c r="D87"/>
      <c r="E87"/>
      <c r="F87"/>
      <c r="G87"/>
      <c r="H87"/>
      <c r="I87"/>
      <c r="J87"/>
      <c r="K87"/>
      <c r="L87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</row>
    <row r="88" spans="1:68" ht="16.5" x14ac:dyDescent="0.3">
      <c r="A88"/>
      <c r="B88"/>
      <c r="C88"/>
      <c r="D88"/>
      <c r="E88"/>
      <c r="F88"/>
      <c r="G88"/>
      <c r="H88"/>
      <c r="I88"/>
      <c r="J88"/>
      <c r="K88"/>
      <c r="L88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</row>
    <row r="89" spans="1:68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68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68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68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68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68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68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68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</sheetData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135"/>
  <sheetViews>
    <sheetView zoomScale="84" zoomScaleNormal="84" workbookViewId="0">
      <selection activeCell="C7" sqref="C7"/>
    </sheetView>
  </sheetViews>
  <sheetFormatPr defaultColWidth="9.140625" defaultRowHeight="13.5" x14ac:dyDescent="0.25"/>
  <cols>
    <col min="1" max="1" width="6.7109375" style="42" bestFit="1" customWidth="1"/>
    <col min="2" max="2" width="8.140625" style="74" bestFit="1" customWidth="1"/>
    <col min="3" max="3" width="12.140625" style="74" bestFit="1" customWidth="1"/>
    <col min="4" max="4" width="11.5703125" style="74" bestFit="1" customWidth="1"/>
    <col min="5" max="5" width="11.5703125" style="42" bestFit="1" customWidth="1"/>
    <col min="6" max="6" width="9.5703125" style="42" bestFit="1" customWidth="1"/>
    <col min="7" max="7" width="9.7109375" style="42" bestFit="1" customWidth="1"/>
    <col min="8" max="9" width="9.140625" style="42"/>
    <col min="10" max="10" width="9.140625" style="42" customWidth="1"/>
    <col min="11" max="11" width="14.5703125" style="42" bestFit="1" customWidth="1"/>
    <col min="12" max="16384" width="9.140625" style="42"/>
  </cols>
  <sheetData>
    <row r="1" spans="1:19" ht="18.75" x14ac:dyDescent="0.3">
      <c r="C1" s="82" t="s">
        <v>116</v>
      </c>
      <c r="D1" s="82" t="s">
        <v>50</v>
      </c>
      <c r="E1" s="82" t="s">
        <v>52</v>
      </c>
      <c r="F1" s="82" t="s">
        <v>66</v>
      </c>
      <c r="G1" s="82" t="s">
        <v>26</v>
      </c>
      <c r="I1" s="97" t="s">
        <v>80</v>
      </c>
      <c r="J1" s="96"/>
      <c r="K1" s="97" t="s">
        <v>81</v>
      </c>
      <c r="L1" s="97"/>
      <c r="M1" s="97"/>
      <c r="N1" s="97"/>
      <c r="O1" s="97"/>
      <c r="P1" s="96"/>
      <c r="Q1" s="97"/>
      <c r="R1" s="97"/>
      <c r="S1" s="98"/>
    </row>
    <row r="2" spans="1:19" ht="15" x14ac:dyDescent="0.25">
      <c r="C2" s="110">
        <v>4</v>
      </c>
      <c r="D2" s="83">
        <f>INTERCEPT($C$6:$C$29,$A$6:$A$29)</f>
        <v>34.44876811594203</v>
      </c>
      <c r="E2" s="83">
        <f>SLOPE($C$6:$C$29,$A$6:$A$29)</f>
        <v>1.1515217391304349</v>
      </c>
      <c r="F2" s="84">
        <f>RSQ($C$6:$C$76,$A$6:$A$76)</f>
        <v>0.91543364340941924</v>
      </c>
      <c r="G2" s="83">
        <f>STEYX($C$6:$C$76,$A$6:$A$76)</f>
        <v>2.5304344784125266</v>
      </c>
      <c r="I2" s="74" t="s">
        <v>69</v>
      </c>
      <c r="J2" s="74" t="s">
        <v>68</v>
      </c>
      <c r="K2" s="74" t="s">
        <v>70</v>
      </c>
      <c r="L2" s="42" t="s">
        <v>82</v>
      </c>
    </row>
    <row r="3" spans="1:19" x14ac:dyDescent="0.25">
      <c r="A3" s="85" t="str">
        <f>[1]ArdiData!A2</f>
        <v>Per.</v>
      </c>
      <c r="B3" s="63" t="str">
        <f>[1]ArdiData!D2</f>
        <v>Trend&amp;S</v>
      </c>
      <c r="C3" s="74" t="s">
        <v>65</v>
      </c>
      <c r="D3" s="42" t="s">
        <v>67</v>
      </c>
      <c r="E3" s="42" t="s">
        <v>68</v>
      </c>
      <c r="F3" s="42" t="s">
        <v>69</v>
      </c>
      <c r="G3" s="42" t="s">
        <v>71</v>
      </c>
      <c r="I3" s="74">
        <v>1</v>
      </c>
      <c r="J3" s="86">
        <f>AVERAGEIF($F$4:$F$31,I3,$E$4:$E$31)</f>
        <v>0.8269992824632828</v>
      </c>
      <c r="K3" s="74">
        <f>J3/$J$8</f>
        <v>0.82474657896645398</v>
      </c>
      <c r="L3" s="42" t="s">
        <v>83</v>
      </c>
    </row>
    <row r="4" spans="1:19" ht="15" x14ac:dyDescent="0.3">
      <c r="A4" s="85">
        <f>[1]ArdiData!A3</f>
        <v>1</v>
      </c>
      <c r="B4" s="87">
        <f>'0.ArdiData28Fixed'!D3</f>
        <v>33</v>
      </c>
      <c r="D4" s="88">
        <f>$D$2+$E$2*A4</f>
        <v>35.600289855072468</v>
      </c>
      <c r="E4" s="92">
        <f>B4/D4</f>
        <v>0.9269587448400517</v>
      </c>
      <c r="F4" s="109">
        <f>IF(MOD(A4,$C$2)&lt;&gt;0,MOD(A4,$C$2),$C$2)</f>
        <v>1</v>
      </c>
      <c r="G4" s="89">
        <f>VLOOKUP(F4,$I$3:$K$7,3)*D4</f>
        <v>29.361217268185175</v>
      </c>
      <c r="I4" s="74">
        <v>2</v>
      </c>
      <c r="J4" s="86">
        <f t="shared" ref="J4:J6" si="0">AVERAGEIF($F$4:$F$31,I4,$E$4:$E$31)</f>
        <v>1.0407759346705692</v>
      </c>
      <c r="K4" s="74">
        <f t="shared" ref="K4:K6" si="1">J4/$J$8</f>
        <v>1.0379409145718042</v>
      </c>
      <c r="L4" s="42" t="s">
        <v>84</v>
      </c>
    </row>
    <row r="5" spans="1:19" ht="15" x14ac:dyDescent="0.3">
      <c r="A5" s="85">
        <f>[1]ArdiData!A4</f>
        <v>2</v>
      </c>
      <c r="B5" s="87">
        <f>'0.ArdiData28Fixed'!D4</f>
        <v>35</v>
      </c>
      <c r="D5" s="88">
        <f t="shared" ref="D5:D31" si="2">$D$2+$E$2*A5</f>
        <v>36.751811594202898</v>
      </c>
      <c r="E5" s="92">
        <f t="shared" ref="E5:E31" si="3">B5/D5</f>
        <v>0.95233400699955639</v>
      </c>
      <c r="F5" s="109">
        <f t="shared" ref="F5:F31" si="4">IF(MOD(A5,$C$2)&lt;&gt;0,MOD(A5,$C$2),$C$2)</f>
        <v>2</v>
      </c>
      <c r="G5" s="89">
        <f t="shared" ref="G5:G31" si="5">VLOOKUP(F5,$I$3:$K$7,3)*D5</f>
        <v>38.146208938257594</v>
      </c>
      <c r="I5" s="74">
        <v>3</v>
      </c>
      <c r="J5" s="86">
        <f t="shared" si="0"/>
        <v>1.3244598779444963</v>
      </c>
      <c r="K5" s="74">
        <f t="shared" si="1"/>
        <v>1.3208521173796164</v>
      </c>
      <c r="L5" s="42" t="s">
        <v>85</v>
      </c>
    </row>
    <row r="6" spans="1:19" ht="15" x14ac:dyDescent="0.3">
      <c r="A6" s="85">
        <f>[1]ArdiData!A5</f>
        <v>3</v>
      </c>
      <c r="B6" s="87">
        <f>'0.ArdiData28Fixed'!D5</f>
        <v>48</v>
      </c>
      <c r="C6" s="90">
        <f>(AVERAGE(B4:B7)+AVERAGE(B5:B8))/2</f>
        <v>35</v>
      </c>
      <c r="D6" s="88">
        <f t="shared" si="2"/>
        <v>37.903333333333336</v>
      </c>
      <c r="E6" s="92">
        <f t="shared" si="3"/>
        <v>1.2663793861577697</v>
      </c>
      <c r="F6" s="109">
        <f t="shared" si="4"/>
        <v>3</v>
      </c>
      <c r="G6" s="89">
        <f t="shared" si="5"/>
        <v>50.064698089078732</v>
      </c>
      <c r="I6" s="74">
        <v>4</v>
      </c>
      <c r="J6" s="86">
        <f t="shared" si="0"/>
        <v>0.81869045977343069</v>
      </c>
      <c r="K6" s="74">
        <f t="shared" si="1"/>
        <v>0.81646038908212526</v>
      </c>
      <c r="L6" s="42" t="s">
        <v>86</v>
      </c>
    </row>
    <row r="7" spans="1:19" ht="15" x14ac:dyDescent="0.3">
      <c r="A7" s="85">
        <f>[1]ArdiData!A6</f>
        <v>4</v>
      </c>
      <c r="B7" s="87">
        <f>'0.ArdiData28Fixed'!D6</f>
        <v>28</v>
      </c>
      <c r="C7" s="90">
        <f t="shared" ref="C7:C28" si="6">(AVERAGE(B5:B8)+AVERAGE(B6:B9))/2</f>
        <v>36.25</v>
      </c>
      <c r="D7" s="88">
        <f t="shared" si="2"/>
        <v>39.054855072463766</v>
      </c>
      <c r="E7" s="92">
        <f t="shared" si="3"/>
        <v>0.71694031249246237</v>
      </c>
      <c r="F7" s="109">
        <f t="shared" si="4"/>
        <v>4</v>
      </c>
      <c r="G7" s="89">
        <f t="shared" si="5"/>
        <v>31.886742168009778</v>
      </c>
      <c r="I7" s="74"/>
      <c r="J7" s="86"/>
      <c r="K7" s="74"/>
      <c r="L7" s="42" t="s">
        <v>87</v>
      </c>
    </row>
    <row r="8" spans="1:19" ht="15" x14ac:dyDescent="0.3">
      <c r="A8" s="85">
        <f>[1]ArdiData!A7</f>
        <v>5</v>
      </c>
      <c r="B8" s="87">
        <f>'0.ArdiData28Fixed'!D7</f>
        <v>25</v>
      </c>
      <c r="C8" s="90">
        <f t="shared" si="6"/>
        <v>38.75</v>
      </c>
      <c r="D8" s="88">
        <f t="shared" si="2"/>
        <v>40.206376811594204</v>
      </c>
      <c r="E8" s="92">
        <f t="shared" si="3"/>
        <v>0.62179191418190205</v>
      </c>
      <c r="F8" s="109">
        <f t="shared" si="4"/>
        <v>1</v>
      </c>
      <c r="G8" s="89">
        <f t="shared" si="5"/>
        <v>33.160071727998485</v>
      </c>
      <c r="I8" s="74"/>
      <c r="J8" s="91">
        <f>AVERAGE(J3:J6)</f>
        <v>1.0027313887129448</v>
      </c>
      <c r="K8" s="91">
        <f>AVERAGE(K3:K7)</f>
        <v>0.99999999999999989</v>
      </c>
    </row>
    <row r="9" spans="1:19" ht="15" x14ac:dyDescent="0.3">
      <c r="A9" s="85">
        <f>[1]ArdiData!A8</f>
        <v>6</v>
      </c>
      <c r="B9" s="87">
        <f>'0.ArdiData28Fixed'!D8</f>
        <v>53</v>
      </c>
      <c r="C9" s="90">
        <f t="shared" si="6"/>
        <v>40.75</v>
      </c>
      <c r="D9" s="88">
        <f t="shared" si="2"/>
        <v>41.357898550724641</v>
      </c>
      <c r="E9" s="92">
        <f t="shared" si="3"/>
        <v>1.2814964458360125</v>
      </c>
      <c r="F9" s="109">
        <f t="shared" si="4"/>
        <v>2</v>
      </c>
      <c r="G9" s="89">
        <f t="shared" si="5"/>
        <v>42.927055046507029</v>
      </c>
    </row>
    <row r="10" spans="1:19" ht="15" x14ac:dyDescent="0.3">
      <c r="A10" s="85">
        <f>[1]ArdiData!A9</f>
        <v>7</v>
      </c>
      <c r="B10" s="87">
        <f>'0.ArdiData28Fixed'!D9</f>
        <v>50</v>
      </c>
      <c r="C10" s="90">
        <f t="shared" si="6"/>
        <v>44.375</v>
      </c>
      <c r="D10" s="88">
        <f t="shared" si="2"/>
        <v>42.509420289855072</v>
      </c>
      <c r="E10" s="92">
        <f t="shared" si="3"/>
        <v>1.1762098767536608</v>
      </c>
      <c r="F10" s="109">
        <f t="shared" si="4"/>
        <v>3</v>
      </c>
      <c r="G10" s="89">
        <f t="shared" si="5"/>
        <v>56.148657798435096</v>
      </c>
    </row>
    <row r="11" spans="1:19" ht="15" x14ac:dyDescent="0.3">
      <c r="A11" s="85">
        <f>[1]ArdiData!A10</f>
        <v>8</v>
      </c>
      <c r="B11" s="87">
        <f>'0.ArdiData28Fixed'!D10</f>
        <v>42</v>
      </c>
      <c r="C11" s="90">
        <f t="shared" si="6"/>
        <v>45.375</v>
      </c>
      <c r="D11" s="88">
        <f t="shared" si="2"/>
        <v>43.660942028985509</v>
      </c>
      <c r="E11" s="92">
        <f t="shared" si="3"/>
        <v>0.96195817241224779</v>
      </c>
      <c r="F11" s="109">
        <f t="shared" si="4"/>
        <v>4</v>
      </c>
      <c r="G11" s="89">
        <f t="shared" si="5"/>
        <v>35.647429716677621</v>
      </c>
    </row>
    <row r="12" spans="1:19" ht="15" x14ac:dyDescent="0.3">
      <c r="A12" s="85">
        <f>[1]ArdiData!A11</f>
        <v>9</v>
      </c>
      <c r="B12" s="87">
        <f>'0.ArdiData28Fixed'!D11</f>
        <v>40</v>
      </c>
      <c r="C12" s="90">
        <f t="shared" si="6"/>
        <v>47.25</v>
      </c>
      <c r="D12" s="88">
        <f t="shared" si="2"/>
        <v>44.812463768115947</v>
      </c>
      <c r="E12" s="92">
        <f t="shared" si="3"/>
        <v>0.89260881095450917</v>
      </c>
      <c r="F12" s="109">
        <f t="shared" si="4"/>
        <v>1</v>
      </c>
      <c r="G12" s="89">
        <f t="shared" si="5"/>
        <v>36.958926187811798</v>
      </c>
    </row>
    <row r="13" spans="1:19" ht="15" x14ac:dyDescent="0.3">
      <c r="A13" s="85">
        <f>[1]ArdiData!A12</f>
        <v>10</v>
      </c>
      <c r="B13" s="87">
        <f>'0.ArdiData28Fixed'!D12</f>
        <v>46</v>
      </c>
      <c r="C13" s="90">
        <f t="shared" si="6"/>
        <v>48.625</v>
      </c>
      <c r="D13" s="88">
        <f t="shared" si="2"/>
        <v>45.963985507246377</v>
      </c>
      <c r="E13" s="92">
        <f t="shared" si="3"/>
        <v>1.000783537205405</v>
      </c>
      <c r="F13" s="109">
        <f t="shared" si="4"/>
        <v>2</v>
      </c>
      <c r="G13" s="89">
        <f t="shared" si="5"/>
        <v>47.707901154756456</v>
      </c>
    </row>
    <row r="14" spans="1:19" ht="15" x14ac:dyDescent="0.3">
      <c r="A14" s="85">
        <f>[1]ArdiData!A13</f>
        <v>11</v>
      </c>
      <c r="B14" s="87">
        <f>'0.ArdiData28Fixed'!D13</f>
        <v>72</v>
      </c>
      <c r="C14" s="90">
        <f t="shared" si="6"/>
        <v>47.75</v>
      </c>
      <c r="D14" s="88">
        <f t="shared" si="2"/>
        <v>47.115507246376815</v>
      </c>
      <c r="E14" s="92">
        <f t="shared" si="3"/>
        <v>1.5281592878433206</v>
      </c>
      <c r="F14" s="109">
        <f t="shared" si="4"/>
        <v>3</v>
      </c>
      <c r="G14" s="89">
        <f t="shared" si="5"/>
        <v>62.232617507791474</v>
      </c>
    </row>
    <row r="15" spans="1:19" ht="15" x14ac:dyDescent="0.3">
      <c r="A15" s="85">
        <f>[1]ArdiData!A14</f>
        <v>12</v>
      </c>
      <c r="B15" s="87">
        <f>'0.ArdiData28Fixed'!D14</f>
        <v>31</v>
      </c>
      <c r="C15" s="90">
        <f t="shared" si="6"/>
        <v>47.375</v>
      </c>
      <c r="D15" s="88">
        <f t="shared" si="2"/>
        <v>48.267028985507253</v>
      </c>
      <c r="E15" s="92">
        <f t="shared" si="3"/>
        <v>0.64226037217472232</v>
      </c>
      <c r="F15" s="109">
        <f t="shared" si="4"/>
        <v>4</v>
      </c>
      <c r="G15" s="89">
        <f t="shared" si="5"/>
        <v>39.408117265345467</v>
      </c>
    </row>
    <row r="16" spans="1:19" ht="15" x14ac:dyDescent="0.3">
      <c r="A16" s="85">
        <f>[1]ArdiData!A15</f>
        <v>13</v>
      </c>
      <c r="B16" s="87">
        <f>'0.ArdiData28Fixed'!D15</f>
        <v>44</v>
      </c>
      <c r="C16" s="90">
        <f t="shared" si="6"/>
        <v>46.5</v>
      </c>
      <c r="D16" s="88">
        <f t="shared" si="2"/>
        <v>49.418550724637683</v>
      </c>
      <c r="E16" s="92">
        <f t="shared" si="3"/>
        <v>0.89035391274766262</v>
      </c>
      <c r="F16" s="109">
        <f t="shared" si="4"/>
        <v>1</v>
      </c>
      <c r="G16" s="89">
        <f t="shared" si="5"/>
        <v>40.757780647625104</v>
      </c>
    </row>
    <row r="17" spans="1:11" ht="15" x14ac:dyDescent="0.3">
      <c r="A17" s="85">
        <f>[1]ArdiData!A16</f>
        <v>14</v>
      </c>
      <c r="B17" s="87">
        <f>'0.ArdiData28Fixed'!D16</f>
        <v>39</v>
      </c>
      <c r="C17" s="90">
        <f t="shared" si="6"/>
        <v>49</v>
      </c>
      <c r="D17" s="88">
        <f t="shared" si="2"/>
        <v>50.57007246376812</v>
      </c>
      <c r="E17" s="92">
        <f t="shared" si="3"/>
        <v>0.77120712112766465</v>
      </c>
      <c r="F17" s="109">
        <f t="shared" si="4"/>
        <v>2</v>
      </c>
      <c r="G17" s="89">
        <f t="shared" si="5"/>
        <v>52.488747263005891</v>
      </c>
    </row>
    <row r="18" spans="1:11" ht="15" x14ac:dyDescent="0.3">
      <c r="A18" s="85">
        <f>[1]ArdiData!A17</f>
        <v>15</v>
      </c>
      <c r="B18" s="87">
        <f>'0.ArdiData28Fixed'!D17</f>
        <v>72</v>
      </c>
      <c r="C18" s="90">
        <f t="shared" si="6"/>
        <v>51.125</v>
      </c>
      <c r="D18" s="88">
        <f t="shared" si="2"/>
        <v>51.721594202898558</v>
      </c>
      <c r="E18" s="92">
        <f t="shared" si="3"/>
        <v>1.3920684601783795</v>
      </c>
      <c r="F18" s="109">
        <f t="shared" si="4"/>
        <v>3</v>
      </c>
      <c r="G18" s="89">
        <f t="shared" si="5"/>
        <v>68.316577217147852</v>
      </c>
    </row>
    <row r="19" spans="1:11" ht="15" x14ac:dyDescent="0.3">
      <c r="A19" s="85">
        <f>[1]ArdiData!A18</f>
        <v>16</v>
      </c>
      <c r="B19" s="87">
        <f>'0.ArdiData28Fixed'!D18</f>
        <v>51</v>
      </c>
      <c r="C19" s="90">
        <f t="shared" si="6"/>
        <v>54</v>
      </c>
      <c r="D19" s="88">
        <f t="shared" si="2"/>
        <v>52.873115942028988</v>
      </c>
      <c r="E19" s="92">
        <f t="shared" si="3"/>
        <v>0.96457337706212165</v>
      </c>
      <c r="F19" s="109">
        <f t="shared" si="4"/>
        <v>4</v>
      </c>
      <c r="G19" s="89">
        <f t="shared" si="5"/>
        <v>43.168804814013306</v>
      </c>
    </row>
    <row r="20" spans="1:11" ht="15" x14ac:dyDescent="0.3">
      <c r="A20" s="85">
        <f>[1]ArdiData!A19</f>
        <v>17</v>
      </c>
      <c r="B20" s="87">
        <f>'0.ArdiData28Fixed'!D19</f>
        <v>41</v>
      </c>
      <c r="C20" s="90">
        <f t="shared" si="6"/>
        <v>56.625</v>
      </c>
      <c r="D20" s="88">
        <f t="shared" si="2"/>
        <v>54.024637681159419</v>
      </c>
      <c r="E20" s="92">
        <f t="shared" si="3"/>
        <v>0.75891300265579309</v>
      </c>
      <c r="F20" s="109">
        <f t="shared" si="4"/>
        <v>1</v>
      </c>
      <c r="G20" s="89">
        <f t="shared" si="5"/>
        <v>44.55663510743841</v>
      </c>
    </row>
    <row r="21" spans="1:11" ht="15" x14ac:dyDescent="0.3">
      <c r="A21" s="85">
        <f>[1]ArdiData!A20</f>
        <v>18</v>
      </c>
      <c r="B21" s="87">
        <f>'0.ArdiData28Fixed'!D20</f>
        <v>65</v>
      </c>
      <c r="C21" s="90">
        <f t="shared" si="6"/>
        <v>56</v>
      </c>
      <c r="D21" s="88">
        <f t="shared" si="2"/>
        <v>55.176159420289856</v>
      </c>
      <c r="E21" s="92">
        <f t="shared" si="3"/>
        <v>1.1780450231209394</v>
      </c>
      <c r="F21" s="109">
        <f t="shared" si="4"/>
        <v>2</v>
      </c>
      <c r="G21" s="89">
        <f t="shared" si="5"/>
        <v>57.269593371255318</v>
      </c>
    </row>
    <row r="22" spans="1:11" ht="15" x14ac:dyDescent="0.3">
      <c r="A22" s="85">
        <f>[1]ArdiData!A21</f>
        <v>19</v>
      </c>
      <c r="B22" s="87">
        <f>'0.ArdiData28Fixed'!D21</f>
        <v>67</v>
      </c>
      <c r="C22" s="90">
        <f t="shared" si="6"/>
        <v>57.875</v>
      </c>
      <c r="D22" s="88">
        <f t="shared" si="2"/>
        <v>56.327681159420294</v>
      </c>
      <c r="E22" s="92">
        <f t="shared" si="3"/>
        <v>1.1894684570872815</v>
      </c>
      <c r="F22" s="109">
        <f t="shared" si="4"/>
        <v>3</v>
      </c>
      <c r="G22" s="89">
        <f t="shared" si="5"/>
        <v>74.400536926504216</v>
      </c>
    </row>
    <row r="23" spans="1:11" ht="15" x14ac:dyDescent="0.3">
      <c r="A23" s="85">
        <f>[1]ArdiData!A22</f>
        <v>20</v>
      </c>
      <c r="B23" s="87">
        <f>'0.ArdiData28Fixed'!D22</f>
        <v>51</v>
      </c>
      <c r="C23" s="90">
        <f t="shared" si="6"/>
        <v>60.25</v>
      </c>
      <c r="D23" s="88">
        <f t="shared" si="2"/>
        <v>57.479202898550724</v>
      </c>
      <c r="E23" s="92">
        <f t="shared" si="3"/>
        <v>0.88727743998144259</v>
      </c>
      <c r="F23" s="109">
        <f t="shared" si="4"/>
        <v>4</v>
      </c>
      <c r="G23" s="89">
        <f t="shared" si="5"/>
        <v>46.929492362681145</v>
      </c>
    </row>
    <row r="24" spans="1:11" ht="15" x14ac:dyDescent="0.3">
      <c r="A24" s="85">
        <f>[1]ArdiData!A23</f>
        <v>21</v>
      </c>
      <c r="B24" s="87">
        <f>'0.ArdiData28Fixed'!D23</f>
        <v>56</v>
      </c>
      <c r="C24" s="90">
        <f t="shared" si="6"/>
        <v>62.625</v>
      </c>
      <c r="D24" s="88">
        <f t="shared" si="2"/>
        <v>58.630724637681162</v>
      </c>
      <c r="E24" s="92">
        <f t="shared" si="3"/>
        <v>0.9551306136170381</v>
      </c>
      <c r="F24" s="109">
        <f t="shared" si="4"/>
        <v>1</v>
      </c>
      <c r="G24" s="89">
        <f t="shared" si="5"/>
        <v>48.355489567251723</v>
      </c>
    </row>
    <row r="25" spans="1:11" ht="15" x14ac:dyDescent="0.3">
      <c r="A25" s="85">
        <f>[1]ArdiData!A24</f>
        <v>22</v>
      </c>
      <c r="B25" s="87">
        <f>'0.ArdiData28Fixed'!D24</f>
        <v>69</v>
      </c>
      <c r="C25" s="90">
        <f t="shared" si="6"/>
        <v>63</v>
      </c>
      <c r="D25" s="88">
        <f t="shared" si="2"/>
        <v>59.782246376811599</v>
      </c>
      <c r="E25" s="92">
        <f t="shared" si="3"/>
        <v>1.1541888132655349</v>
      </c>
      <c r="F25" s="109">
        <f t="shared" si="4"/>
        <v>2</v>
      </c>
      <c r="G25" s="89">
        <f t="shared" si="5"/>
        <v>62.050439479504753</v>
      </c>
    </row>
    <row r="26" spans="1:11" ht="15" x14ac:dyDescent="0.3">
      <c r="A26" s="85">
        <f>[1]ArdiData!A25</f>
        <v>23</v>
      </c>
      <c r="B26" s="87">
        <f>'0.ArdiData28Fixed'!D25</f>
        <v>82</v>
      </c>
      <c r="C26" s="90">
        <f t="shared" si="6"/>
        <v>60.375</v>
      </c>
      <c r="D26" s="88">
        <f t="shared" si="2"/>
        <v>60.93376811594203</v>
      </c>
      <c r="E26" s="92">
        <f t="shared" si="3"/>
        <v>1.3457234393247122</v>
      </c>
      <c r="F26" s="109">
        <f t="shared" si="4"/>
        <v>3</v>
      </c>
      <c r="G26" s="89">
        <f t="shared" si="5"/>
        <v>80.484496635860594</v>
      </c>
    </row>
    <row r="27" spans="1:11" ht="15" x14ac:dyDescent="0.3">
      <c r="A27" s="85">
        <f>[1]ArdiData!A26</f>
        <v>24</v>
      </c>
      <c r="B27" s="87">
        <f>'0.ArdiData28Fixed'!D26</f>
        <v>39</v>
      </c>
      <c r="C27" s="90">
        <f t="shared" si="6"/>
        <v>58.25</v>
      </c>
      <c r="D27" s="88">
        <f t="shared" si="2"/>
        <v>62.085289855072467</v>
      </c>
      <c r="E27" s="92">
        <f t="shared" si="3"/>
        <v>0.62816812309387382</v>
      </c>
      <c r="F27" s="109">
        <f t="shared" si="4"/>
        <v>4</v>
      </c>
      <c r="G27" s="89">
        <f t="shared" si="5"/>
        <v>50.690179911348991</v>
      </c>
    </row>
    <row r="28" spans="1:11" ht="15" x14ac:dyDescent="0.3">
      <c r="A28" s="85">
        <f>[1]ArdiData!A27</f>
        <v>25</v>
      </c>
      <c r="B28" s="87">
        <f>'0.ArdiData28Fixed'!D27</f>
        <v>47</v>
      </c>
      <c r="C28" s="90">
        <f t="shared" si="6"/>
        <v>58.25</v>
      </c>
      <c r="D28" s="88">
        <f t="shared" si="2"/>
        <v>63.236811594202905</v>
      </c>
      <c r="E28" s="92">
        <f t="shared" si="3"/>
        <v>0.74323797824602245</v>
      </c>
      <c r="F28" s="109">
        <f t="shared" si="4"/>
        <v>1</v>
      </c>
      <c r="G28" s="89">
        <f t="shared" si="5"/>
        <v>52.154344027065036</v>
      </c>
    </row>
    <row r="29" spans="1:11" ht="15" x14ac:dyDescent="0.3">
      <c r="A29" s="85">
        <f>[1]ArdiData!A28</f>
        <v>26</v>
      </c>
      <c r="B29" s="87">
        <f>'0.ArdiData28Fixed'!D28</f>
        <v>61</v>
      </c>
      <c r="C29" s="90">
        <f>(AVERAGE(B27:B30)+AVERAGE(B28:B31))/2</f>
        <v>62.125</v>
      </c>
      <c r="D29" s="88">
        <f t="shared" si="2"/>
        <v>64.388333333333335</v>
      </c>
      <c r="E29" s="92">
        <f t="shared" si="3"/>
        <v>0.94737659513887085</v>
      </c>
      <c r="F29" s="109">
        <f t="shared" si="4"/>
        <v>2</v>
      </c>
      <c r="G29" s="89">
        <f t="shared" si="5"/>
        <v>66.831285587754181</v>
      </c>
    </row>
    <row r="30" spans="1:11" ht="15.75" x14ac:dyDescent="0.3">
      <c r="A30" s="85">
        <f>[1]ArdiData!A29</f>
        <v>27</v>
      </c>
      <c r="B30" s="87">
        <f>'0.ArdiData28Fixed'!D29</f>
        <v>90</v>
      </c>
      <c r="C30"/>
      <c r="D30" s="88">
        <f t="shared" si="2"/>
        <v>65.53985507246378</v>
      </c>
      <c r="E30" s="92">
        <f t="shared" si="3"/>
        <v>1.3732102382663494</v>
      </c>
      <c r="F30" s="109">
        <f t="shared" si="4"/>
        <v>3</v>
      </c>
      <c r="G30" s="89">
        <f t="shared" si="5"/>
        <v>86.568456345216973</v>
      </c>
    </row>
    <row r="31" spans="1:11" ht="15.75" x14ac:dyDescent="0.3">
      <c r="A31" s="85">
        <f>[1]ArdiData!A30</f>
        <v>28</v>
      </c>
      <c r="B31" s="87">
        <f>'0.ArdiData28Fixed'!D30</f>
        <v>62</v>
      </c>
      <c r="C31"/>
      <c r="D31" s="88">
        <f t="shared" si="2"/>
        <v>66.69137681159421</v>
      </c>
      <c r="E31" s="92">
        <f t="shared" si="3"/>
        <v>0.92965542119714317</v>
      </c>
      <c r="F31" s="109">
        <f t="shared" si="4"/>
        <v>4</v>
      </c>
      <c r="G31" s="89">
        <f t="shared" si="5"/>
        <v>54.450867460016838</v>
      </c>
    </row>
    <row r="32" spans="1:11" ht="15" x14ac:dyDescent="0.25">
      <c r="A32"/>
      <c r="B32"/>
      <c r="C32"/>
      <c r="D32"/>
      <c r="E32"/>
      <c r="F32"/>
      <c r="G32"/>
      <c r="H32"/>
      <c r="I32"/>
      <c r="J32"/>
      <c r="K32"/>
    </row>
    <row r="33" spans="1:11" ht="15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5" x14ac:dyDescent="0.25">
      <c r="A34"/>
      <c r="B34"/>
      <c r="C34"/>
      <c r="D34"/>
      <c r="E34"/>
      <c r="F34"/>
      <c r="G34"/>
      <c r="H34"/>
      <c r="I34"/>
      <c r="J34"/>
      <c r="K34"/>
    </row>
    <row r="35" spans="1:11" ht="15" x14ac:dyDescent="0.25">
      <c r="A35"/>
      <c r="B35"/>
      <c r="C35"/>
      <c r="D35"/>
      <c r="E35"/>
      <c r="F35"/>
      <c r="G35"/>
      <c r="H35"/>
      <c r="I35"/>
      <c r="J35"/>
      <c r="K35"/>
    </row>
    <row r="36" spans="1:11" ht="15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5" x14ac:dyDescent="0.25">
      <c r="A37"/>
      <c r="B37"/>
      <c r="C37"/>
      <c r="D37"/>
      <c r="E37"/>
      <c r="F37"/>
      <c r="G37"/>
      <c r="H37"/>
      <c r="I37"/>
      <c r="J37"/>
      <c r="K37"/>
    </row>
    <row r="38" spans="1:11" ht="15" x14ac:dyDescent="0.25">
      <c r="A38"/>
      <c r="B38"/>
      <c r="C38"/>
      <c r="D38"/>
      <c r="E38"/>
      <c r="F38"/>
      <c r="G38"/>
      <c r="H38"/>
      <c r="I38"/>
      <c r="J38"/>
      <c r="K38"/>
    </row>
    <row r="39" spans="1:11" ht="15" x14ac:dyDescent="0.25">
      <c r="A39"/>
      <c r="B39"/>
      <c r="C39"/>
      <c r="D39"/>
      <c r="E39"/>
      <c r="F39"/>
      <c r="G39"/>
      <c r="H39"/>
      <c r="I39"/>
      <c r="J39"/>
      <c r="K39"/>
    </row>
    <row r="40" spans="1:11" ht="15" x14ac:dyDescent="0.25">
      <c r="A40"/>
      <c r="B40"/>
      <c r="C40"/>
      <c r="D40"/>
      <c r="E40"/>
      <c r="F40"/>
      <c r="G40"/>
      <c r="H40"/>
      <c r="I40"/>
      <c r="J40"/>
      <c r="K40"/>
    </row>
    <row r="41" spans="1:11" ht="15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5" x14ac:dyDescent="0.25">
      <c r="A42"/>
      <c r="B42"/>
      <c r="C42"/>
      <c r="D42"/>
      <c r="E42"/>
      <c r="F42"/>
      <c r="G42"/>
      <c r="H42"/>
      <c r="I42"/>
      <c r="J42"/>
      <c r="K42"/>
    </row>
    <row r="43" spans="1:11" ht="15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5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5" x14ac:dyDescent="0.25">
      <c r="A45"/>
      <c r="B45"/>
      <c r="C45"/>
      <c r="D45"/>
      <c r="E45"/>
      <c r="F45"/>
      <c r="G45"/>
      <c r="H45"/>
      <c r="I45"/>
      <c r="J45"/>
      <c r="K45"/>
    </row>
    <row r="46" spans="1:11" ht="15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5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5" x14ac:dyDescent="0.25">
      <c r="A48"/>
      <c r="B48"/>
      <c r="C48"/>
      <c r="D48"/>
      <c r="E48"/>
      <c r="F48"/>
      <c r="G48"/>
      <c r="H48"/>
      <c r="I48"/>
      <c r="J48"/>
      <c r="K48"/>
    </row>
    <row r="49" spans="1:11" ht="15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5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5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5" x14ac:dyDescent="0.25">
      <c r="A52"/>
      <c r="B52"/>
      <c r="C52"/>
      <c r="D52"/>
      <c r="E52"/>
      <c r="F52"/>
      <c r="G52"/>
      <c r="H52"/>
      <c r="I52"/>
      <c r="J52"/>
      <c r="K52"/>
    </row>
    <row r="53" spans="1:1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5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5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5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5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5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5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5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ht="15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ht="15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ht="15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ht="15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ht="15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ht="15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ht="15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ht="15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ht="15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ht="15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ht="15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ht="15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ht="15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ht="15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ht="15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ht="15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ht="15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ht="15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ht="15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ht="15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ht="15" x14ac:dyDescent="0.25">
      <c r="A135"/>
      <c r="B135"/>
      <c r="C135"/>
      <c r="D135"/>
      <c r="E135"/>
      <c r="F135"/>
      <c r="G135"/>
      <c r="H135"/>
      <c r="I135"/>
      <c r="J135"/>
      <c r="K135"/>
    </row>
  </sheetData>
  <conditionalFormatting sqref="F4:F31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0621-FBC4-4BE5-8038-616336597D92}">
  <dimension ref="A1:BJ300"/>
  <sheetViews>
    <sheetView tabSelected="1" zoomScale="96" zoomScaleNormal="96" workbookViewId="0">
      <selection activeCell="V21" sqref="V21:V22"/>
    </sheetView>
  </sheetViews>
  <sheetFormatPr defaultColWidth="9.140625" defaultRowHeight="15" x14ac:dyDescent="0.25"/>
  <cols>
    <col min="1" max="1" width="4.5703125" style="42" bestFit="1" customWidth="1"/>
    <col min="2" max="2" width="12.42578125" style="42" customWidth="1"/>
    <col min="3" max="6" width="9.7109375" style="42" customWidth="1"/>
    <col min="7" max="7" width="12.42578125" style="42" bestFit="1" customWidth="1"/>
    <col min="8" max="10" width="9.7109375" style="42" customWidth="1"/>
    <col min="11" max="11" width="9.140625" style="42"/>
    <col min="12" max="12" width="12.140625" style="42" bestFit="1" customWidth="1"/>
    <col min="13" max="13" width="13.85546875" style="42" bestFit="1" customWidth="1"/>
    <col min="14" max="14" width="12.42578125" style="42" bestFit="1" customWidth="1"/>
    <col min="15" max="15" width="12.42578125" style="42" customWidth="1"/>
    <col min="16" max="16" width="12.140625" style="42" bestFit="1" customWidth="1"/>
    <col min="17" max="20" width="9.28515625" style="42" bestFit="1" customWidth="1"/>
    <col min="21" max="22" width="9.140625" style="42"/>
    <col min="23" max="23" width="9.28515625" style="42" bestFit="1" customWidth="1"/>
    <col min="24" max="34" width="9.140625" style="42"/>
    <col min="35" max="35" width="9.140625" style="42" customWidth="1"/>
    <col min="36" max="38" width="9.140625" style="42"/>
    <col min="39" max="39" width="9.28515625" bestFit="1" customWidth="1"/>
    <col min="40" max="40" width="14" customWidth="1"/>
    <col min="41" max="41" width="12.28515625" customWidth="1"/>
    <col min="42" max="42" width="10.140625" bestFit="1" customWidth="1"/>
    <col min="43" max="43" width="10.140625" customWidth="1"/>
    <col min="44" max="46" width="9.28515625" customWidth="1"/>
    <col min="47" max="47" width="9.28515625" bestFit="1" customWidth="1"/>
    <col min="48" max="48" width="12.28515625" bestFit="1" customWidth="1"/>
    <col min="58" max="16384" width="9.140625" style="42"/>
  </cols>
  <sheetData>
    <row r="1" spans="1:62" ht="15.75" thickBot="1" x14ac:dyDescent="0.3">
      <c r="C1" s="42">
        <v>4</v>
      </c>
      <c r="K1" s="106"/>
      <c r="L1" s="107"/>
      <c r="M1" s="106"/>
      <c r="N1" s="4"/>
      <c r="O1" s="4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62" customFormat="1" ht="17.25" thickBot="1" x14ac:dyDescent="0.35">
      <c r="A2" s="111" t="s">
        <v>4</v>
      </c>
      <c r="B2" s="113">
        <v>1</v>
      </c>
      <c r="C2" s="113">
        <v>2</v>
      </c>
      <c r="D2" s="113">
        <v>3</v>
      </c>
      <c r="E2" s="113">
        <v>4</v>
      </c>
      <c r="F2" s="42"/>
      <c r="G2" s="1"/>
      <c r="H2" s="42"/>
      <c r="I2" s="1"/>
      <c r="J2" s="1"/>
      <c r="K2" s="1"/>
      <c r="L2" s="42"/>
      <c r="M2" s="42"/>
      <c r="N2" s="42"/>
      <c r="O2" s="42"/>
    </row>
    <row r="3" spans="1:62" customFormat="1" x14ac:dyDescent="0.25">
      <c r="A3" s="50" t="s">
        <v>145</v>
      </c>
      <c r="B3" s="94" t="s">
        <v>141</v>
      </c>
      <c r="C3" s="94" t="s">
        <v>142</v>
      </c>
      <c r="D3" s="94" t="s">
        <v>143</v>
      </c>
      <c r="E3" s="94" t="s">
        <v>144</v>
      </c>
      <c r="F3" s="74" t="s">
        <v>0</v>
      </c>
      <c r="G3" s="74" t="s">
        <v>100</v>
      </c>
      <c r="H3" s="42"/>
      <c r="I3" s="74"/>
      <c r="J3" t="s">
        <v>27</v>
      </c>
      <c r="AJ3" s="42"/>
      <c r="AK3" s="42"/>
      <c r="AL3" s="42"/>
      <c r="BF3" s="42"/>
      <c r="BG3" s="42"/>
      <c r="BH3" s="42"/>
      <c r="BI3" s="42"/>
      <c r="BJ3" s="42"/>
    </row>
    <row r="4" spans="1:62" customFormat="1" ht="17.25" thickBot="1" x14ac:dyDescent="0.35">
      <c r="A4" s="59">
        <v>1</v>
      </c>
      <c r="B4" s="114">
        <f t="shared" ref="B4:E31" si="0">IF(MOD($A4,$C$1)=B$2,1,0)</f>
        <v>1</v>
      </c>
      <c r="C4" s="114">
        <f t="shared" si="0"/>
        <v>0</v>
      </c>
      <c r="D4" s="114">
        <f t="shared" si="0"/>
        <v>0</v>
      </c>
      <c r="E4" s="114">
        <f t="shared" si="0"/>
        <v>0</v>
      </c>
      <c r="F4" s="59">
        <f>'0.ArdiData28Fixed'!D3</f>
        <v>33</v>
      </c>
      <c r="G4" s="124">
        <f>$K$19+$K$20*A4+$K$21*B4+$K$22*C4+$K$23*D4</f>
        <v>26.526785714285719</v>
      </c>
      <c r="H4" s="42"/>
      <c r="I4" s="42"/>
      <c r="AJ4" s="42"/>
      <c r="AK4" s="42"/>
      <c r="AL4" s="42"/>
      <c r="BF4" s="42"/>
      <c r="BG4" s="42"/>
      <c r="BH4" s="42"/>
      <c r="BI4" s="42"/>
      <c r="BJ4" s="42"/>
    </row>
    <row r="5" spans="1:62" customFormat="1" ht="16.5" x14ac:dyDescent="0.3">
      <c r="A5" s="59">
        <v>2</v>
      </c>
      <c r="B5" s="114">
        <f t="shared" si="0"/>
        <v>0</v>
      </c>
      <c r="C5" s="114">
        <f t="shared" si="0"/>
        <v>1</v>
      </c>
      <c r="D5" s="114">
        <f t="shared" si="0"/>
        <v>0</v>
      </c>
      <c r="E5" s="114">
        <f t="shared" si="0"/>
        <v>0</v>
      </c>
      <c r="F5" s="59">
        <f>'0.ArdiData28Fixed'!D4</f>
        <v>35</v>
      </c>
      <c r="G5" s="124">
        <f t="shared" ref="G5:G31" si="1">$K$19+$K$20*A5+$K$21*B5+$K$22*C5+$K$23*D5</f>
        <v>38.241071428571431</v>
      </c>
      <c r="H5" s="42"/>
      <c r="I5" s="42"/>
      <c r="J5" s="5" t="s">
        <v>28</v>
      </c>
      <c r="K5" s="5"/>
      <c r="AJ5" s="42"/>
      <c r="AK5" s="42"/>
      <c r="AL5" s="42"/>
      <c r="BF5" s="42"/>
      <c r="BG5" s="42"/>
      <c r="BH5" s="42"/>
      <c r="BI5" s="42"/>
      <c r="BJ5" s="42"/>
    </row>
    <row r="6" spans="1:62" customFormat="1" ht="16.5" x14ac:dyDescent="0.3">
      <c r="A6" s="59">
        <v>3</v>
      </c>
      <c r="B6" s="114">
        <f t="shared" si="0"/>
        <v>0</v>
      </c>
      <c r="C6" s="114">
        <f t="shared" si="0"/>
        <v>0</v>
      </c>
      <c r="D6" s="114">
        <f t="shared" si="0"/>
        <v>1</v>
      </c>
      <c r="E6" s="114">
        <f t="shared" si="0"/>
        <v>0</v>
      </c>
      <c r="F6" s="59">
        <f>'0.ArdiData28Fixed'!D5</f>
        <v>48</v>
      </c>
      <c r="G6" s="124">
        <f t="shared" si="1"/>
        <v>54.383928571428562</v>
      </c>
      <c r="H6" s="42"/>
      <c r="I6" s="42"/>
      <c r="J6" s="10" t="s">
        <v>30</v>
      </c>
      <c r="K6" s="10">
        <v>0.90441186797355999</v>
      </c>
      <c r="AJ6" s="42"/>
      <c r="AK6" s="42"/>
      <c r="AL6" s="42"/>
      <c r="BF6" s="42"/>
      <c r="BG6" s="42"/>
      <c r="BH6" s="42"/>
      <c r="BI6" s="42"/>
      <c r="BJ6" s="42"/>
    </row>
    <row r="7" spans="1:62" customFormat="1" ht="16.5" x14ac:dyDescent="0.3">
      <c r="A7" s="59">
        <v>4</v>
      </c>
      <c r="B7" s="114">
        <f t="shared" si="0"/>
        <v>0</v>
      </c>
      <c r="C7" s="114">
        <f t="shared" si="0"/>
        <v>0</v>
      </c>
      <c r="D7" s="114">
        <f t="shared" si="0"/>
        <v>0</v>
      </c>
      <c r="E7" s="114">
        <f t="shared" si="0"/>
        <v>0</v>
      </c>
      <c r="F7" s="59">
        <f>'0.ArdiData28Fixed'!D6</f>
        <v>28</v>
      </c>
      <c r="G7" s="124">
        <f t="shared" si="1"/>
        <v>29.098214285714285</v>
      </c>
      <c r="H7" s="42"/>
      <c r="I7" s="42"/>
      <c r="J7" s="10" t="s">
        <v>32</v>
      </c>
      <c r="K7" s="10">
        <v>0.81796082693142413</v>
      </c>
      <c r="AJ7" s="42"/>
      <c r="AK7" s="42"/>
      <c r="AL7" s="42"/>
      <c r="BF7" s="42"/>
      <c r="BG7" s="42"/>
      <c r="BH7" s="42"/>
      <c r="BI7" s="42"/>
      <c r="BJ7" s="42"/>
    </row>
    <row r="8" spans="1:62" customFormat="1" ht="16.5" x14ac:dyDescent="0.3">
      <c r="A8" s="59">
        <v>5</v>
      </c>
      <c r="B8" s="114">
        <f t="shared" si="0"/>
        <v>1</v>
      </c>
      <c r="C8" s="114">
        <f t="shared" si="0"/>
        <v>0</v>
      </c>
      <c r="D8" s="114">
        <f t="shared" si="0"/>
        <v>0</v>
      </c>
      <c r="E8" s="114">
        <f t="shared" si="0"/>
        <v>0</v>
      </c>
      <c r="F8" s="59">
        <f>'0.ArdiData28Fixed'!D7</f>
        <v>25</v>
      </c>
      <c r="G8" s="124">
        <f t="shared" si="1"/>
        <v>31.303571428571434</v>
      </c>
      <c r="H8" s="42"/>
      <c r="I8" s="42"/>
      <c r="J8" s="10" t="s">
        <v>33</v>
      </c>
      <c r="K8" s="10">
        <v>0.77658828759765686</v>
      </c>
      <c r="AJ8" s="42"/>
      <c r="AK8" s="42"/>
      <c r="AL8" s="42"/>
      <c r="BF8" s="42"/>
      <c r="BG8" s="42"/>
      <c r="BH8" s="42"/>
      <c r="BI8" s="42"/>
      <c r="BJ8" s="42"/>
    </row>
    <row r="9" spans="1:62" customFormat="1" ht="16.5" x14ac:dyDescent="0.3">
      <c r="A9" s="59">
        <v>6</v>
      </c>
      <c r="B9" s="114">
        <f t="shared" si="0"/>
        <v>0</v>
      </c>
      <c r="C9" s="114">
        <f t="shared" si="0"/>
        <v>1</v>
      </c>
      <c r="D9" s="114">
        <f t="shared" si="0"/>
        <v>0</v>
      </c>
      <c r="E9" s="114">
        <f t="shared" si="0"/>
        <v>0</v>
      </c>
      <c r="F9" s="59">
        <f>'0.ArdiData28Fixed'!D8</f>
        <v>53</v>
      </c>
      <c r="G9" s="124">
        <f t="shared" si="1"/>
        <v>43.017857142857139</v>
      </c>
      <c r="H9" s="42"/>
      <c r="I9" s="42"/>
      <c r="J9" s="10" t="s">
        <v>34</v>
      </c>
      <c r="K9" s="10">
        <v>7.751034895886737</v>
      </c>
      <c r="AJ9" s="42"/>
      <c r="AK9" s="42"/>
      <c r="AL9" s="42"/>
      <c r="BF9" s="42"/>
      <c r="BG9" s="42"/>
      <c r="BH9" s="42"/>
      <c r="BI9" s="42"/>
      <c r="BJ9" s="42"/>
    </row>
    <row r="10" spans="1:62" customFormat="1" ht="17.25" thickBot="1" x14ac:dyDescent="0.35">
      <c r="A10" s="59">
        <v>7</v>
      </c>
      <c r="B10" s="114">
        <f t="shared" si="0"/>
        <v>0</v>
      </c>
      <c r="C10" s="114">
        <f t="shared" si="0"/>
        <v>0</v>
      </c>
      <c r="D10" s="114">
        <f t="shared" si="0"/>
        <v>1</v>
      </c>
      <c r="E10" s="114">
        <f t="shared" si="0"/>
        <v>0</v>
      </c>
      <c r="F10" s="59">
        <f>'0.ArdiData28Fixed'!D9</f>
        <v>50</v>
      </c>
      <c r="G10" s="124">
        <f t="shared" si="1"/>
        <v>59.160714285714278</v>
      </c>
      <c r="H10" s="42"/>
      <c r="I10" s="42"/>
      <c r="J10" s="14" t="s">
        <v>35</v>
      </c>
      <c r="K10" s="14">
        <v>28</v>
      </c>
      <c r="AJ10" s="42"/>
      <c r="AK10" s="42"/>
      <c r="AL10" s="42"/>
      <c r="BF10" s="42"/>
      <c r="BG10" s="42"/>
      <c r="BH10" s="42"/>
      <c r="BI10" s="42"/>
      <c r="BJ10" s="42"/>
    </row>
    <row r="11" spans="1:62" customFormat="1" ht="16.5" x14ac:dyDescent="0.3">
      <c r="A11" s="59">
        <v>8</v>
      </c>
      <c r="B11" s="114">
        <f t="shared" si="0"/>
        <v>0</v>
      </c>
      <c r="C11" s="114">
        <f t="shared" si="0"/>
        <v>0</v>
      </c>
      <c r="D11" s="114">
        <f t="shared" si="0"/>
        <v>0</v>
      </c>
      <c r="E11" s="114">
        <f t="shared" si="0"/>
        <v>0</v>
      </c>
      <c r="F11" s="59">
        <f>'0.ArdiData28Fixed'!D10</f>
        <v>42</v>
      </c>
      <c r="G11" s="124">
        <f t="shared" si="1"/>
        <v>33.875</v>
      </c>
      <c r="H11" s="42"/>
      <c r="I11" s="42"/>
      <c r="AJ11" s="42"/>
      <c r="AK11" s="42"/>
      <c r="AL11" s="42"/>
      <c r="BF11" s="42"/>
      <c r="BG11" s="42"/>
      <c r="BH11" s="42"/>
      <c r="BI11" s="42"/>
      <c r="BJ11" s="42"/>
    </row>
    <row r="12" spans="1:62" customFormat="1" ht="17.25" thickBot="1" x14ac:dyDescent="0.35">
      <c r="A12" s="59">
        <v>9</v>
      </c>
      <c r="B12" s="114">
        <f t="shared" si="0"/>
        <v>1</v>
      </c>
      <c r="C12" s="114">
        <f t="shared" si="0"/>
        <v>0</v>
      </c>
      <c r="D12" s="114">
        <f t="shared" si="0"/>
        <v>0</v>
      </c>
      <c r="E12" s="114">
        <f t="shared" si="0"/>
        <v>0</v>
      </c>
      <c r="F12" s="59">
        <f>'0.ArdiData28Fixed'!D11</f>
        <v>40</v>
      </c>
      <c r="G12" s="124">
        <f t="shared" si="1"/>
        <v>36.080357142857146</v>
      </c>
      <c r="H12" s="42"/>
      <c r="I12" s="42"/>
      <c r="J12" t="s">
        <v>36</v>
      </c>
      <c r="AJ12" s="42"/>
      <c r="AK12" s="42"/>
      <c r="AL12" s="42"/>
      <c r="BF12" s="42"/>
      <c r="BG12" s="42"/>
      <c r="BH12" s="42"/>
      <c r="BI12" s="42"/>
      <c r="BJ12" s="42"/>
    </row>
    <row r="13" spans="1:62" customFormat="1" ht="16.5" x14ac:dyDescent="0.3">
      <c r="A13" s="59">
        <v>10</v>
      </c>
      <c r="B13" s="114">
        <f t="shared" si="0"/>
        <v>0</v>
      </c>
      <c r="C13" s="114">
        <f t="shared" si="0"/>
        <v>1</v>
      </c>
      <c r="D13" s="114">
        <f t="shared" si="0"/>
        <v>0</v>
      </c>
      <c r="E13" s="114">
        <f t="shared" si="0"/>
        <v>0</v>
      </c>
      <c r="F13" s="59">
        <f>'0.ArdiData28Fixed'!D12</f>
        <v>46</v>
      </c>
      <c r="G13" s="124">
        <f t="shared" si="1"/>
        <v>47.794642857142861</v>
      </c>
      <c r="H13" s="42"/>
      <c r="I13" s="42"/>
      <c r="J13" s="13"/>
      <c r="K13" s="13" t="s">
        <v>37</v>
      </c>
      <c r="L13" s="13" t="s">
        <v>38</v>
      </c>
      <c r="M13" s="13" t="s">
        <v>39</v>
      </c>
      <c r="N13" s="13" t="s">
        <v>40</v>
      </c>
      <c r="O13" s="13" t="s">
        <v>41</v>
      </c>
      <c r="AJ13" s="42"/>
      <c r="AK13" s="42"/>
      <c r="AL13" s="42"/>
      <c r="BF13" s="42"/>
      <c r="BG13" s="42"/>
      <c r="BH13" s="42"/>
      <c r="BI13" s="42"/>
      <c r="BJ13" s="42"/>
    </row>
    <row r="14" spans="1:62" customFormat="1" ht="16.5" x14ac:dyDescent="0.3">
      <c r="A14" s="59">
        <v>11</v>
      </c>
      <c r="B14" s="114">
        <f t="shared" si="0"/>
        <v>0</v>
      </c>
      <c r="C14" s="114">
        <f t="shared" si="0"/>
        <v>0</v>
      </c>
      <c r="D14" s="114">
        <f t="shared" si="0"/>
        <v>1</v>
      </c>
      <c r="E14" s="114">
        <f t="shared" si="0"/>
        <v>0</v>
      </c>
      <c r="F14" s="59">
        <f>'0.ArdiData28Fixed'!D13</f>
        <v>72</v>
      </c>
      <c r="G14" s="124">
        <f t="shared" si="1"/>
        <v>63.937499999999986</v>
      </c>
      <c r="H14" s="42"/>
      <c r="I14" s="42"/>
      <c r="J14" s="10" t="s">
        <v>42</v>
      </c>
      <c r="K14" s="10">
        <v>5</v>
      </c>
      <c r="L14" s="10">
        <v>5938.9506483689865</v>
      </c>
      <c r="M14" s="10">
        <v>1187.7901296737973</v>
      </c>
      <c r="N14" s="10">
        <v>19.770621772394442</v>
      </c>
      <c r="O14" s="10">
        <v>1.7834891881261903E-7</v>
      </c>
      <c r="AJ14" s="42"/>
      <c r="AK14" s="42"/>
      <c r="AL14" s="42"/>
      <c r="BF14" s="42"/>
      <c r="BG14" s="42"/>
      <c r="BH14" s="42"/>
      <c r="BI14" s="42"/>
      <c r="BJ14" s="42"/>
    </row>
    <row r="15" spans="1:62" customFormat="1" ht="16.5" x14ac:dyDescent="0.3">
      <c r="A15" s="59">
        <v>12</v>
      </c>
      <c r="B15" s="114">
        <f t="shared" si="0"/>
        <v>0</v>
      </c>
      <c r="C15" s="114">
        <f t="shared" si="0"/>
        <v>0</v>
      </c>
      <c r="D15" s="114">
        <f t="shared" si="0"/>
        <v>0</v>
      </c>
      <c r="E15" s="114">
        <f t="shared" si="0"/>
        <v>0</v>
      </c>
      <c r="F15" s="59">
        <f>'0.ArdiData28Fixed'!D14</f>
        <v>31</v>
      </c>
      <c r="G15" s="124">
        <f t="shared" si="1"/>
        <v>38.651785714285715</v>
      </c>
      <c r="H15" s="42"/>
      <c r="I15" s="42"/>
      <c r="J15" s="10" t="s">
        <v>43</v>
      </c>
      <c r="K15" s="10">
        <v>22</v>
      </c>
      <c r="L15" s="10">
        <v>1321.7279230595861</v>
      </c>
      <c r="M15" s="10">
        <v>60.078541957253918</v>
      </c>
      <c r="N15" s="10"/>
      <c r="O15" s="10"/>
      <c r="AJ15" s="42"/>
      <c r="AK15" s="42"/>
      <c r="AL15" s="42"/>
      <c r="BF15" s="42"/>
      <c r="BG15" s="42"/>
      <c r="BH15" s="42"/>
      <c r="BI15" s="42"/>
      <c r="BJ15" s="42"/>
    </row>
    <row r="16" spans="1:62" customFormat="1" ht="17.25" thickBot="1" x14ac:dyDescent="0.35">
      <c r="A16" s="59">
        <v>13</v>
      </c>
      <c r="B16" s="114">
        <f t="shared" si="0"/>
        <v>1</v>
      </c>
      <c r="C16" s="114">
        <f t="shared" si="0"/>
        <v>0</v>
      </c>
      <c r="D16" s="114">
        <f t="shared" si="0"/>
        <v>0</v>
      </c>
      <c r="E16" s="114">
        <f t="shared" si="0"/>
        <v>0</v>
      </c>
      <c r="F16" s="59">
        <f>'0.ArdiData28Fixed'!D15</f>
        <v>44</v>
      </c>
      <c r="G16" s="124">
        <f t="shared" si="1"/>
        <v>40.857142857142854</v>
      </c>
      <c r="H16" s="42"/>
      <c r="I16" s="42"/>
      <c r="J16" s="14" t="s">
        <v>44</v>
      </c>
      <c r="K16" s="14">
        <v>27</v>
      </c>
      <c r="L16" s="14">
        <v>7260.6785714285725</v>
      </c>
      <c r="M16" s="14"/>
      <c r="N16" s="14"/>
      <c r="O16" s="14"/>
      <c r="AJ16" s="42"/>
      <c r="AK16" s="42"/>
      <c r="AL16" s="42"/>
      <c r="BF16" s="42"/>
      <c r="BG16" s="42"/>
      <c r="BH16" s="42"/>
      <c r="BI16" s="42"/>
      <c r="BJ16" s="42"/>
    </row>
    <row r="17" spans="1:62" customFormat="1" ht="17.25" thickBot="1" x14ac:dyDescent="0.35">
      <c r="A17" s="59">
        <v>14</v>
      </c>
      <c r="B17" s="114">
        <f t="shared" si="0"/>
        <v>0</v>
      </c>
      <c r="C17" s="114">
        <f t="shared" si="0"/>
        <v>1</v>
      </c>
      <c r="D17" s="114">
        <f t="shared" si="0"/>
        <v>0</v>
      </c>
      <c r="E17" s="114">
        <f t="shared" si="0"/>
        <v>0</v>
      </c>
      <c r="F17" s="59">
        <f>'0.ArdiData28Fixed'!D16</f>
        <v>39</v>
      </c>
      <c r="G17" s="124">
        <f t="shared" si="1"/>
        <v>52.571428571428569</v>
      </c>
      <c r="H17" s="42"/>
      <c r="I17" s="42"/>
      <c r="AJ17" s="50"/>
      <c r="AK17" s="50"/>
      <c r="AL17" s="50"/>
      <c r="AM17" s="3"/>
      <c r="AN17" s="3"/>
      <c r="AO17" s="3"/>
      <c r="AP17" s="3"/>
      <c r="AQ17" s="3"/>
      <c r="AR17" s="3"/>
      <c r="AS17" s="3"/>
      <c r="BF17" s="42"/>
      <c r="BG17" s="42"/>
      <c r="BH17" s="42"/>
      <c r="BI17" s="42"/>
      <c r="BJ17" s="42"/>
    </row>
    <row r="18" spans="1:62" ht="16.5" x14ac:dyDescent="0.3">
      <c r="A18" s="59">
        <v>15</v>
      </c>
      <c r="B18" s="114">
        <f t="shared" si="0"/>
        <v>0</v>
      </c>
      <c r="C18" s="114">
        <f t="shared" si="0"/>
        <v>0</v>
      </c>
      <c r="D18" s="114">
        <f t="shared" si="0"/>
        <v>1</v>
      </c>
      <c r="E18" s="114">
        <f t="shared" si="0"/>
        <v>0</v>
      </c>
      <c r="F18" s="59">
        <f>'0.ArdiData28Fixed'!D17</f>
        <v>72</v>
      </c>
      <c r="G18" s="124">
        <f t="shared" si="1"/>
        <v>68.714285714285708</v>
      </c>
      <c r="J18" s="13"/>
      <c r="K18" s="13" t="s">
        <v>45</v>
      </c>
      <c r="L18" s="13" t="s">
        <v>34</v>
      </c>
      <c r="M18" s="13" t="s">
        <v>46</v>
      </c>
      <c r="N18" s="13" t="s">
        <v>47</v>
      </c>
      <c r="O18" s="13" t="s">
        <v>48</v>
      </c>
      <c r="P18" s="13" t="s">
        <v>49</v>
      </c>
      <c r="Q18" s="13" t="s">
        <v>117</v>
      </c>
      <c r="R18" s="13" t="s">
        <v>118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 s="50"/>
      <c r="AK18" s="50"/>
      <c r="AL18" s="50"/>
      <c r="AM18" s="3"/>
      <c r="AN18" s="3"/>
      <c r="AO18" s="3"/>
      <c r="AP18" s="3"/>
      <c r="AQ18" s="3"/>
      <c r="AR18" s="3"/>
      <c r="AS18" s="3"/>
    </row>
    <row r="19" spans="1:62" ht="16.5" x14ac:dyDescent="0.3">
      <c r="A19" s="59">
        <v>16</v>
      </c>
      <c r="B19" s="114">
        <f t="shared" si="0"/>
        <v>0</v>
      </c>
      <c r="C19" s="114">
        <f t="shared" si="0"/>
        <v>0</v>
      </c>
      <c r="D19" s="114">
        <f t="shared" si="0"/>
        <v>0</v>
      </c>
      <c r="E19" s="114">
        <f t="shared" si="0"/>
        <v>0</v>
      </c>
      <c r="F19" s="59">
        <f>'0.ArdiData28Fixed'!D18</f>
        <v>51</v>
      </c>
      <c r="G19" s="124">
        <f t="shared" si="1"/>
        <v>43.428571428571431</v>
      </c>
      <c r="J19" s="10" t="s">
        <v>51</v>
      </c>
      <c r="K19" s="10">
        <v>24.321428571428573</v>
      </c>
      <c r="L19" s="10">
        <v>4.1431024247624562</v>
      </c>
      <c r="M19" s="10">
        <v>5.8703420958324575</v>
      </c>
      <c r="N19" s="10">
        <v>6.5994217504640269E-6</v>
      </c>
      <c r="O19" s="10">
        <v>15.729160035145849</v>
      </c>
      <c r="P19" s="10">
        <v>32.9136971077113</v>
      </c>
      <c r="Q19" s="10">
        <v>15.729160035145849</v>
      </c>
      <c r="R19" s="10">
        <v>32.9136971077113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 s="50"/>
      <c r="AK19" s="50"/>
      <c r="AL19" s="50"/>
      <c r="AM19" s="3"/>
      <c r="AN19" s="3"/>
      <c r="AO19" s="3"/>
      <c r="AP19" s="3"/>
      <c r="AQ19" s="3"/>
      <c r="AR19" s="3"/>
      <c r="AS19" s="3"/>
    </row>
    <row r="20" spans="1:62" ht="16.5" x14ac:dyDescent="0.3">
      <c r="A20" s="59">
        <v>17</v>
      </c>
      <c r="B20" s="114">
        <f t="shared" si="0"/>
        <v>1</v>
      </c>
      <c r="C20" s="114">
        <f t="shared" si="0"/>
        <v>0</v>
      </c>
      <c r="D20" s="114">
        <f t="shared" si="0"/>
        <v>0</v>
      </c>
      <c r="E20" s="114">
        <f t="shared" si="0"/>
        <v>0</v>
      </c>
      <c r="F20" s="59">
        <f>'0.ArdiData28Fixed'!D19</f>
        <v>41</v>
      </c>
      <c r="G20" s="124">
        <f t="shared" si="1"/>
        <v>45.633928571428569</v>
      </c>
      <c r="J20" s="10" t="s">
        <v>53</v>
      </c>
      <c r="K20" s="10">
        <v>1.1941964285714284</v>
      </c>
      <c r="L20" s="10">
        <v>0.18310098873124758</v>
      </c>
      <c r="M20" s="10">
        <v>6.5220643364424919</v>
      </c>
      <c r="N20" s="10">
        <v>1.4659083306327073E-6</v>
      </c>
      <c r="O20" s="10">
        <v>0.8144682193350955</v>
      </c>
      <c r="P20" s="10">
        <v>1.5739246378077612</v>
      </c>
      <c r="Q20" s="10">
        <v>0.8144682193350955</v>
      </c>
      <c r="R20" s="10">
        <v>1.5739246378077612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 s="50"/>
      <c r="AK20" s="50"/>
      <c r="AL20" s="50"/>
      <c r="AM20" s="3"/>
      <c r="AN20" s="3"/>
      <c r="AO20" s="3"/>
      <c r="AP20" s="3"/>
      <c r="AQ20" s="3"/>
      <c r="AR20" s="3"/>
      <c r="AS20" s="3"/>
    </row>
    <row r="21" spans="1:62" ht="16.5" x14ac:dyDescent="0.3">
      <c r="A21" s="59">
        <v>18</v>
      </c>
      <c r="B21" s="114">
        <f t="shared" si="0"/>
        <v>0</v>
      </c>
      <c r="C21" s="114">
        <f t="shared" si="0"/>
        <v>1</v>
      </c>
      <c r="D21" s="114">
        <f t="shared" si="0"/>
        <v>0</v>
      </c>
      <c r="E21" s="114">
        <f t="shared" si="0"/>
        <v>0</v>
      </c>
      <c r="F21" s="59">
        <f>'0.ArdiData28Fixed'!D20</f>
        <v>65</v>
      </c>
      <c r="G21" s="124">
        <f t="shared" si="1"/>
        <v>57.348214285714278</v>
      </c>
      <c r="J21" s="10" t="s">
        <v>119</v>
      </c>
      <c r="K21" s="10">
        <v>1.0111607142857173</v>
      </c>
      <c r="L21" s="10">
        <v>4.1793577797003438</v>
      </c>
      <c r="M21" s="10">
        <v>0.24194164931201861</v>
      </c>
      <c r="N21" s="10">
        <v>0.81106639693501847</v>
      </c>
      <c r="O21" s="10">
        <v>-7.6562968261699922</v>
      </c>
      <c r="P21" s="10">
        <v>9.6786182547414263</v>
      </c>
      <c r="Q21" s="10">
        <v>-7.6562968261699922</v>
      </c>
      <c r="R21" s="10">
        <v>9.6786182547414263</v>
      </c>
      <c r="S21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3"/>
      <c r="AN21" s="3"/>
      <c r="AO21" s="3"/>
      <c r="AP21" s="3"/>
      <c r="AQ21" s="3"/>
      <c r="AR21" s="3"/>
      <c r="AS21" s="3"/>
    </row>
    <row r="22" spans="1:62" ht="16.5" x14ac:dyDescent="0.3">
      <c r="A22" s="59">
        <v>19</v>
      </c>
      <c r="B22" s="114">
        <f t="shared" si="0"/>
        <v>0</v>
      </c>
      <c r="C22" s="114">
        <f t="shared" si="0"/>
        <v>0</v>
      </c>
      <c r="D22" s="114">
        <f t="shared" si="0"/>
        <v>1</v>
      </c>
      <c r="E22" s="114">
        <f t="shared" si="0"/>
        <v>0</v>
      </c>
      <c r="F22" s="59">
        <f>'0.ArdiData28Fixed'!D21</f>
        <v>67</v>
      </c>
      <c r="G22" s="124">
        <f t="shared" si="1"/>
        <v>73.491071428571416</v>
      </c>
      <c r="J22" s="10" t="s">
        <v>120</v>
      </c>
      <c r="K22" s="10">
        <v>11.531249999999996</v>
      </c>
      <c r="L22" s="10">
        <v>4.1592549321206542</v>
      </c>
      <c r="M22" s="10">
        <v>2.7724316465787364</v>
      </c>
      <c r="N22" s="10">
        <v>1.1108627211511929E-2</v>
      </c>
      <c r="O22" s="10">
        <v>2.9054832137279849</v>
      </c>
      <c r="P22" s="10">
        <v>20.15701678627201</v>
      </c>
      <c r="Q22" s="10">
        <v>2.9054832137279849</v>
      </c>
      <c r="R22" s="10">
        <v>20.15701678627201</v>
      </c>
      <c r="S22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3"/>
      <c r="AN22" s="3"/>
      <c r="AO22" s="3"/>
      <c r="AP22" s="3"/>
      <c r="AQ22" s="3"/>
      <c r="AR22" s="3"/>
      <c r="AS22" s="3"/>
    </row>
    <row r="23" spans="1:62" ht="16.5" x14ac:dyDescent="0.3">
      <c r="A23" s="59">
        <v>20</v>
      </c>
      <c r="B23" s="114">
        <f t="shared" si="0"/>
        <v>0</v>
      </c>
      <c r="C23" s="114">
        <f t="shared" si="0"/>
        <v>0</v>
      </c>
      <c r="D23" s="114">
        <f t="shared" si="0"/>
        <v>0</v>
      </c>
      <c r="E23" s="114">
        <f t="shared" si="0"/>
        <v>0</v>
      </c>
      <c r="F23" s="59">
        <f>'0.ArdiData28Fixed'!D22</f>
        <v>51</v>
      </c>
      <c r="G23" s="124">
        <f t="shared" si="1"/>
        <v>48.205357142857139</v>
      </c>
      <c r="J23" s="10" t="s">
        <v>121</v>
      </c>
      <c r="K23" s="10">
        <v>26.479910714285705</v>
      </c>
      <c r="L23" s="10">
        <v>4.1471464495658816</v>
      </c>
      <c r="M23" s="10">
        <v>6.3850917820993738</v>
      </c>
      <c r="N23" s="10">
        <v>2.002700836780944E-6</v>
      </c>
      <c r="O23" s="10">
        <v>17.879255383877222</v>
      </c>
      <c r="P23" s="10">
        <v>35.080566044694187</v>
      </c>
      <c r="Q23" s="10">
        <v>17.879255383877222</v>
      </c>
      <c r="R23" s="10">
        <v>35.080566044694187</v>
      </c>
      <c r="S23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3"/>
      <c r="AN23" s="3"/>
      <c r="AO23" s="3"/>
      <c r="AP23" s="3"/>
      <c r="AQ23" s="3"/>
      <c r="AR23" s="3"/>
      <c r="AS23" s="3"/>
    </row>
    <row r="24" spans="1:62" ht="17.25" thickBot="1" x14ac:dyDescent="0.35">
      <c r="A24" s="59">
        <v>21</v>
      </c>
      <c r="B24" s="114">
        <f t="shared" si="0"/>
        <v>1</v>
      </c>
      <c r="C24" s="114">
        <f t="shared" si="0"/>
        <v>0</v>
      </c>
      <c r="D24" s="114">
        <f t="shared" si="0"/>
        <v>0</v>
      </c>
      <c r="E24" s="114">
        <f t="shared" si="0"/>
        <v>0</v>
      </c>
      <c r="F24" s="59">
        <f>'0.ArdiData28Fixed'!D23</f>
        <v>56</v>
      </c>
      <c r="G24" s="124">
        <f t="shared" si="1"/>
        <v>50.410714285714285</v>
      </c>
      <c r="J24" s="14" t="s">
        <v>122</v>
      </c>
      <c r="K24" s="14">
        <v>0</v>
      </c>
      <c r="L24" s="14">
        <v>0</v>
      </c>
      <c r="M24" s="14">
        <v>65535</v>
      </c>
      <c r="N24" s="14" t="e">
        <v>#NUM!</v>
      </c>
      <c r="O24" s="14">
        <v>0</v>
      </c>
      <c r="P24" s="14">
        <v>0</v>
      </c>
      <c r="Q24" s="14">
        <v>0</v>
      </c>
      <c r="R24" s="14">
        <v>0</v>
      </c>
      <c r="S24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3"/>
      <c r="AN24" s="3"/>
      <c r="AO24" s="3"/>
      <c r="AP24" s="3"/>
      <c r="AQ24" s="3"/>
      <c r="AR24" s="3"/>
      <c r="AS24" s="3"/>
    </row>
    <row r="25" spans="1:62" ht="16.5" x14ac:dyDescent="0.3">
      <c r="A25" s="59">
        <v>22</v>
      </c>
      <c r="B25" s="114">
        <f t="shared" si="0"/>
        <v>0</v>
      </c>
      <c r="C25" s="114">
        <f t="shared" si="0"/>
        <v>1</v>
      </c>
      <c r="D25" s="114">
        <f t="shared" si="0"/>
        <v>0</v>
      </c>
      <c r="E25" s="114">
        <f t="shared" si="0"/>
        <v>0</v>
      </c>
      <c r="F25" s="59">
        <f>'0.ArdiData28Fixed'!D24</f>
        <v>69</v>
      </c>
      <c r="G25" s="124">
        <f t="shared" si="1"/>
        <v>62.125</v>
      </c>
      <c r="J25"/>
      <c r="K25"/>
      <c r="L25"/>
      <c r="M25"/>
      <c r="N25"/>
      <c r="O25"/>
      <c r="P25"/>
      <c r="Q25"/>
      <c r="R25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3"/>
      <c r="AN25" s="3"/>
      <c r="AO25" s="3"/>
      <c r="AP25" s="3"/>
      <c r="AQ25" s="3"/>
      <c r="AR25" s="3"/>
      <c r="AS25" s="3"/>
    </row>
    <row r="26" spans="1:62" ht="16.5" x14ac:dyDescent="0.3">
      <c r="A26" s="59">
        <v>23</v>
      </c>
      <c r="B26" s="114">
        <f t="shared" si="0"/>
        <v>0</v>
      </c>
      <c r="C26" s="114">
        <f t="shared" si="0"/>
        <v>0</v>
      </c>
      <c r="D26" s="114">
        <f t="shared" si="0"/>
        <v>1</v>
      </c>
      <c r="E26" s="114">
        <f t="shared" si="0"/>
        <v>0</v>
      </c>
      <c r="F26" s="59">
        <f>'0.ArdiData28Fixed'!D25</f>
        <v>82</v>
      </c>
      <c r="G26" s="124">
        <f t="shared" si="1"/>
        <v>78.267857142857139</v>
      </c>
      <c r="J26"/>
      <c r="K26"/>
      <c r="L26"/>
      <c r="M26"/>
      <c r="N26"/>
      <c r="O26"/>
      <c r="P26"/>
      <c r="Q26"/>
      <c r="R26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3"/>
      <c r="AN26" s="3"/>
      <c r="AO26" s="3"/>
      <c r="AP26" s="3"/>
      <c r="AQ26" s="3"/>
      <c r="AR26" s="3"/>
      <c r="AS26" s="3"/>
    </row>
    <row r="27" spans="1:62" ht="16.5" x14ac:dyDescent="0.3">
      <c r="A27" s="59">
        <v>24</v>
      </c>
      <c r="B27" s="114">
        <f t="shared" si="0"/>
        <v>0</v>
      </c>
      <c r="C27" s="114">
        <f t="shared" si="0"/>
        <v>0</v>
      </c>
      <c r="D27" s="114">
        <f t="shared" si="0"/>
        <v>0</v>
      </c>
      <c r="E27" s="114">
        <f t="shared" si="0"/>
        <v>0</v>
      </c>
      <c r="F27" s="59">
        <f>'0.ArdiData28Fixed'!D26</f>
        <v>39</v>
      </c>
      <c r="G27" s="124">
        <f t="shared" si="1"/>
        <v>52.982142857142854</v>
      </c>
      <c r="J27"/>
      <c r="K27"/>
      <c r="L27"/>
      <c r="M27"/>
      <c r="N27"/>
      <c r="O27"/>
      <c r="P27"/>
      <c r="Q27"/>
      <c r="R27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3"/>
      <c r="AN27" s="3"/>
      <c r="AO27" s="3"/>
      <c r="AP27" s="3"/>
      <c r="AQ27" s="3"/>
      <c r="AR27" s="3"/>
      <c r="AS27" s="3"/>
    </row>
    <row r="28" spans="1:62" ht="16.5" x14ac:dyDescent="0.3">
      <c r="A28" s="59">
        <v>25</v>
      </c>
      <c r="B28" s="114">
        <f t="shared" si="0"/>
        <v>1</v>
      </c>
      <c r="C28" s="114">
        <f t="shared" si="0"/>
        <v>0</v>
      </c>
      <c r="D28" s="114">
        <f t="shared" si="0"/>
        <v>0</v>
      </c>
      <c r="E28" s="114">
        <f t="shared" si="0"/>
        <v>0</v>
      </c>
      <c r="F28" s="59">
        <f>'0.ArdiData28Fixed'!D27</f>
        <v>47</v>
      </c>
      <c r="G28" s="124">
        <f t="shared" si="1"/>
        <v>55.187499999999993</v>
      </c>
      <c r="J28" s="104"/>
      <c r="K28" s="104"/>
      <c r="L28"/>
      <c r="M28"/>
      <c r="N28"/>
      <c r="O28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3"/>
      <c r="AN28" s="3"/>
      <c r="AO28" s="3"/>
      <c r="AP28" s="3"/>
      <c r="AQ28" s="3"/>
      <c r="AR28" s="3"/>
      <c r="AS28" s="3"/>
    </row>
    <row r="29" spans="1:62" ht="16.5" x14ac:dyDescent="0.3">
      <c r="A29" s="59">
        <v>26</v>
      </c>
      <c r="B29" s="114">
        <f t="shared" si="0"/>
        <v>0</v>
      </c>
      <c r="C29" s="114">
        <f t="shared" si="0"/>
        <v>1</v>
      </c>
      <c r="D29" s="114">
        <f t="shared" si="0"/>
        <v>0</v>
      </c>
      <c r="E29" s="114">
        <f t="shared" si="0"/>
        <v>0</v>
      </c>
      <c r="F29" s="59">
        <f>'0.ArdiData28Fixed'!D28</f>
        <v>61</v>
      </c>
      <c r="G29" s="124">
        <f t="shared" si="1"/>
        <v>66.901785714285708</v>
      </c>
      <c r="J29" s="104"/>
      <c r="K29" s="104"/>
      <c r="L29"/>
      <c r="M29"/>
      <c r="N29"/>
      <c r="O29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3"/>
      <c r="AN29" s="3"/>
      <c r="AO29" s="3"/>
      <c r="AP29" s="3"/>
      <c r="AQ29" s="3"/>
      <c r="AR29" s="3"/>
      <c r="AS29" s="3"/>
    </row>
    <row r="30" spans="1:62" ht="16.5" x14ac:dyDescent="0.3">
      <c r="A30" s="59">
        <v>27</v>
      </c>
      <c r="B30" s="114">
        <f t="shared" si="0"/>
        <v>0</v>
      </c>
      <c r="C30" s="114">
        <f t="shared" si="0"/>
        <v>0</v>
      </c>
      <c r="D30" s="114">
        <f t="shared" si="0"/>
        <v>1</v>
      </c>
      <c r="E30" s="114">
        <f t="shared" si="0"/>
        <v>0</v>
      </c>
      <c r="F30" s="59">
        <f>'0.ArdiData28Fixed'!D29</f>
        <v>90</v>
      </c>
      <c r="G30" s="124">
        <f t="shared" si="1"/>
        <v>83.044642857142847</v>
      </c>
      <c r="J30" s="104"/>
      <c r="K30" s="104"/>
      <c r="L30"/>
      <c r="M30"/>
      <c r="N30"/>
      <c r="O3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3"/>
      <c r="AN30" s="3"/>
      <c r="AO30" s="3"/>
      <c r="AP30" s="3"/>
      <c r="AQ30" s="3"/>
      <c r="AR30" s="3"/>
      <c r="AS30" s="3"/>
    </row>
    <row r="31" spans="1:62" ht="16.5" x14ac:dyDescent="0.3">
      <c r="A31" s="59">
        <v>28</v>
      </c>
      <c r="B31" s="114">
        <f t="shared" si="0"/>
        <v>0</v>
      </c>
      <c r="C31" s="114">
        <f t="shared" si="0"/>
        <v>0</v>
      </c>
      <c r="D31" s="114">
        <f t="shared" si="0"/>
        <v>0</v>
      </c>
      <c r="E31" s="114">
        <f t="shared" si="0"/>
        <v>0</v>
      </c>
      <c r="F31" s="59">
        <f>'0.ArdiData28Fixed'!D30</f>
        <v>62</v>
      </c>
      <c r="G31" s="124">
        <f t="shared" si="1"/>
        <v>57.758928571428569</v>
      </c>
      <c r="J31" s="104"/>
      <c r="K31" s="104"/>
      <c r="L31"/>
      <c r="M31"/>
      <c r="N31"/>
      <c r="O31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3"/>
      <c r="AN31" s="3"/>
      <c r="AO31" s="3"/>
      <c r="AP31" s="3"/>
      <c r="AQ31" s="3"/>
      <c r="AR31" s="3"/>
      <c r="AS31" s="3"/>
    </row>
    <row r="32" spans="1:62" ht="16.5" x14ac:dyDescent="0.3">
      <c r="A32" s="105">
        <v>29</v>
      </c>
      <c r="B32"/>
      <c r="C32"/>
      <c r="D32"/>
      <c r="E32"/>
      <c r="F32"/>
      <c r="G32" s="104"/>
      <c r="J32" s="94"/>
      <c r="K32"/>
      <c r="L32"/>
      <c r="M32"/>
      <c r="N32"/>
      <c r="O32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3"/>
      <c r="AN32" s="3"/>
      <c r="AO32" s="3"/>
      <c r="AP32" s="3"/>
      <c r="AQ32" s="3"/>
      <c r="AR32" s="3"/>
      <c r="AS32" s="3"/>
      <c r="BF32"/>
      <c r="BG32"/>
      <c r="BH32"/>
      <c r="BI32"/>
      <c r="BJ32"/>
    </row>
    <row r="33" spans="1:62" x14ac:dyDescent="0.25">
      <c r="A33"/>
      <c r="B33"/>
      <c r="C33"/>
      <c r="D33"/>
      <c r="E33"/>
      <c r="F33"/>
      <c r="G33" s="50"/>
      <c r="H33" s="50"/>
      <c r="I33" s="50"/>
      <c r="J33"/>
      <c r="K33"/>
      <c r="L33"/>
      <c r="M33"/>
      <c r="N33"/>
      <c r="O33"/>
      <c r="P33"/>
      <c r="Q33"/>
      <c r="R33"/>
      <c r="S33"/>
      <c r="T33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3"/>
      <c r="AN33" s="3"/>
      <c r="AO33" s="3"/>
      <c r="AP33" s="3"/>
      <c r="AQ33" s="3"/>
      <c r="AR33" s="3"/>
      <c r="AS33" s="3"/>
      <c r="BF33"/>
      <c r="BG33"/>
      <c r="BH33"/>
      <c r="BI33"/>
      <c r="BJ33"/>
    </row>
    <row r="34" spans="1:62" x14ac:dyDescent="0.25">
      <c r="A34"/>
      <c r="J34"/>
      <c r="K34"/>
      <c r="L34"/>
      <c r="M34"/>
      <c r="N34"/>
      <c r="O34"/>
      <c r="P34"/>
      <c r="Q34"/>
      <c r="R34"/>
      <c r="S34"/>
      <c r="T34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3"/>
      <c r="AN34" s="3"/>
      <c r="AO34" s="3"/>
      <c r="AP34" s="3"/>
      <c r="AQ34" s="3"/>
      <c r="AR34" s="3"/>
      <c r="AS34" s="3"/>
      <c r="BF34"/>
      <c r="BG34"/>
      <c r="BH34"/>
      <c r="BI34"/>
      <c r="BJ34"/>
    </row>
    <row r="35" spans="1:62" x14ac:dyDescent="0.25">
      <c r="A35"/>
      <c r="J35"/>
      <c r="K35"/>
      <c r="L35"/>
      <c r="M35"/>
      <c r="N35"/>
      <c r="O35"/>
      <c r="P35"/>
      <c r="Q35"/>
      <c r="R35"/>
      <c r="S35"/>
      <c r="T35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3"/>
      <c r="AN35" s="3"/>
      <c r="AO35" s="3"/>
      <c r="AP35" s="3"/>
      <c r="AQ35" s="3"/>
      <c r="AR35" s="3"/>
      <c r="AS35" s="3"/>
      <c r="BF35"/>
      <c r="BG35"/>
      <c r="BH35"/>
      <c r="BI35"/>
      <c r="BJ35"/>
    </row>
    <row r="36" spans="1:62" x14ac:dyDescent="0.25">
      <c r="A36"/>
      <c r="J36"/>
      <c r="K36"/>
      <c r="L36"/>
      <c r="M36"/>
      <c r="N36"/>
      <c r="O36"/>
      <c r="P36"/>
      <c r="Q36"/>
      <c r="R36"/>
      <c r="S36"/>
      <c r="T36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3"/>
      <c r="AN36" s="3"/>
      <c r="AO36" s="3"/>
      <c r="AP36" s="3"/>
      <c r="AQ36" s="3"/>
      <c r="AR36" s="3"/>
      <c r="AS36" s="3"/>
      <c r="BF36"/>
      <c r="BG36"/>
      <c r="BH36"/>
      <c r="BI36"/>
      <c r="BJ36"/>
    </row>
    <row r="37" spans="1:62" x14ac:dyDescent="0.25">
      <c r="A37"/>
      <c r="J37"/>
      <c r="K37"/>
      <c r="L37"/>
      <c r="M37"/>
      <c r="N37"/>
      <c r="O37"/>
      <c r="P37"/>
      <c r="Q37"/>
      <c r="R37"/>
      <c r="S37"/>
      <c r="T37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3"/>
      <c r="AN37" s="3"/>
      <c r="AO37" s="3"/>
      <c r="AP37" s="3"/>
      <c r="AQ37" s="3"/>
      <c r="AR37" s="3"/>
      <c r="AS37" s="3"/>
      <c r="BF37"/>
      <c r="BG37"/>
      <c r="BH37"/>
      <c r="BI37"/>
      <c r="BJ37"/>
    </row>
    <row r="38" spans="1:62" x14ac:dyDescent="0.25">
      <c r="A38"/>
      <c r="J38"/>
      <c r="K38"/>
      <c r="L38"/>
      <c r="M38"/>
      <c r="N38"/>
      <c r="O38"/>
      <c r="P38"/>
      <c r="Q38"/>
      <c r="R38"/>
      <c r="S38"/>
      <c r="T38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3"/>
      <c r="AN38" s="3"/>
      <c r="AO38" s="3"/>
      <c r="AP38" s="3"/>
      <c r="AQ38" s="3"/>
      <c r="AR38" s="3"/>
      <c r="AS38" s="3"/>
      <c r="BF38"/>
      <c r="BG38"/>
      <c r="BH38"/>
      <c r="BI38"/>
      <c r="BJ38"/>
    </row>
    <row r="39" spans="1:62" x14ac:dyDescent="0.25">
      <c r="A39"/>
      <c r="J39"/>
      <c r="K39"/>
      <c r="L39"/>
      <c r="M39"/>
      <c r="N39"/>
      <c r="O39"/>
      <c r="P39"/>
      <c r="Q39"/>
      <c r="R39"/>
      <c r="S39"/>
      <c r="T39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3"/>
      <c r="AN39" s="3"/>
      <c r="AO39" s="3"/>
      <c r="AP39" s="3"/>
      <c r="AQ39" s="3"/>
      <c r="AR39" s="3"/>
      <c r="AS39" s="3"/>
      <c r="BF39"/>
      <c r="BG39"/>
      <c r="BH39"/>
      <c r="BI39"/>
      <c r="BJ39"/>
    </row>
    <row r="40" spans="1:62" x14ac:dyDescent="0.25">
      <c r="A40"/>
      <c r="J40"/>
      <c r="K40"/>
      <c r="L40"/>
      <c r="M40"/>
      <c r="N40"/>
      <c r="O40"/>
      <c r="P40"/>
      <c r="Q40"/>
      <c r="R40"/>
      <c r="S40"/>
      <c r="T4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3"/>
      <c r="AN40" s="3"/>
      <c r="AO40" s="3"/>
      <c r="AP40" s="3"/>
      <c r="AQ40" s="3"/>
      <c r="AR40" s="3"/>
      <c r="AS40" s="3"/>
      <c r="BF40"/>
      <c r="BG40"/>
      <c r="BH40"/>
      <c r="BI40"/>
      <c r="BJ40"/>
    </row>
    <row r="41" spans="1:62" x14ac:dyDescent="0.25">
      <c r="A41"/>
      <c r="J41"/>
      <c r="K41"/>
      <c r="L41"/>
      <c r="M41"/>
      <c r="N41"/>
      <c r="O41"/>
      <c r="P41"/>
      <c r="Q41"/>
      <c r="R41"/>
      <c r="S41"/>
      <c r="T41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3"/>
      <c r="AN41" s="3"/>
      <c r="AO41" s="3"/>
      <c r="AP41" s="3"/>
      <c r="AQ41" s="3"/>
      <c r="AR41" s="3"/>
      <c r="AS41" s="3"/>
      <c r="BF41"/>
      <c r="BG41"/>
      <c r="BH41"/>
      <c r="BI41"/>
      <c r="BJ41"/>
    </row>
    <row r="42" spans="1:62" x14ac:dyDescent="0.25">
      <c r="A42"/>
      <c r="J42"/>
      <c r="K42"/>
      <c r="L42"/>
      <c r="M42"/>
      <c r="N42"/>
      <c r="O42"/>
      <c r="P42"/>
      <c r="Q42"/>
      <c r="R42"/>
      <c r="S42"/>
      <c r="T42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3"/>
      <c r="AN42" s="3"/>
      <c r="AO42" s="3"/>
      <c r="AP42" s="3"/>
      <c r="AQ42" s="3"/>
      <c r="AR42" s="3"/>
      <c r="AS42" s="3"/>
      <c r="BF42"/>
      <c r="BG42"/>
      <c r="BH42"/>
      <c r="BI42"/>
      <c r="BJ42"/>
    </row>
    <row r="43" spans="1:62" x14ac:dyDescent="0.25">
      <c r="A43"/>
      <c r="B43" s="42" t="s">
        <v>110</v>
      </c>
      <c r="C43"/>
      <c r="D43"/>
      <c r="E43"/>
      <c r="F43"/>
      <c r="G43" s="50"/>
      <c r="H43" s="50"/>
      <c r="I43" s="50"/>
      <c r="J43"/>
      <c r="K43"/>
      <c r="L43"/>
      <c r="M43"/>
      <c r="N43"/>
      <c r="O43"/>
      <c r="P43"/>
      <c r="Q43"/>
      <c r="R43"/>
      <c r="S43"/>
      <c r="T43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3"/>
      <c r="AN43" s="3"/>
      <c r="AO43" s="3"/>
      <c r="AP43" s="3"/>
      <c r="AQ43" s="3"/>
      <c r="AR43" s="3"/>
      <c r="AS43" s="3"/>
      <c r="BF43"/>
      <c r="BG43"/>
      <c r="BH43"/>
      <c r="BI43"/>
      <c r="BJ43"/>
    </row>
    <row r="44" spans="1:62" x14ac:dyDescent="0.25">
      <c r="A44"/>
      <c r="B44" s="42" t="s">
        <v>109</v>
      </c>
      <c r="C44" s="103"/>
      <c r="D44"/>
      <c r="E44"/>
      <c r="F44"/>
      <c r="G44" s="50"/>
      <c r="H44" s="50"/>
      <c r="I44" s="50"/>
      <c r="J44"/>
      <c r="K44"/>
      <c r="L44"/>
      <c r="M44"/>
      <c r="N44"/>
      <c r="O44"/>
      <c r="P44"/>
      <c r="Q44"/>
      <c r="R44"/>
      <c r="S44"/>
      <c r="T44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3"/>
      <c r="AN44" s="3"/>
      <c r="AO44" s="3"/>
      <c r="AP44" s="3"/>
      <c r="AQ44" s="3"/>
      <c r="AR44" s="3"/>
      <c r="AS44" s="3"/>
      <c r="BF44"/>
      <c r="BG44"/>
      <c r="BH44"/>
      <c r="BI44"/>
      <c r="BJ44"/>
    </row>
    <row r="45" spans="1:62" x14ac:dyDescent="0.25">
      <c r="A45"/>
      <c r="B45" s="42" t="s">
        <v>111</v>
      </c>
      <c r="C45"/>
      <c r="D45"/>
      <c r="E45"/>
      <c r="F45"/>
      <c r="G45" s="50"/>
      <c r="H45" s="50"/>
      <c r="I45" s="50"/>
      <c r="J45"/>
      <c r="K45"/>
      <c r="L45"/>
      <c r="M45"/>
      <c r="N45"/>
      <c r="O45"/>
      <c r="P45"/>
      <c r="Q45"/>
      <c r="R45"/>
      <c r="S45"/>
      <c r="T45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3"/>
      <c r="AN45" s="3"/>
      <c r="AO45" s="3"/>
      <c r="AP45" s="3"/>
      <c r="AQ45" s="3"/>
      <c r="AR45" s="3"/>
      <c r="AS45" s="3"/>
      <c r="BF45"/>
      <c r="BG45"/>
      <c r="BH45"/>
      <c r="BI45"/>
      <c r="BJ45"/>
    </row>
    <row r="46" spans="1:62" x14ac:dyDescent="0.25">
      <c r="A46"/>
      <c r="B46" s="108" t="s">
        <v>107</v>
      </c>
      <c r="C46"/>
      <c r="D46"/>
      <c r="E46"/>
      <c r="F46"/>
      <c r="G46" s="50"/>
      <c r="H46" s="50"/>
      <c r="I46" s="50"/>
      <c r="J46"/>
      <c r="K46"/>
      <c r="L46"/>
      <c r="M46"/>
      <c r="N46"/>
      <c r="O46"/>
      <c r="P46"/>
      <c r="Q46"/>
      <c r="R46"/>
      <c r="S46"/>
      <c r="T46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3"/>
      <c r="AN46" s="3"/>
      <c r="AO46" s="3"/>
      <c r="AP46" s="3"/>
      <c r="AQ46" s="3"/>
      <c r="AR46" s="3"/>
      <c r="AS46" s="3"/>
      <c r="BF46"/>
      <c r="BG46"/>
      <c r="BH46"/>
      <c r="BI46"/>
      <c r="BJ46"/>
    </row>
    <row r="47" spans="1:62" x14ac:dyDescent="0.25">
      <c r="A47"/>
      <c r="B47" t="s">
        <v>112</v>
      </c>
      <c r="C47"/>
      <c r="D47"/>
      <c r="E47"/>
      <c r="F47"/>
      <c r="G47" s="50"/>
      <c r="H47" s="50"/>
      <c r="I47" s="50"/>
      <c r="J47"/>
      <c r="K47"/>
      <c r="L47"/>
      <c r="M47"/>
      <c r="N47"/>
      <c r="O47"/>
      <c r="P47"/>
      <c r="Q47"/>
      <c r="R47"/>
      <c r="S47"/>
      <c r="T47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3"/>
      <c r="AN47" s="3"/>
      <c r="AO47" s="3"/>
      <c r="AP47" s="3"/>
      <c r="AQ47" s="3"/>
      <c r="AR47" s="3"/>
      <c r="AS47" s="3"/>
      <c r="BF47"/>
      <c r="BG47"/>
      <c r="BH47"/>
      <c r="BI47"/>
      <c r="BJ47"/>
    </row>
    <row r="48" spans="1:62" x14ac:dyDescent="0.25">
      <c r="A48"/>
      <c r="B48" t="s">
        <v>113</v>
      </c>
      <c r="C48"/>
      <c r="D48"/>
      <c r="E48"/>
      <c r="F48"/>
      <c r="G48" s="50"/>
      <c r="H48" s="50"/>
      <c r="I48" s="50"/>
      <c r="J48"/>
      <c r="K48"/>
      <c r="L48"/>
      <c r="M48"/>
      <c r="N48"/>
      <c r="O48"/>
      <c r="P48"/>
      <c r="Q48"/>
      <c r="R48"/>
      <c r="S48"/>
      <c r="T48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3"/>
      <c r="AN48" s="3"/>
      <c r="AO48" s="3"/>
      <c r="AP48" s="3"/>
      <c r="AQ48" s="3"/>
      <c r="AR48" s="3"/>
      <c r="AS48" s="3"/>
      <c r="BF48"/>
      <c r="BG48"/>
      <c r="BH48"/>
      <c r="BI48"/>
      <c r="BJ48"/>
    </row>
    <row r="49" spans="1:62" x14ac:dyDescent="0.25">
      <c r="A49"/>
      <c r="B49" t="s">
        <v>114</v>
      </c>
      <c r="C49"/>
      <c r="D49"/>
      <c r="E49"/>
      <c r="F49"/>
      <c r="G49" s="50"/>
      <c r="H49" s="50"/>
      <c r="I49" s="50"/>
      <c r="J49"/>
      <c r="K49"/>
      <c r="L49"/>
      <c r="M49"/>
      <c r="N49"/>
      <c r="O49"/>
      <c r="P49"/>
      <c r="Q49"/>
      <c r="R49"/>
      <c r="S49"/>
      <c r="T49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3"/>
      <c r="AN49" s="3"/>
      <c r="AO49" s="3"/>
      <c r="AP49" s="3"/>
      <c r="AQ49" s="3"/>
      <c r="AR49" s="3"/>
      <c r="AS49" s="3"/>
      <c r="BF49"/>
      <c r="BG49"/>
      <c r="BH49"/>
      <c r="BI49"/>
      <c r="BJ49"/>
    </row>
    <row r="50" spans="1:62" x14ac:dyDescent="0.25">
      <c r="A50"/>
      <c r="B50" t="s">
        <v>108</v>
      </c>
      <c r="C50"/>
      <c r="D50"/>
      <c r="E50"/>
      <c r="F50"/>
      <c r="G50" s="50"/>
      <c r="H50" s="50"/>
      <c r="I50" s="50"/>
      <c r="J50"/>
      <c r="K50"/>
      <c r="L50"/>
      <c r="M50"/>
      <c r="N50"/>
      <c r="O50"/>
      <c r="P50"/>
      <c r="Q50"/>
      <c r="R50"/>
      <c r="S50"/>
      <c r="T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3"/>
      <c r="AN50" s="3"/>
      <c r="AO50" s="3"/>
      <c r="AP50" s="3"/>
      <c r="AQ50" s="3"/>
      <c r="AR50" s="3"/>
      <c r="AS50" s="3"/>
      <c r="BF50"/>
      <c r="BG50"/>
      <c r="BH50"/>
      <c r="BI50"/>
      <c r="BJ50"/>
    </row>
    <row r="51" spans="1:62" x14ac:dyDescent="0.25">
      <c r="A51"/>
      <c r="B51" t="s">
        <v>115</v>
      </c>
      <c r="C51"/>
      <c r="D51"/>
      <c r="E51"/>
      <c r="F51"/>
      <c r="G51" s="50"/>
      <c r="H51" s="50"/>
      <c r="I51" s="50"/>
      <c r="J51"/>
      <c r="K51"/>
      <c r="L51"/>
      <c r="M51"/>
      <c r="N51"/>
      <c r="O51"/>
      <c r="P51"/>
      <c r="Q51"/>
      <c r="R51"/>
      <c r="S51"/>
      <c r="T51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3"/>
      <c r="AN51" s="3"/>
      <c r="AO51" s="3"/>
      <c r="AP51" s="3"/>
      <c r="AQ51" s="3"/>
      <c r="AR51" s="3"/>
      <c r="AS51" s="3"/>
      <c r="BF51"/>
      <c r="BG51"/>
      <c r="BH51"/>
      <c r="BI51"/>
      <c r="BJ51"/>
    </row>
    <row r="52" spans="1:62" x14ac:dyDescent="0.25">
      <c r="A52"/>
      <c r="B52"/>
      <c r="C52"/>
      <c r="D52"/>
      <c r="E52"/>
      <c r="F52"/>
      <c r="G52" s="50"/>
      <c r="H52" s="50"/>
      <c r="I52" s="50"/>
      <c r="J52"/>
      <c r="K52"/>
      <c r="L52"/>
      <c r="M52"/>
      <c r="N52"/>
      <c r="O52"/>
      <c r="P52"/>
      <c r="Q52"/>
      <c r="R52"/>
      <c r="S52"/>
      <c r="T52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3"/>
      <c r="AN52" s="3"/>
      <c r="AO52" s="3"/>
      <c r="AP52" s="3"/>
      <c r="AQ52" s="3"/>
      <c r="AR52" s="3"/>
      <c r="AS52" s="3"/>
      <c r="BF52"/>
      <c r="BG52"/>
      <c r="BH52"/>
      <c r="BI52"/>
      <c r="BJ52"/>
    </row>
    <row r="53" spans="1:62" x14ac:dyDescent="0.25">
      <c r="A53"/>
      <c r="B53"/>
      <c r="C53"/>
      <c r="D53"/>
      <c r="E53"/>
      <c r="F53"/>
      <c r="G53" s="50"/>
      <c r="H53" s="50"/>
      <c r="I53" s="50"/>
      <c r="J53"/>
      <c r="K53"/>
      <c r="L53"/>
      <c r="M53"/>
      <c r="N53"/>
      <c r="O53"/>
      <c r="P53"/>
      <c r="Q53"/>
      <c r="R53"/>
      <c r="S53"/>
      <c r="T53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3"/>
      <c r="AN53" s="3"/>
      <c r="AO53" s="3"/>
      <c r="AP53" s="3"/>
      <c r="AQ53" s="3"/>
      <c r="AR53" s="3"/>
      <c r="AS53" s="3"/>
      <c r="BF53"/>
      <c r="BG53"/>
      <c r="BH53"/>
      <c r="BI53"/>
      <c r="BJ53"/>
    </row>
    <row r="54" spans="1:62" x14ac:dyDescent="0.25">
      <c r="A54"/>
      <c r="B54"/>
      <c r="C54"/>
      <c r="D54"/>
      <c r="E54"/>
      <c r="F54"/>
      <c r="G54" s="50"/>
      <c r="H54" s="50"/>
      <c r="I54" s="50"/>
      <c r="J54"/>
      <c r="K54"/>
      <c r="L54"/>
      <c r="M54"/>
      <c r="N54"/>
      <c r="O54"/>
      <c r="P54"/>
      <c r="Q54"/>
      <c r="R54"/>
      <c r="S54"/>
      <c r="T54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3"/>
      <c r="AN54" s="3"/>
      <c r="AO54" s="3"/>
      <c r="AP54" s="3"/>
      <c r="AQ54" s="3"/>
      <c r="AR54" s="3"/>
      <c r="AS54" s="3"/>
      <c r="BF54"/>
      <c r="BG54"/>
      <c r="BH54"/>
      <c r="BI54"/>
      <c r="BJ54"/>
    </row>
    <row r="55" spans="1:62" x14ac:dyDescent="0.25">
      <c r="A55"/>
      <c r="B55"/>
      <c r="C55"/>
      <c r="D55"/>
      <c r="E55"/>
      <c r="F55"/>
      <c r="G55" s="50"/>
      <c r="H55" s="50"/>
      <c r="I55" s="50"/>
      <c r="J55"/>
      <c r="K55"/>
      <c r="L55"/>
      <c r="M55"/>
      <c r="N55"/>
      <c r="O55"/>
      <c r="P55"/>
      <c r="Q55"/>
      <c r="R55"/>
      <c r="S55"/>
      <c r="T55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3"/>
      <c r="AN55" s="3"/>
      <c r="AO55" s="3"/>
      <c r="AP55" s="3"/>
      <c r="AQ55" s="3"/>
      <c r="AR55" s="3"/>
      <c r="AS55" s="3"/>
      <c r="BF55"/>
      <c r="BG55"/>
      <c r="BH55"/>
      <c r="BI55"/>
      <c r="BJ55"/>
    </row>
    <row r="56" spans="1:62" x14ac:dyDescent="0.25">
      <c r="A56"/>
      <c r="B56"/>
      <c r="C56"/>
      <c r="D56"/>
      <c r="E56"/>
      <c r="F56"/>
      <c r="G56" s="50"/>
      <c r="H56" s="50"/>
      <c r="I56" s="50"/>
      <c r="J56"/>
      <c r="K56"/>
      <c r="L56"/>
      <c r="M56"/>
      <c r="N56"/>
      <c r="O56"/>
      <c r="P56"/>
      <c r="Q56"/>
      <c r="R56"/>
      <c r="S56"/>
      <c r="T56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3"/>
      <c r="AN56" s="3"/>
      <c r="AO56" s="3"/>
      <c r="AP56" s="3"/>
      <c r="AQ56" s="3"/>
      <c r="AR56" s="3"/>
      <c r="AS56" s="3"/>
      <c r="BF56"/>
      <c r="BG56"/>
      <c r="BH56"/>
      <c r="BI56"/>
      <c r="BJ56"/>
    </row>
    <row r="57" spans="1:62" x14ac:dyDescent="0.25">
      <c r="A57"/>
      <c r="B57"/>
      <c r="C57"/>
      <c r="D57"/>
      <c r="E57"/>
      <c r="F57"/>
      <c r="G57" s="50"/>
      <c r="H57" s="50"/>
      <c r="I57" s="50"/>
      <c r="J57"/>
      <c r="K57"/>
      <c r="L57"/>
      <c r="M57"/>
      <c r="N57"/>
      <c r="O57"/>
      <c r="P57"/>
      <c r="Q57"/>
      <c r="R57"/>
      <c r="S57"/>
      <c r="T57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3"/>
      <c r="AN57" s="3"/>
      <c r="AO57" s="3"/>
      <c r="AP57" s="3"/>
      <c r="AQ57" s="3"/>
      <c r="AR57" s="3"/>
      <c r="AS57" s="3"/>
      <c r="BF57"/>
      <c r="BG57"/>
      <c r="BH57"/>
      <c r="BI57"/>
      <c r="BJ57"/>
    </row>
    <row r="58" spans="1:62" x14ac:dyDescent="0.25">
      <c r="A58"/>
      <c r="B58"/>
      <c r="C58"/>
      <c r="D58"/>
      <c r="E58"/>
      <c r="F58"/>
      <c r="G58" s="50"/>
      <c r="H58" s="50"/>
      <c r="I58" s="50"/>
      <c r="J58"/>
      <c r="K58"/>
      <c r="L58"/>
      <c r="M58"/>
      <c r="N58"/>
      <c r="O58"/>
      <c r="P58"/>
      <c r="Q58"/>
      <c r="R58"/>
      <c r="S58"/>
      <c r="T58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3"/>
      <c r="AN58" s="3"/>
      <c r="AO58" s="3"/>
      <c r="AP58" s="3"/>
      <c r="AQ58" s="3"/>
      <c r="AR58" s="3"/>
      <c r="AS58" s="3"/>
      <c r="BF58"/>
      <c r="BG58"/>
      <c r="BH58"/>
      <c r="BI58"/>
      <c r="BJ58"/>
    </row>
    <row r="59" spans="1:62" x14ac:dyDescent="0.25">
      <c r="A59"/>
      <c r="B59"/>
      <c r="C59"/>
      <c r="D59"/>
      <c r="E59"/>
      <c r="F59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3"/>
      <c r="AN59" s="3"/>
      <c r="AO59" s="3"/>
      <c r="AP59" s="3"/>
      <c r="AQ59" s="3"/>
      <c r="AR59" s="3"/>
      <c r="AS59" s="3"/>
      <c r="BF59"/>
      <c r="BG59"/>
      <c r="BH59"/>
      <c r="BI59"/>
      <c r="BJ59"/>
    </row>
    <row r="60" spans="1:62" x14ac:dyDescent="0.25">
      <c r="A60"/>
      <c r="B60"/>
      <c r="C60"/>
      <c r="D60"/>
      <c r="E60"/>
      <c r="F6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3"/>
      <c r="AN60" s="3"/>
      <c r="AO60" s="3"/>
      <c r="AP60" s="3"/>
      <c r="AQ60" s="3"/>
      <c r="AR60" s="3"/>
      <c r="AS60" s="3"/>
      <c r="BF60"/>
      <c r="BG60"/>
      <c r="BH60"/>
      <c r="BI60"/>
      <c r="BJ60"/>
    </row>
    <row r="61" spans="1:62" x14ac:dyDescent="0.25">
      <c r="A61"/>
      <c r="B61"/>
      <c r="C61"/>
      <c r="D61"/>
      <c r="E61"/>
      <c r="F61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3"/>
      <c r="AN61" s="3"/>
      <c r="AO61" s="3"/>
      <c r="AP61" s="3"/>
      <c r="AQ61" s="3"/>
      <c r="AR61" s="3"/>
      <c r="AS61" s="3"/>
      <c r="BF61"/>
      <c r="BG61"/>
      <c r="BH61"/>
      <c r="BI61"/>
      <c r="BJ61"/>
    </row>
    <row r="62" spans="1:62" x14ac:dyDescent="0.25">
      <c r="A62"/>
      <c r="B62"/>
      <c r="C62"/>
      <c r="D62"/>
      <c r="E62"/>
      <c r="F62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3"/>
      <c r="AN62" s="3"/>
      <c r="AO62" s="3"/>
      <c r="AP62" s="3"/>
      <c r="AQ62" s="3"/>
      <c r="AR62" s="3"/>
      <c r="AS62" s="3"/>
      <c r="BF62"/>
      <c r="BG62"/>
      <c r="BH62"/>
      <c r="BI62"/>
      <c r="BJ62"/>
    </row>
    <row r="63" spans="1:62" x14ac:dyDescent="0.25">
      <c r="A63"/>
      <c r="B63"/>
      <c r="C63"/>
      <c r="D63"/>
      <c r="E63"/>
      <c r="F63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3"/>
      <c r="AN63" s="3"/>
      <c r="AO63" s="3"/>
      <c r="AP63" s="3"/>
      <c r="AQ63" s="3"/>
      <c r="AR63" s="3"/>
      <c r="AS63" s="3"/>
      <c r="BF63"/>
      <c r="BG63"/>
      <c r="BH63"/>
      <c r="BI63"/>
      <c r="BJ63"/>
    </row>
    <row r="64" spans="1:62" x14ac:dyDescent="0.25">
      <c r="A64"/>
      <c r="B64"/>
      <c r="C64"/>
      <c r="D64"/>
      <c r="E64"/>
      <c r="F64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3"/>
      <c r="AN64" s="3"/>
      <c r="AO64" s="3"/>
      <c r="AP64" s="3"/>
      <c r="AQ64" s="3"/>
      <c r="AR64" s="3"/>
      <c r="AS64" s="3"/>
      <c r="BF64"/>
      <c r="BG64"/>
      <c r="BH64"/>
      <c r="BI64"/>
      <c r="BJ64"/>
    </row>
    <row r="65" spans="1:62" x14ac:dyDescent="0.25">
      <c r="A65"/>
      <c r="B65"/>
      <c r="C65"/>
      <c r="D65"/>
      <c r="E65"/>
      <c r="F65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3"/>
      <c r="AN65" s="3"/>
      <c r="AO65" s="3"/>
      <c r="AP65" s="3"/>
      <c r="AQ65" s="3"/>
      <c r="AR65" s="3"/>
      <c r="AS65" s="3"/>
      <c r="BF65"/>
      <c r="BG65"/>
      <c r="BH65"/>
      <c r="BI65"/>
      <c r="BJ65"/>
    </row>
    <row r="66" spans="1:62" x14ac:dyDescent="0.25">
      <c r="A66"/>
      <c r="B66"/>
      <c r="C66"/>
      <c r="D66"/>
      <c r="E66"/>
      <c r="F66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3"/>
      <c r="AN66" s="3"/>
      <c r="AO66" s="3"/>
      <c r="AP66" s="3"/>
      <c r="AQ66" s="3"/>
      <c r="AR66" s="3"/>
      <c r="AS66" s="3"/>
      <c r="BF66"/>
      <c r="BG66"/>
      <c r="BH66"/>
      <c r="BI66"/>
      <c r="BJ66"/>
    </row>
    <row r="67" spans="1:62" x14ac:dyDescent="0.25">
      <c r="A67"/>
      <c r="B67"/>
      <c r="C67"/>
      <c r="D67"/>
      <c r="E67"/>
      <c r="F67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3"/>
      <c r="AN67" s="3"/>
      <c r="AO67" s="3"/>
      <c r="AP67" s="3"/>
      <c r="AQ67" s="3"/>
      <c r="AR67" s="3"/>
      <c r="AS67" s="3"/>
      <c r="BF67"/>
      <c r="BG67"/>
      <c r="BH67"/>
      <c r="BI67"/>
      <c r="BJ67"/>
    </row>
    <row r="68" spans="1:62" x14ac:dyDescent="0.25">
      <c r="A68"/>
      <c r="B68"/>
      <c r="C68"/>
      <c r="D68"/>
      <c r="E68"/>
      <c r="F68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3"/>
      <c r="AN68" s="3"/>
      <c r="AO68" s="3"/>
      <c r="AP68" s="3"/>
      <c r="AQ68" s="3"/>
      <c r="AR68" s="3"/>
      <c r="AS68" s="3"/>
      <c r="BF68"/>
      <c r="BG68"/>
      <c r="BH68"/>
      <c r="BI68"/>
      <c r="BJ68"/>
    </row>
    <row r="69" spans="1:62" x14ac:dyDescent="0.25">
      <c r="A69"/>
      <c r="B69"/>
      <c r="C69"/>
      <c r="D69"/>
      <c r="E69"/>
      <c r="F69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3"/>
      <c r="AN69" s="3"/>
      <c r="AO69" s="3"/>
      <c r="AP69" s="3"/>
      <c r="AQ69" s="3"/>
      <c r="AR69" s="3"/>
      <c r="AS69" s="3"/>
      <c r="BF69"/>
      <c r="BG69"/>
      <c r="BH69"/>
      <c r="BI69"/>
      <c r="BJ69"/>
    </row>
    <row r="70" spans="1:62" x14ac:dyDescent="0.25">
      <c r="A70"/>
      <c r="B70"/>
      <c r="C70"/>
      <c r="D70"/>
      <c r="E70"/>
      <c r="F7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3"/>
      <c r="AN70" s="3"/>
      <c r="AO70" s="3"/>
      <c r="AP70" s="3"/>
      <c r="AQ70" s="3"/>
      <c r="AR70" s="3"/>
      <c r="AS70" s="3"/>
      <c r="BF70"/>
      <c r="BG70"/>
      <c r="BH70"/>
      <c r="BI70"/>
      <c r="BJ70"/>
    </row>
    <row r="71" spans="1:62" x14ac:dyDescent="0.25">
      <c r="A71"/>
      <c r="B71"/>
      <c r="C71"/>
      <c r="D71"/>
      <c r="E71"/>
      <c r="F71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3"/>
      <c r="AN71" s="3"/>
      <c r="AO71" s="3"/>
      <c r="AP71" s="3"/>
      <c r="AQ71" s="3"/>
      <c r="AR71" s="3"/>
      <c r="AS71" s="3"/>
      <c r="BF71"/>
      <c r="BG71"/>
      <c r="BH71"/>
      <c r="BI71"/>
      <c r="BJ71"/>
    </row>
    <row r="72" spans="1:62" x14ac:dyDescent="0.25">
      <c r="A72"/>
      <c r="B72"/>
      <c r="C72"/>
      <c r="D72"/>
      <c r="E72"/>
      <c r="F72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3"/>
      <c r="AN72" s="3"/>
      <c r="AO72" s="3"/>
      <c r="AP72" s="3"/>
      <c r="AQ72" s="3"/>
      <c r="AR72" s="3"/>
      <c r="AS72" s="3"/>
      <c r="BF72"/>
      <c r="BG72"/>
      <c r="BH72"/>
      <c r="BI72"/>
      <c r="BJ72"/>
    </row>
    <row r="73" spans="1:62" x14ac:dyDescent="0.25">
      <c r="A73"/>
      <c r="B73"/>
      <c r="C73"/>
      <c r="D73"/>
      <c r="E73"/>
      <c r="F73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3"/>
      <c r="AN73" s="3"/>
      <c r="AO73" s="3"/>
      <c r="AP73" s="3"/>
      <c r="AQ73" s="3"/>
      <c r="AR73" s="3"/>
      <c r="AS73" s="3"/>
      <c r="BF73"/>
      <c r="BG73"/>
      <c r="BH73"/>
      <c r="BI73"/>
      <c r="BJ73"/>
    </row>
    <row r="74" spans="1:62" x14ac:dyDescent="0.25">
      <c r="A74"/>
      <c r="B74"/>
      <c r="C74"/>
      <c r="D74"/>
      <c r="E74"/>
      <c r="F74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BF74"/>
      <c r="BG74"/>
      <c r="BH74"/>
      <c r="BI74"/>
      <c r="BJ74"/>
    </row>
    <row r="75" spans="1:62" x14ac:dyDescent="0.25">
      <c r="A75"/>
      <c r="B75"/>
      <c r="C75"/>
      <c r="D75"/>
      <c r="E75"/>
      <c r="F75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BF75"/>
      <c r="BG75"/>
      <c r="BH75"/>
      <c r="BI75"/>
      <c r="BJ75"/>
    </row>
    <row r="76" spans="1:62" x14ac:dyDescent="0.25">
      <c r="A76"/>
      <c r="B76"/>
      <c r="C76"/>
      <c r="D76"/>
      <c r="E76"/>
      <c r="F76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BF76"/>
      <c r="BG76"/>
      <c r="BH76"/>
      <c r="BI76"/>
      <c r="BJ76"/>
    </row>
    <row r="77" spans="1:62" x14ac:dyDescent="0.25">
      <c r="A77"/>
      <c r="B77"/>
      <c r="C77"/>
      <c r="D77"/>
      <c r="E77"/>
      <c r="F77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BF77"/>
      <c r="BG77"/>
      <c r="BH77"/>
      <c r="BI77"/>
      <c r="BJ77"/>
    </row>
    <row r="78" spans="1:62" x14ac:dyDescent="0.25">
      <c r="A78"/>
      <c r="B78"/>
      <c r="C78"/>
      <c r="D78"/>
      <c r="E78"/>
      <c r="F78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BF78"/>
      <c r="BG78"/>
      <c r="BH78"/>
      <c r="BI78"/>
      <c r="BJ78"/>
    </row>
    <row r="79" spans="1:62" ht="16.5" x14ac:dyDescent="0.3">
      <c r="A79"/>
      <c r="B79"/>
      <c r="C79"/>
      <c r="D79"/>
      <c r="E79"/>
      <c r="F79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BF79"/>
      <c r="BG79"/>
      <c r="BH79"/>
      <c r="BI79"/>
      <c r="BJ79"/>
    </row>
    <row r="80" spans="1:62" ht="16.5" x14ac:dyDescent="0.3">
      <c r="A80"/>
      <c r="B80"/>
      <c r="C80"/>
      <c r="D80"/>
      <c r="E80"/>
      <c r="F8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BF80"/>
      <c r="BG80"/>
      <c r="BH80"/>
      <c r="BI80"/>
      <c r="BJ80"/>
    </row>
    <row r="81" spans="1:62" ht="16.5" x14ac:dyDescent="0.3">
      <c r="A81"/>
      <c r="B81"/>
      <c r="C81"/>
      <c r="D81"/>
      <c r="E81"/>
      <c r="F81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BF81"/>
      <c r="BG81"/>
      <c r="BH81"/>
      <c r="BI81"/>
      <c r="BJ81"/>
    </row>
    <row r="82" spans="1:62" ht="16.5" x14ac:dyDescent="0.3">
      <c r="A82"/>
      <c r="B82"/>
      <c r="C82"/>
      <c r="D82"/>
      <c r="E82"/>
      <c r="F82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BF82"/>
      <c r="BG82"/>
      <c r="BH82"/>
      <c r="BI82"/>
      <c r="BJ82"/>
    </row>
    <row r="83" spans="1:62" ht="16.5" x14ac:dyDescent="0.3">
      <c r="A83"/>
      <c r="B83"/>
      <c r="C83"/>
      <c r="D83"/>
      <c r="E83"/>
      <c r="F83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BF83"/>
      <c r="BG83"/>
      <c r="BH83"/>
      <c r="BI83"/>
      <c r="BJ83"/>
    </row>
    <row r="84" spans="1:62" ht="16.5" x14ac:dyDescent="0.3">
      <c r="A84"/>
      <c r="B84"/>
      <c r="C84"/>
      <c r="D84"/>
      <c r="E84"/>
      <c r="F84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BF84"/>
      <c r="BG84"/>
      <c r="BH84"/>
      <c r="BI84"/>
      <c r="BJ84"/>
    </row>
    <row r="85" spans="1:62" ht="16.5" x14ac:dyDescent="0.3">
      <c r="A85"/>
      <c r="B85"/>
      <c r="C85"/>
      <c r="D85"/>
      <c r="E85"/>
      <c r="F85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BF85"/>
      <c r="BG85"/>
      <c r="BH85"/>
      <c r="BI85"/>
      <c r="BJ85"/>
    </row>
    <row r="86" spans="1:62" ht="16.5" x14ac:dyDescent="0.3">
      <c r="A86"/>
      <c r="B86"/>
      <c r="C86"/>
      <c r="D86"/>
      <c r="E86"/>
      <c r="F8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BF86"/>
      <c r="BG86"/>
      <c r="BH86"/>
      <c r="BI86"/>
      <c r="BJ86"/>
    </row>
    <row r="87" spans="1:62" ht="16.5" x14ac:dyDescent="0.3">
      <c r="A87"/>
      <c r="B87"/>
      <c r="C87"/>
      <c r="D87"/>
      <c r="E87"/>
      <c r="F87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BF87"/>
      <c r="BG87"/>
      <c r="BH87"/>
      <c r="BI87"/>
      <c r="BJ87"/>
    </row>
    <row r="88" spans="1:62" ht="16.5" x14ac:dyDescent="0.3">
      <c r="A88"/>
      <c r="B88"/>
      <c r="C88"/>
      <c r="D88"/>
      <c r="E88"/>
      <c r="F88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</row>
    <row r="89" spans="1:62" ht="16.5" x14ac:dyDescent="0.3">
      <c r="A89"/>
      <c r="B89"/>
      <c r="C89"/>
      <c r="D89"/>
      <c r="E89"/>
      <c r="F89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</row>
    <row r="90" spans="1:62" ht="16.5" x14ac:dyDescent="0.3">
      <c r="A90"/>
      <c r="B90"/>
      <c r="C90"/>
      <c r="D90"/>
      <c r="E90"/>
      <c r="F90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</row>
    <row r="91" spans="1:62" x14ac:dyDescent="0.25">
      <c r="A91"/>
      <c r="B91"/>
      <c r="C91"/>
      <c r="D91"/>
      <c r="E91"/>
      <c r="F91"/>
    </row>
    <row r="92" spans="1:62" x14ac:dyDescent="0.25">
      <c r="A92"/>
      <c r="B92"/>
      <c r="C92"/>
      <c r="D92"/>
      <c r="E92"/>
      <c r="F92"/>
    </row>
    <row r="93" spans="1:62" x14ac:dyDescent="0.25">
      <c r="A93"/>
      <c r="B93"/>
      <c r="C93"/>
      <c r="D93"/>
      <c r="E93"/>
      <c r="F93"/>
    </row>
    <row r="94" spans="1:62" x14ac:dyDescent="0.25">
      <c r="A94"/>
      <c r="B94"/>
      <c r="C94"/>
      <c r="D94"/>
      <c r="E94"/>
      <c r="F94"/>
    </row>
    <row r="95" spans="1:62" x14ac:dyDescent="0.25">
      <c r="A95"/>
      <c r="B95"/>
      <c r="C95"/>
      <c r="D95"/>
      <c r="E95"/>
      <c r="F95"/>
    </row>
    <row r="96" spans="1:62" x14ac:dyDescent="0.25">
      <c r="A96"/>
      <c r="B96"/>
      <c r="C96"/>
      <c r="D96"/>
      <c r="E96"/>
      <c r="F96"/>
    </row>
    <row r="97" spans="1:6" x14ac:dyDescent="0.25">
      <c r="A97"/>
      <c r="B97"/>
      <c r="C97"/>
      <c r="D97"/>
      <c r="E97"/>
      <c r="F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  <c r="B104"/>
      <c r="C104"/>
      <c r="D104"/>
      <c r="E104"/>
      <c r="F104"/>
    </row>
    <row r="105" spans="1:6" x14ac:dyDescent="0.25">
      <c r="A105"/>
      <c r="B105"/>
      <c r="C105"/>
      <c r="D105"/>
      <c r="E105"/>
      <c r="F105"/>
    </row>
    <row r="106" spans="1:6" x14ac:dyDescent="0.25">
      <c r="A106"/>
      <c r="B106"/>
      <c r="C106"/>
      <c r="D106"/>
      <c r="E106"/>
      <c r="F106"/>
    </row>
    <row r="107" spans="1:6" x14ac:dyDescent="0.25">
      <c r="A107"/>
      <c r="B107"/>
      <c r="C107"/>
      <c r="D107"/>
      <c r="E107"/>
      <c r="F107"/>
    </row>
    <row r="108" spans="1:6" x14ac:dyDescent="0.25">
      <c r="A108"/>
      <c r="B108"/>
      <c r="C108"/>
      <c r="D108"/>
      <c r="E108"/>
      <c r="F108"/>
    </row>
    <row r="109" spans="1:6" x14ac:dyDescent="0.25">
      <c r="A109"/>
      <c r="B109"/>
      <c r="C109"/>
      <c r="D109"/>
      <c r="E109"/>
      <c r="F109"/>
    </row>
    <row r="110" spans="1:6" x14ac:dyDescent="0.25">
      <c r="A110"/>
      <c r="B110"/>
      <c r="C110"/>
      <c r="D110"/>
      <c r="E110"/>
      <c r="F110"/>
    </row>
    <row r="111" spans="1:6" x14ac:dyDescent="0.25">
      <c r="A111"/>
      <c r="B111"/>
      <c r="C111"/>
      <c r="D111"/>
      <c r="E111"/>
      <c r="F111"/>
    </row>
    <row r="112" spans="1:6" x14ac:dyDescent="0.25">
      <c r="A112"/>
      <c r="B112"/>
      <c r="C112"/>
      <c r="D112"/>
      <c r="E112"/>
      <c r="F112"/>
    </row>
    <row r="113" spans="1:6" x14ac:dyDescent="0.25">
      <c r="A113"/>
      <c r="B113"/>
      <c r="C113"/>
      <c r="D113"/>
      <c r="E113"/>
      <c r="F113"/>
    </row>
    <row r="114" spans="1:6" x14ac:dyDescent="0.25">
      <c r="A114"/>
      <c r="B114"/>
      <c r="C114"/>
      <c r="D114"/>
      <c r="E114"/>
      <c r="F114"/>
    </row>
    <row r="115" spans="1:6" x14ac:dyDescent="0.25">
      <c r="A115"/>
      <c r="B115"/>
      <c r="C115"/>
      <c r="D115"/>
      <c r="E115"/>
      <c r="F115"/>
    </row>
    <row r="116" spans="1:6" x14ac:dyDescent="0.25">
      <c r="A116"/>
      <c r="B116"/>
      <c r="C116"/>
      <c r="D116"/>
      <c r="E116"/>
      <c r="F116"/>
    </row>
    <row r="117" spans="1:6" x14ac:dyDescent="0.25">
      <c r="A117"/>
      <c r="B117"/>
      <c r="C117"/>
      <c r="D117"/>
      <c r="E117"/>
      <c r="F117"/>
    </row>
    <row r="118" spans="1:6" x14ac:dyDescent="0.25">
      <c r="A118"/>
      <c r="B118"/>
      <c r="C118"/>
      <c r="D118"/>
      <c r="E118"/>
      <c r="F118"/>
    </row>
    <row r="119" spans="1:6" x14ac:dyDescent="0.25">
      <c r="A119"/>
      <c r="B119"/>
      <c r="C119"/>
      <c r="D119"/>
      <c r="E119"/>
      <c r="F119"/>
    </row>
    <row r="120" spans="1:6" x14ac:dyDescent="0.25">
      <c r="A120"/>
      <c r="B120"/>
      <c r="C120"/>
      <c r="D120"/>
      <c r="E120"/>
      <c r="F120"/>
    </row>
    <row r="121" spans="1:6" x14ac:dyDescent="0.25">
      <c r="A121"/>
      <c r="B121"/>
      <c r="C121"/>
      <c r="D121"/>
      <c r="E121"/>
      <c r="F121"/>
    </row>
    <row r="122" spans="1:6" x14ac:dyDescent="0.25">
      <c r="A122"/>
      <c r="B122"/>
      <c r="C122"/>
      <c r="D122"/>
      <c r="E122"/>
      <c r="F122"/>
    </row>
    <row r="123" spans="1:6" x14ac:dyDescent="0.25">
      <c r="A123"/>
      <c r="B123"/>
      <c r="C123"/>
      <c r="D123"/>
      <c r="E123"/>
      <c r="F123"/>
    </row>
    <row r="124" spans="1:6" x14ac:dyDescent="0.25">
      <c r="A124"/>
      <c r="B124"/>
      <c r="C124"/>
      <c r="D124"/>
      <c r="E124"/>
      <c r="F124"/>
    </row>
    <row r="125" spans="1:6" x14ac:dyDescent="0.25">
      <c r="A125"/>
      <c r="B125"/>
      <c r="C125"/>
      <c r="D125"/>
      <c r="E125"/>
      <c r="F125"/>
    </row>
    <row r="126" spans="1:6" x14ac:dyDescent="0.25">
      <c r="A126"/>
      <c r="B126"/>
      <c r="C126"/>
      <c r="D126"/>
      <c r="E126"/>
      <c r="F126"/>
    </row>
    <row r="127" spans="1:6" x14ac:dyDescent="0.25">
      <c r="A127"/>
      <c r="B127"/>
      <c r="C127"/>
      <c r="D127"/>
      <c r="E127"/>
      <c r="F127"/>
    </row>
    <row r="128" spans="1:6" x14ac:dyDescent="0.25">
      <c r="A128"/>
      <c r="B128"/>
      <c r="C128"/>
      <c r="D128"/>
      <c r="E128"/>
      <c r="F128"/>
    </row>
    <row r="129" spans="1:6" x14ac:dyDescent="0.25">
      <c r="A129"/>
      <c r="B129"/>
      <c r="C129"/>
      <c r="D129"/>
      <c r="E129"/>
      <c r="F129"/>
    </row>
    <row r="130" spans="1:6" x14ac:dyDescent="0.25">
      <c r="A130"/>
      <c r="B130"/>
      <c r="C130"/>
      <c r="D130"/>
      <c r="E130"/>
      <c r="F130"/>
    </row>
    <row r="131" spans="1:6" x14ac:dyDescent="0.25">
      <c r="A131"/>
      <c r="B131"/>
      <c r="C131"/>
      <c r="D131"/>
      <c r="E131"/>
      <c r="F131"/>
    </row>
    <row r="132" spans="1:6" x14ac:dyDescent="0.25">
      <c r="A132"/>
      <c r="B132"/>
      <c r="C132"/>
      <c r="D132"/>
      <c r="E132"/>
      <c r="F132"/>
    </row>
    <row r="133" spans="1:6" x14ac:dyDescent="0.25">
      <c r="A133"/>
      <c r="B133"/>
      <c r="C133"/>
      <c r="D133"/>
      <c r="E133"/>
      <c r="F133"/>
    </row>
    <row r="134" spans="1:6" x14ac:dyDescent="0.25">
      <c r="A134"/>
      <c r="B134"/>
      <c r="C134"/>
      <c r="D134"/>
      <c r="E134"/>
      <c r="F134"/>
    </row>
    <row r="135" spans="1:6" x14ac:dyDescent="0.25">
      <c r="A135"/>
      <c r="B135"/>
      <c r="C135"/>
      <c r="D135"/>
      <c r="E135"/>
      <c r="F135"/>
    </row>
    <row r="136" spans="1:6" x14ac:dyDescent="0.25">
      <c r="A136"/>
      <c r="B136"/>
      <c r="C136"/>
      <c r="D136"/>
      <c r="E136"/>
      <c r="F136"/>
    </row>
    <row r="137" spans="1:6" x14ac:dyDescent="0.25">
      <c r="A137"/>
      <c r="B137"/>
      <c r="C137"/>
      <c r="D137"/>
      <c r="E137"/>
      <c r="F137"/>
    </row>
    <row r="138" spans="1:6" x14ac:dyDescent="0.25">
      <c r="A138"/>
      <c r="B138"/>
      <c r="C138"/>
      <c r="D138"/>
      <c r="E138"/>
      <c r="F138"/>
    </row>
    <row r="139" spans="1:6" x14ac:dyDescent="0.25">
      <c r="A139"/>
      <c r="B139"/>
      <c r="C139"/>
      <c r="D139"/>
      <c r="E139"/>
      <c r="F139"/>
    </row>
    <row r="140" spans="1:6" x14ac:dyDescent="0.25">
      <c r="A140"/>
      <c r="B140"/>
      <c r="C140"/>
      <c r="D140"/>
      <c r="E140"/>
      <c r="F140"/>
    </row>
    <row r="141" spans="1:6" x14ac:dyDescent="0.25">
      <c r="A141"/>
      <c r="B141"/>
      <c r="C141"/>
      <c r="D141"/>
      <c r="E141"/>
      <c r="F141"/>
    </row>
    <row r="142" spans="1:6" x14ac:dyDescent="0.25">
      <c r="A142"/>
      <c r="B142"/>
      <c r="C142"/>
      <c r="D142"/>
      <c r="E142"/>
      <c r="F142"/>
    </row>
    <row r="143" spans="1:6" x14ac:dyDescent="0.25">
      <c r="A143"/>
      <c r="B143"/>
      <c r="C143"/>
      <c r="D143"/>
      <c r="E143"/>
      <c r="F143"/>
    </row>
    <row r="144" spans="1:6" x14ac:dyDescent="0.25">
      <c r="A144"/>
      <c r="B144"/>
      <c r="C144"/>
      <c r="D144"/>
      <c r="E144"/>
      <c r="F144"/>
    </row>
    <row r="145" spans="1:6" x14ac:dyDescent="0.25">
      <c r="A145"/>
      <c r="B145"/>
      <c r="C145"/>
      <c r="D145"/>
      <c r="E145"/>
      <c r="F145"/>
    </row>
    <row r="146" spans="1:6" x14ac:dyDescent="0.25">
      <c r="A146"/>
      <c r="B146"/>
      <c r="C146"/>
      <c r="D146"/>
      <c r="E146"/>
      <c r="F146"/>
    </row>
    <row r="147" spans="1:6" x14ac:dyDescent="0.25">
      <c r="A147"/>
      <c r="B147"/>
      <c r="C147"/>
      <c r="D147"/>
      <c r="E147"/>
      <c r="F147"/>
    </row>
    <row r="148" spans="1:6" x14ac:dyDescent="0.25">
      <c r="A148"/>
      <c r="B148"/>
      <c r="C148"/>
      <c r="D148"/>
      <c r="E148"/>
      <c r="F148"/>
    </row>
    <row r="149" spans="1:6" x14ac:dyDescent="0.25">
      <c r="A149"/>
      <c r="B149"/>
      <c r="C149"/>
      <c r="D149"/>
      <c r="E149"/>
      <c r="F149"/>
    </row>
    <row r="150" spans="1:6" x14ac:dyDescent="0.25">
      <c r="A150"/>
      <c r="B150"/>
      <c r="C150"/>
      <c r="D150"/>
      <c r="E150"/>
      <c r="F150"/>
    </row>
    <row r="151" spans="1:6" x14ac:dyDescent="0.25">
      <c r="A151"/>
      <c r="B151"/>
      <c r="C151"/>
      <c r="D151"/>
      <c r="E151"/>
      <c r="F151"/>
    </row>
    <row r="152" spans="1:6" x14ac:dyDescent="0.25">
      <c r="A152"/>
      <c r="B152"/>
      <c r="C152"/>
      <c r="D152"/>
      <c r="E152"/>
      <c r="F152"/>
    </row>
    <row r="153" spans="1:6" x14ac:dyDescent="0.25">
      <c r="A153"/>
      <c r="B153"/>
      <c r="C153"/>
      <c r="D153"/>
      <c r="E153"/>
      <c r="F153"/>
    </row>
    <row r="154" spans="1:6" x14ac:dyDescent="0.25">
      <c r="A154"/>
      <c r="B154"/>
      <c r="C154"/>
      <c r="D154"/>
      <c r="E154"/>
      <c r="F154"/>
    </row>
    <row r="155" spans="1:6" x14ac:dyDescent="0.25">
      <c r="A155"/>
      <c r="B155"/>
      <c r="C155"/>
      <c r="D155"/>
      <c r="E155"/>
      <c r="F155"/>
    </row>
    <row r="156" spans="1:6" x14ac:dyDescent="0.25">
      <c r="A156"/>
      <c r="B156"/>
      <c r="C156"/>
      <c r="D156"/>
      <c r="E156"/>
      <c r="F156"/>
    </row>
    <row r="157" spans="1:6" x14ac:dyDescent="0.25">
      <c r="A157"/>
      <c r="B157"/>
      <c r="C157"/>
      <c r="D157"/>
      <c r="E157"/>
      <c r="F157"/>
    </row>
    <row r="158" spans="1:6" x14ac:dyDescent="0.25">
      <c r="A158"/>
      <c r="B158"/>
      <c r="C158"/>
      <c r="D158"/>
      <c r="E158"/>
      <c r="F158"/>
    </row>
    <row r="159" spans="1:6" x14ac:dyDescent="0.25">
      <c r="A159"/>
      <c r="B159"/>
      <c r="C159"/>
      <c r="D159"/>
      <c r="E159"/>
      <c r="F159"/>
    </row>
    <row r="160" spans="1:6" x14ac:dyDescent="0.25">
      <c r="A160"/>
      <c r="B160"/>
      <c r="C160"/>
      <c r="D160"/>
      <c r="E160"/>
      <c r="F160"/>
    </row>
    <row r="161" spans="1:6" x14ac:dyDescent="0.25">
      <c r="A161"/>
      <c r="B161"/>
      <c r="C161"/>
      <c r="D161"/>
      <c r="E161"/>
      <c r="F161"/>
    </row>
    <row r="162" spans="1:6" x14ac:dyDescent="0.25">
      <c r="A162"/>
      <c r="B162"/>
      <c r="C162"/>
      <c r="D162"/>
      <c r="E162"/>
      <c r="F162"/>
    </row>
    <row r="163" spans="1:6" x14ac:dyDescent="0.25">
      <c r="A163"/>
      <c r="B163"/>
      <c r="C163"/>
      <c r="D163"/>
      <c r="E163"/>
      <c r="F163"/>
    </row>
    <row r="164" spans="1:6" x14ac:dyDescent="0.25">
      <c r="A164"/>
      <c r="B164"/>
      <c r="C164"/>
      <c r="D164"/>
      <c r="E164"/>
      <c r="F164"/>
    </row>
    <row r="165" spans="1:6" x14ac:dyDescent="0.25">
      <c r="A165"/>
      <c r="B165"/>
      <c r="C165"/>
      <c r="D165"/>
      <c r="E165"/>
      <c r="F165"/>
    </row>
    <row r="166" spans="1:6" x14ac:dyDescent="0.25">
      <c r="A166"/>
      <c r="B166"/>
      <c r="C166"/>
      <c r="D166"/>
      <c r="E166"/>
      <c r="F166"/>
    </row>
    <row r="167" spans="1:6" x14ac:dyDescent="0.25">
      <c r="A167"/>
      <c r="B167"/>
      <c r="C167"/>
      <c r="D167"/>
      <c r="E167"/>
      <c r="F167"/>
    </row>
    <row r="168" spans="1:6" x14ac:dyDescent="0.25">
      <c r="A168"/>
      <c r="B168"/>
      <c r="C168"/>
      <c r="D168"/>
      <c r="E168"/>
      <c r="F168"/>
    </row>
    <row r="169" spans="1:6" x14ac:dyDescent="0.25">
      <c r="A169"/>
      <c r="B169"/>
      <c r="C169"/>
      <c r="D169"/>
      <c r="E169"/>
      <c r="F169"/>
    </row>
    <row r="170" spans="1:6" x14ac:dyDescent="0.25">
      <c r="A170"/>
      <c r="B170"/>
      <c r="C170"/>
      <c r="D170"/>
      <c r="E170"/>
      <c r="F170"/>
    </row>
    <row r="171" spans="1:6" x14ac:dyDescent="0.25">
      <c r="A171"/>
      <c r="B171"/>
      <c r="C171"/>
      <c r="D171"/>
      <c r="E171"/>
      <c r="F171"/>
    </row>
    <row r="172" spans="1:6" x14ac:dyDescent="0.25">
      <c r="A172"/>
      <c r="B172"/>
      <c r="C172"/>
      <c r="D172"/>
      <c r="E172"/>
      <c r="F172"/>
    </row>
    <row r="173" spans="1:6" x14ac:dyDescent="0.25">
      <c r="A173"/>
      <c r="B173"/>
      <c r="C173"/>
      <c r="D173"/>
      <c r="E173"/>
      <c r="F173"/>
    </row>
    <row r="174" spans="1:6" x14ac:dyDescent="0.25">
      <c r="A174"/>
      <c r="B174"/>
      <c r="C174"/>
      <c r="D174"/>
      <c r="E174"/>
      <c r="F174"/>
    </row>
    <row r="175" spans="1:6" x14ac:dyDescent="0.25">
      <c r="A175"/>
      <c r="B175"/>
      <c r="C175"/>
      <c r="D175"/>
      <c r="E175"/>
      <c r="F175"/>
    </row>
    <row r="176" spans="1:6" x14ac:dyDescent="0.25">
      <c r="A176"/>
      <c r="B176"/>
      <c r="C176"/>
      <c r="D176"/>
      <c r="E176"/>
      <c r="F176"/>
    </row>
    <row r="177" spans="1:6" x14ac:dyDescent="0.25">
      <c r="A177"/>
      <c r="B177"/>
      <c r="C177"/>
      <c r="D177"/>
      <c r="E177"/>
      <c r="F177"/>
    </row>
    <row r="178" spans="1:6" x14ac:dyDescent="0.25">
      <c r="A178"/>
      <c r="B178"/>
      <c r="C178"/>
      <c r="D178"/>
      <c r="E178"/>
      <c r="F178"/>
    </row>
    <row r="179" spans="1:6" x14ac:dyDescent="0.25">
      <c r="A179"/>
      <c r="B179"/>
      <c r="C179"/>
      <c r="D179"/>
      <c r="E179"/>
      <c r="F179"/>
    </row>
    <row r="180" spans="1:6" x14ac:dyDescent="0.25">
      <c r="A180"/>
      <c r="B180"/>
      <c r="C180"/>
      <c r="D180"/>
      <c r="E180"/>
      <c r="F180"/>
    </row>
    <row r="181" spans="1:6" x14ac:dyDescent="0.25">
      <c r="A181"/>
      <c r="B181"/>
      <c r="C181"/>
      <c r="D181"/>
      <c r="E181"/>
      <c r="F181"/>
    </row>
    <row r="182" spans="1:6" x14ac:dyDescent="0.25">
      <c r="A182"/>
      <c r="B182"/>
      <c r="C182"/>
      <c r="D182"/>
      <c r="E182"/>
      <c r="F182"/>
    </row>
    <row r="183" spans="1:6" x14ac:dyDescent="0.25">
      <c r="A183"/>
      <c r="B183"/>
      <c r="C183"/>
      <c r="D183"/>
      <c r="E183"/>
      <c r="F183"/>
    </row>
    <row r="184" spans="1:6" x14ac:dyDescent="0.25">
      <c r="A184"/>
      <c r="B184"/>
      <c r="C184"/>
      <c r="D184"/>
      <c r="E184"/>
      <c r="F184"/>
    </row>
    <row r="185" spans="1:6" x14ac:dyDescent="0.25">
      <c r="A185"/>
      <c r="B185"/>
      <c r="C185"/>
      <c r="D185"/>
      <c r="E185"/>
      <c r="F185"/>
    </row>
    <row r="186" spans="1:6" x14ac:dyDescent="0.25">
      <c r="A186"/>
      <c r="B186"/>
      <c r="C186"/>
      <c r="D186"/>
      <c r="E186"/>
      <c r="F186"/>
    </row>
    <row r="187" spans="1:6" x14ac:dyDescent="0.25">
      <c r="A187"/>
      <c r="B187"/>
      <c r="C187"/>
      <c r="D187"/>
      <c r="E187"/>
      <c r="F187"/>
    </row>
    <row r="188" spans="1:6" x14ac:dyDescent="0.25">
      <c r="A188"/>
      <c r="B188"/>
      <c r="C188"/>
      <c r="D188"/>
      <c r="E188"/>
      <c r="F188"/>
    </row>
    <row r="189" spans="1:6" x14ac:dyDescent="0.25">
      <c r="A189"/>
      <c r="B189"/>
      <c r="C189"/>
      <c r="D189"/>
      <c r="E189"/>
      <c r="F189"/>
    </row>
    <row r="190" spans="1:6" x14ac:dyDescent="0.25">
      <c r="A190"/>
      <c r="B190"/>
      <c r="C190"/>
      <c r="D190"/>
      <c r="E190"/>
      <c r="F190"/>
    </row>
    <row r="191" spans="1:6" x14ac:dyDescent="0.25">
      <c r="A191"/>
      <c r="B191"/>
      <c r="C191"/>
      <c r="D191"/>
      <c r="E191"/>
      <c r="F191"/>
    </row>
    <row r="192" spans="1:6" x14ac:dyDescent="0.25">
      <c r="A192"/>
      <c r="B192"/>
      <c r="C192"/>
      <c r="D192"/>
      <c r="E192"/>
      <c r="F192"/>
    </row>
    <row r="193" spans="1:6" x14ac:dyDescent="0.25">
      <c r="A193"/>
      <c r="B193"/>
      <c r="C193"/>
      <c r="D193"/>
      <c r="E193"/>
      <c r="F193"/>
    </row>
    <row r="194" spans="1:6" x14ac:dyDescent="0.25">
      <c r="A194"/>
      <c r="B194"/>
      <c r="C194"/>
      <c r="D194"/>
      <c r="E194"/>
      <c r="F194"/>
    </row>
    <row r="195" spans="1:6" x14ac:dyDescent="0.25">
      <c r="A195"/>
      <c r="B195"/>
      <c r="C195"/>
      <c r="D195"/>
      <c r="E195"/>
      <c r="F195"/>
    </row>
    <row r="196" spans="1:6" x14ac:dyDescent="0.25">
      <c r="A196"/>
      <c r="B196"/>
      <c r="C196"/>
      <c r="D196"/>
      <c r="E196"/>
      <c r="F196"/>
    </row>
    <row r="197" spans="1:6" x14ac:dyDescent="0.25">
      <c r="A197"/>
      <c r="B197"/>
      <c r="C197"/>
      <c r="D197"/>
      <c r="E197"/>
      <c r="F197"/>
    </row>
    <row r="198" spans="1:6" x14ac:dyDescent="0.25">
      <c r="A198"/>
      <c r="B198"/>
      <c r="C198"/>
      <c r="D198"/>
      <c r="E198"/>
      <c r="F198"/>
    </row>
    <row r="199" spans="1:6" x14ac:dyDescent="0.25">
      <c r="A199"/>
      <c r="B199"/>
      <c r="C199"/>
      <c r="D199"/>
      <c r="E199"/>
      <c r="F199"/>
    </row>
    <row r="200" spans="1:6" x14ac:dyDescent="0.25">
      <c r="A200"/>
      <c r="B200"/>
      <c r="C200"/>
      <c r="D200"/>
      <c r="E200"/>
      <c r="F200"/>
    </row>
    <row r="201" spans="1:6" x14ac:dyDescent="0.25">
      <c r="A201"/>
      <c r="B201"/>
      <c r="C201"/>
      <c r="D201"/>
      <c r="E201"/>
      <c r="F201"/>
    </row>
    <row r="202" spans="1:6" x14ac:dyDescent="0.25">
      <c r="A202"/>
      <c r="B202"/>
      <c r="C202"/>
      <c r="D202"/>
      <c r="E202"/>
      <c r="F202"/>
    </row>
    <row r="203" spans="1:6" x14ac:dyDescent="0.25">
      <c r="A203"/>
      <c r="B203"/>
      <c r="C203"/>
      <c r="D203"/>
      <c r="E203"/>
      <c r="F203"/>
    </row>
    <row r="204" spans="1:6" x14ac:dyDescent="0.25">
      <c r="A204"/>
      <c r="B204"/>
      <c r="C204"/>
      <c r="D204"/>
      <c r="E204"/>
      <c r="F204"/>
    </row>
    <row r="205" spans="1:6" x14ac:dyDescent="0.25">
      <c r="A205"/>
      <c r="B205"/>
      <c r="C205"/>
      <c r="D205"/>
      <c r="E205"/>
      <c r="F205"/>
    </row>
    <row r="206" spans="1:6" x14ac:dyDescent="0.25">
      <c r="A206"/>
      <c r="B206"/>
      <c r="C206"/>
      <c r="D206"/>
      <c r="E206"/>
      <c r="F206"/>
    </row>
    <row r="207" spans="1:6" x14ac:dyDescent="0.25">
      <c r="A207"/>
      <c r="B207"/>
      <c r="C207"/>
      <c r="D207"/>
      <c r="E207"/>
      <c r="F207"/>
    </row>
    <row r="208" spans="1:6" x14ac:dyDescent="0.25">
      <c r="A208"/>
      <c r="B208"/>
      <c r="C208"/>
      <c r="D208"/>
      <c r="E208"/>
      <c r="F208"/>
    </row>
    <row r="209" spans="1:6" x14ac:dyDescent="0.25">
      <c r="A209"/>
      <c r="B209"/>
      <c r="C209"/>
      <c r="D209"/>
      <c r="E209"/>
      <c r="F209"/>
    </row>
    <row r="210" spans="1:6" x14ac:dyDescent="0.25">
      <c r="A210"/>
      <c r="B210"/>
      <c r="C210"/>
      <c r="D210"/>
      <c r="E210"/>
      <c r="F210"/>
    </row>
    <row r="211" spans="1:6" x14ac:dyDescent="0.25">
      <c r="A211"/>
      <c r="B211"/>
      <c r="C211"/>
      <c r="D211"/>
      <c r="E211"/>
      <c r="F211"/>
    </row>
    <row r="212" spans="1:6" x14ac:dyDescent="0.25">
      <c r="A212"/>
      <c r="B212"/>
      <c r="C212"/>
      <c r="D212"/>
      <c r="E212"/>
      <c r="F212"/>
    </row>
    <row r="213" spans="1:6" x14ac:dyDescent="0.25">
      <c r="A213"/>
      <c r="B213"/>
      <c r="C213"/>
      <c r="D213"/>
      <c r="E213"/>
      <c r="F213"/>
    </row>
    <row r="214" spans="1:6" x14ac:dyDescent="0.25">
      <c r="A214"/>
      <c r="B214"/>
      <c r="C214"/>
      <c r="D214"/>
      <c r="E214"/>
      <c r="F214"/>
    </row>
    <row r="215" spans="1:6" x14ac:dyDescent="0.25">
      <c r="A215"/>
      <c r="B215"/>
      <c r="C215"/>
      <c r="D215"/>
      <c r="E215"/>
      <c r="F215"/>
    </row>
    <row r="216" spans="1:6" x14ac:dyDescent="0.25">
      <c r="A216"/>
      <c r="B216"/>
      <c r="C216"/>
      <c r="D216"/>
      <c r="E216"/>
      <c r="F216"/>
    </row>
    <row r="217" spans="1:6" x14ac:dyDescent="0.25">
      <c r="A217"/>
      <c r="B217"/>
      <c r="C217"/>
      <c r="D217"/>
      <c r="E217"/>
      <c r="F217"/>
    </row>
    <row r="218" spans="1:6" x14ac:dyDescent="0.25">
      <c r="A218"/>
      <c r="B218"/>
      <c r="C218"/>
      <c r="D218"/>
      <c r="E218"/>
      <c r="F218"/>
    </row>
    <row r="219" spans="1:6" x14ac:dyDescent="0.25">
      <c r="A219"/>
      <c r="B219"/>
      <c r="C219"/>
      <c r="D219"/>
      <c r="E219"/>
      <c r="F219"/>
    </row>
    <row r="220" spans="1:6" x14ac:dyDescent="0.25">
      <c r="A220"/>
      <c r="B220"/>
      <c r="C220"/>
      <c r="D220"/>
      <c r="E220"/>
      <c r="F220"/>
    </row>
    <row r="221" spans="1:6" x14ac:dyDescent="0.25">
      <c r="A221"/>
      <c r="B221"/>
      <c r="C221"/>
      <c r="D221"/>
      <c r="E221"/>
      <c r="F221"/>
    </row>
    <row r="222" spans="1:6" x14ac:dyDescent="0.25">
      <c r="A222"/>
      <c r="B222"/>
      <c r="C222"/>
      <c r="D222"/>
      <c r="E222"/>
      <c r="F222"/>
    </row>
    <row r="223" spans="1:6" x14ac:dyDescent="0.25">
      <c r="A223"/>
      <c r="B223"/>
      <c r="C223"/>
      <c r="D223"/>
      <c r="E223"/>
      <c r="F223"/>
    </row>
    <row r="224" spans="1:6" x14ac:dyDescent="0.25">
      <c r="A224"/>
      <c r="B224"/>
      <c r="C224"/>
      <c r="D224"/>
      <c r="E224"/>
      <c r="F224"/>
    </row>
    <row r="225" spans="1:6" x14ac:dyDescent="0.25">
      <c r="A225"/>
      <c r="B225"/>
      <c r="C225"/>
      <c r="D225"/>
      <c r="E225"/>
      <c r="F225"/>
    </row>
    <row r="226" spans="1:6" x14ac:dyDescent="0.25">
      <c r="A226"/>
      <c r="B226"/>
      <c r="C226"/>
      <c r="D226"/>
      <c r="E226"/>
      <c r="F226"/>
    </row>
    <row r="227" spans="1:6" x14ac:dyDescent="0.25">
      <c r="A227"/>
      <c r="B227"/>
      <c r="C227"/>
      <c r="D227"/>
      <c r="E227"/>
      <c r="F227"/>
    </row>
    <row r="228" spans="1:6" x14ac:dyDescent="0.25">
      <c r="A228"/>
      <c r="B228"/>
      <c r="C228"/>
      <c r="D228"/>
      <c r="E228"/>
      <c r="F228"/>
    </row>
    <row r="229" spans="1:6" x14ac:dyDescent="0.25">
      <c r="A229"/>
      <c r="B229"/>
      <c r="C229"/>
      <c r="D229"/>
      <c r="E229"/>
      <c r="F229"/>
    </row>
    <row r="230" spans="1:6" x14ac:dyDescent="0.25">
      <c r="A230"/>
      <c r="B230"/>
      <c r="C230"/>
      <c r="D230"/>
      <c r="E230"/>
      <c r="F230"/>
    </row>
    <row r="231" spans="1:6" x14ac:dyDescent="0.25">
      <c r="A231"/>
      <c r="B231"/>
      <c r="C231"/>
      <c r="D231"/>
      <c r="E231"/>
      <c r="F231"/>
    </row>
    <row r="232" spans="1:6" x14ac:dyDescent="0.25">
      <c r="A232"/>
      <c r="B232"/>
      <c r="C232"/>
      <c r="D232"/>
      <c r="E232"/>
      <c r="F232"/>
    </row>
    <row r="233" spans="1:6" x14ac:dyDescent="0.25">
      <c r="A233"/>
      <c r="B233"/>
      <c r="C233"/>
      <c r="D233"/>
      <c r="E233"/>
      <c r="F233"/>
    </row>
    <row r="234" spans="1:6" x14ac:dyDescent="0.25">
      <c r="A234"/>
      <c r="B234"/>
      <c r="C234"/>
      <c r="D234"/>
      <c r="E234"/>
      <c r="F234"/>
    </row>
    <row r="235" spans="1:6" x14ac:dyDescent="0.25">
      <c r="A235"/>
      <c r="B235"/>
      <c r="C235"/>
      <c r="D235"/>
      <c r="E235"/>
      <c r="F235"/>
    </row>
    <row r="236" spans="1:6" x14ac:dyDescent="0.25">
      <c r="A236"/>
      <c r="B236"/>
      <c r="C236"/>
      <c r="D236"/>
      <c r="E236"/>
      <c r="F236"/>
    </row>
    <row r="237" spans="1:6" x14ac:dyDescent="0.25">
      <c r="A237"/>
      <c r="B237"/>
      <c r="C237"/>
      <c r="D237"/>
      <c r="E237"/>
      <c r="F237"/>
    </row>
    <row r="238" spans="1:6" x14ac:dyDescent="0.25">
      <c r="A238"/>
      <c r="B238"/>
      <c r="C238"/>
      <c r="D238"/>
      <c r="E238"/>
      <c r="F238"/>
    </row>
    <row r="239" spans="1:6" x14ac:dyDescent="0.25">
      <c r="A239"/>
      <c r="B239"/>
      <c r="C239"/>
      <c r="D239"/>
      <c r="E239"/>
      <c r="F239"/>
    </row>
    <row r="240" spans="1:6" x14ac:dyDescent="0.25">
      <c r="A240"/>
      <c r="B240"/>
      <c r="C240"/>
      <c r="D240"/>
      <c r="E240"/>
      <c r="F240"/>
    </row>
    <row r="241" spans="1:6" x14ac:dyDescent="0.25">
      <c r="A241"/>
      <c r="B241"/>
      <c r="C241"/>
      <c r="D241"/>
      <c r="E241"/>
      <c r="F241"/>
    </row>
    <row r="242" spans="1:6" x14ac:dyDescent="0.25">
      <c r="A242"/>
      <c r="B242"/>
      <c r="C242"/>
      <c r="D242"/>
      <c r="E242"/>
      <c r="F242"/>
    </row>
    <row r="243" spans="1:6" x14ac:dyDescent="0.25">
      <c r="A243"/>
      <c r="B243"/>
      <c r="C243"/>
      <c r="D243"/>
      <c r="E243"/>
      <c r="F243"/>
    </row>
    <row r="244" spans="1:6" x14ac:dyDescent="0.25">
      <c r="A244"/>
      <c r="B244"/>
      <c r="C244"/>
      <c r="D244"/>
      <c r="E244"/>
      <c r="F244"/>
    </row>
    <row r="245" spans="1:6" x14ac:dyDescent="0.25">
      <c r="A245"/>
      <c r="B245"/>
      <c r="C245"/>
      <c r="D245"/>
      <c r="E245"/>
      <c r="F245"/>
    </row>
    <row r="246" spans="1:6" x14ac:dyDescent="0.25">
      <c r="A246"/>
      <c r="B246"/>
      <c r="C246"/>
      <c r="D246"/>
      <c r="E246"/>
      <c r="F246"/>
    </row>
    <row r="247" spans="1:6" x14ac:dyDescent="0.25">
      <c r="A247"/>
      <c r="B247"/>
      <c r="C247"/>
      <c r="D247"/>
      <c r="E247"/>
      <c r="F247"/>
    </row>
    <row r="248" spans="1:6" x14ac:dyDescent="0.25">
      <c r="A248"/>
      <c r="B248"/>
      <c r="C248"/>
      <c r="D248"/>
      <c r="E248"/>
      <c r="F248"/>
    </row>
    <row r="249" spans="1:6" x14ac:dyDescent="0.25">
      <c r="A249"/>
      <c r="B249"/>
      <c r="C249"/>
      <c r="D249"/>
      <c r="E249"/>
      <c r="F249"/>
    </row>
    <row r="250" spans="1:6" x14ac:dyDescent="0.25">
      <c r="A250"/>
      <c r="B250"/>
      <c r="C250"/>
      <c r="D250"/>
      <c r="E250"/>
      <c r="F250"/>
    </row>
    <row r="251" spans="1:6" x14ac:dyDescent="0.25">
      <c r="A251"/>
      <c r="B251"/>
      <c r="C251"/>
      <c r="D251"/>
      <c r="E251"/>
      <c r="F251"/>
    </row>
    <row r="252" spans="1:6" x14ac:dyDescent="0.25">
      <c r="A252"/>
      <c r="B252"/>
      <c r="C252"/>
      <c r="D252"/>
      <c r="E252"/>
      <c r="F252"/>
    </row>
    <row r="253" spans="1:6" x14ac:dyDescent="0.25">
      <c r="A253"/>
      <c r="B253"/>
      <c r="C253"/>
      <c r="D253"/>
      <c r="E253"/>
      <c r="F253"/>
    </row>
    <row r="254" spans="1:6" x14ac:dyDescent="0.25">
      <c r="A254"/>
      <c r="B254"/>
      <c r="C254"/>
      <c r="D254"/>
      <c r="E254"/>
      <c r="F254"/>
    </row>
    <row r="255" spans="1:6" x14ac:dyDescent="0.25">
      <c r="A255"/>
      <c r="B255"/>
      <c r="C255"/>
      <c r="D255"/>
      <c r="E255"/>
      <c r="F255"/>
    </row>
    <row r="256" spans="1:6" x14ac:dyDescent="0.25">
      <c r="A256"/>
      <c r="B256"/>
      <c r="C256"/>
      <c r="D256"/>
      <c r="E256"/>
      <c r="F256"/>
    </row>
    <row r="257" spans="1:6" x14ac:dyDescent="0.25">
      <c r="A257"/>
      <c r="B257"/>
      <c r="C257"/>
      <c r="D257"/>
      <c r="E257"/>
      <c r="F257"/>
    </row>
    <row r="258" spans="1:6" x14ac:dyDescent="0.25">
      <c r="A258"/>
      <c r="B258"/>
      <c r="C258"/>
      <c r="D258"/>
      <c r="E258"/>
      <c r="F258"/>
    </row>
    <row r="259" spans="1:6" x14ac:dyDescent="0.25">
      <c r="A259"/>
      <c r="B259"/>
      <c r="C259"/>
      <c r="D259"/>
      <c r="E259"/>
      <c r="F259"/>
    </row>
    <row r="260" spans="1:6" x14ac:dyDescent="0.25">
      <c r="A260"/>
      <c r="B260"/>
      <c r="C260"/>
      <c r="D260"/>
      <c r="E260"/>
      <c r="F260"/>
    </row>
    <row r="261" spans="1:6" x14ac:dyDescent="0.25">
      <c r="A261"/>
      <c r="B261"/>
      <c r="C261"/>
      <c r="D261"/>
      <c r="E261"/>
      <c r="F261"/>
    </row>
    <row r="262" spans="1:6" x14ac:dyDescent="0.25">
      <c r="A262"/>
      <c r="B262"/>
      <c r="C262"/>
      <c r="D262"/>
      <c r="E262"/>
      <c r="F262"/>
    </row>
    <row r="263" spans="1:6" x14ac:dyDescent="0.25">
      <c r="A263"/>
      <c r="B263"/>
      <c r="C263"/>
      <c r="D263"/>
      <c r="E263"/>
      <c r="F263"/>
    </row>
    <row r="264" spans="1:6" x14ac:dyDescent="0.25">
      <c r="A264"/>
      <c r="B264"/>
      <c r="C264"/>
      <c r="D264"/>
      <c r="E264"/>
      <c r="F264"/>
    </row>
    <row r="265" spans="1:6" x14ac:dyDescent="0.25">
      <c r="A265"/>
      <c r="B265"/>
      <c r="C265"/>
      <c r="D265"/>
      <c r="E265"/>
      <c r="F265"/>
    </row>
    <row r="266" spans="1:6" x14ac:dyDescent="0.25">
      <c r="A266"/>
      <c r="B266"/>
      <c r="C266"/>
      <c r="D266"/>
      <c r="E266"/>
      <c r="F266"/>
    </row>
    <row r="267" spans="1:6" x14ac:dyDescent="0.25">
      <c r="A267"/>
      <c r="B267"/>
      <c r="C267"/>
      <c r="D267"/>
      <c r="E267"/>
      <c r="F267"/>
    </row>
    <row r="268" spans="1:6" x14ac:dyDescent="0.25">
      <c r="A268"/>
      <c r="B268"/>
      <c r="C268"/>
      <c r="D268"/>
      <c r="E268"/>
      <c r="F268"/>
    </row>
    <row r="269" spans="1:6" x14ac:dyDescent="0.25">
      <c r="A269"/>
      <c r="B269"/>
      <c r="C269"/>
      <c r="D269"/>
      <c r="E269"/>
      <c r="F269"/>
    </row>
    <row r="270" spans="1:6" x14ac:dyDescent="0.25">
      <c r="A270"/>
      <c r="B270"/>
      <c r="C270"/>
      <c r="D270"/>
      <c r="E270"/>
      <c r="F270"/>
    </row>
    <row r="271" spans="1:6" x14ac:dyDescent="0.25">
      <c r="A271"/>
      <c r="B271"/>
      <c r="C271"/>
      <c r="D271"/>
      <c r="E271"/>
      <c r="F271"/>
    </row>
    <row r="272" spans="1:6" x14ac:dyDescent="0.25">
      <c r="A272"/>
      <c r="B272"/>
      <c r="C272"/>
      <c r="D272"/>
      <c r="E272"/>
      <c r="F272"/>
    </row>
    <row r="273" spans="1:6" x14ac:dyDescent="0.25">
      <c r="A273"/>
      <c r="B273"/>
      <c r="C273"/>
      <c r="D273"/>
      <c r="E273"/>
      <c r="F273"/>
    </row>
    <row r="274" spans="1:6" x14ac:dyDescent="0.25">
      <c r="A274"/>
      <c r="B274"/>
      <c r="C274"/>
      <c r="D274"/>
      <c r="E274"/>
      <c r="F274"/>
    </row>
    <row r="275" spans="1:6" x14ac:dyDescent="0.25">
      <c r="A275"/>
      <c r="B275"/>
      <c r="C275"/>
      <c r="D275"/>
      <c r="E275"/>
      <c r="F275"/>
    </row>
    <row r="276" spans="1:6" x14ac:dyDescent="0.25">
      <c r="A276"/>
      <c r="B276"/>
      <c r="C276"/>
      <c r="D276"/>
      <c r="E276"/>
      <c r="F276"/>
    </row>
    <row r="277" spans="1:6" x14ac:dyDescent="0.25">
      <c r="A277"/>
      <c r="B277"/>
      <c r="C277"/>
      <c r="D277"/>
      <c r="E277"/>
      <c r="F277"/>
    </row>
    <row r="278" spans="1:6" x14ac:dyDescent="0.25">
      <c r="A278"/>
      <c r="B278"/>
      <c r="C278"/>
      <c r="D278"/>
      <c r="E278"/>
      <c r="F278"/>
    </row>
    <row r="279" spans="1:6" x14ac:dyDescent="0.25">
      <c r="A279"/>
      <c r="B279"/>
      <c r="C279"/>
      <c r="D279"/>
      <c r="E279"/>
      <c r="F279"/>
    </row>
    <row r="280" spans="1:6" x14ac:dyDescent="0.25">
      <c r="A280"/>
      <c r="B280"/>
      <c r="C280"/>
      <c r="D280"/>
      <c r="E280"/>
      <c r="F280"/>
    </row>
    <row r="281" spans="1:6" x14ac:dyDescent="0.25">
      <c r="A281"/>
      <c r="B281"/>
      <c r="C281"/>
      <c r="D281"/>
      <c r="E281"/>
      <c r="F281"/>
    </row>
    <row r="282" spans="1:6" x14ac:dyDescent="0.25">
      <c r="A282"/>
      <c r="B282"/>
      <c r="C282"/>
      <c r="D282"/>
      <c r="E282"/>
      <c r="F282"/>
    </row>
    <row r="283" spans="1:6" x14ac:dyDescent="0.25">
      <c r="A283"/>
      <c r="B283"/>
      <c r="C283"/>
      <c r="D283"/>
      <c r="E283"/>
      <c r="F283"/>
    </row>
    <row r="284" spans="1:6" x14ac:dyDescent="0.25">
      <c r="A284"/>
      <c r="B284"/>
      <c r="C284"/>
      <c r="D284"/>
      <c r="E284"/>
      <c r="F284"/>
    </row>
    <row r="285" spans="1:6" x14ac:dyDescent="0.25">
      <c r="A285"/>
      <c r="B285"/>
      <c r="C285"/>
      <c r="D285"/>
      <c r="E285"/>
      <c r="F285"/>
    </row>
    <row r="286" spans="1:6" x14ac:dyDescent="0.25">
      <c r="A286"/>
      <c r="B286"/>
      <c r="C286"/>
      <c r="D286"/>
      <c r="E286"/>
      <c r="F286"/>
    </row>
    <row r="287" spans="1:6" x14ac:dyDescent="0.25">
      <c r="A287"/>
      <c r="B287"/>
      <c r="C287"/>
      <c r="D287"/>
      <c r="E287"/>
      <c r="F287"/>
    </row>
    <row r="288" spans="1:6" x14ac:dyDescent="0.25">
      <c r="A288"/>
      <c r="B288"/>
      <c r="C288"/>
      <c r="D288"/>
      <c r="E288"/>
      <c r="F288"/>
    </row>
    <row r="289" spans="1:6" x14ac:dyDescent="0.25">
      <c r="A289"/>
      <c r="B289"/>
      <c r="C289"/>
      <c r="D289"/>
      <c r="E289"/>
      <c r="F289"/>
    </row>
    <row r="290" spans="1:6" x14ac:dyDescent="0.25">
      <c r="A290"/>
      <c r="B290"/>
      <c r="C290"/>
      <c r="D290"/>
      <c r="E290"/>
      <c r="F290"/>
    </row>
    <row r="291" spans="1:6" x14ac:dyDescent="0.25">
      <c r="A291"/>
      <c r="B291"/>
      <c r="C291"/>
      <c r="D291"/>
      <c r="E291"/>
      <c r="F291"/>
    </row>
    <row r="292" spans="1:6" x14ac:dyDescent="0.25">
      <c r="A292"/>
      <c r="B292"/>
      <c r="C292"/>
      <c r="D292"/>
      <c r="E292"/>
      <c r="F292"/>
    </row>
    <row r="293" spans="1:6" x14ac:dyDescent="0.25">
      <c r="A293"/>
      <c r="B293"/>
      <c r="C293"/>
      <c r="D293"/>
      <c r="E293"/>
      <c r="F293"/>
    </row>
    <row r="294" spans="1:6" x14ac:dyDescent="0.25">
      <c r="A294"/>
      <c r="B294"/>
      <c r="C294"/>
      <c r="D294"/>
      <c r="E294"/>
      <c r="F294"/>
    </row>
    <row r="295" spans="1:6" x14ac:dyDescent="0.25">
      <c r="A295"/>
      <c r="B295"/>
      <c r="C295"/>
      <c r="D295"/>
      <c r="E295"/>
      <c r="F295"/>
    </row>
    <row r="296" spans="1:6" x14ac:dyDescent="0.25">
      <c r="A296"/>
      <c r="B296"/>
      <c r="C296"/>
      <c r="D296"/>
      <c r="E296"/>
      <c r="F296"/>
    </row>
    <row r="297" spans="1:6" x14ac:dyDescent="0.25">
      <c r="A297"/>
      <c r="B297"/>
      <c r="C297"/>
      <c r="D297"/>
      <c r="E297"/>
      <c r="F297"/>
    </row>
    <row r="298" spans="1:6" x14ac:dyDescent="0.25">
      <c r="A298"/>
      <c r="B298"/>
      <c r="C298"/>
      <c r="D298"/>
      <c r="E298"/>
      <c r="F298"/>
    </row>
    <row r="299" spans="1:6" x14ac:dyDescent="0.25">
      <c r="A299"/>
      <c r="B299"/>
      <c r="C299"/>
      <c r="D299"/>
      <c r="E299"/>
      <c r="F299"/>
    </row>
    <row r="300" spans="1:6" x14ac:dyDescent="0.25">
      <c r="A300"/>
      <c r="B300"/>
      <c r="C300"/>
      <c r="D300"/>
      <c r="E300"/>
      <c r="F300"/>
    </row>
  </sheetData>
  <phoneticPr fontId="18" type="noConversion"/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1EFD-8EE1-42A4-9CE7-335ECD588B11}">
  <sheetPr>
    <tabColor rgb="FFFFFF00"/>
  </sheetPr>
  <dimension ref="A1:O58"/>
  <sheetViews>
    <sheetView zoomScale="97" zoomScaleNormal="97" workbookViewId="0">
      <selection activeCell="I33" sqref="I33"/>
    </sheetView>
  </sheetViews>
  <sheetFormatPr defaultColWidth="9.140625" defaultRowHeight="15.75" x14ac:dyDescent="0.25"/>
  <cols>
    <col min="1" max="1" width="9.42578125" style="141" bestFit="1" customWidth="1"/>
    <col min="2" max="2" width="7" style="141" bestFit="1" customWidth="1"/>
    <col min="3" max="3" width="20" style="141" bestFit="1" customWidth="1"/>
    <col min="4" max="4" width="22.28515625" style="141" customWidth="1"/>
    <col min="5" max="5" width="22.5703125" style="142" bestFit="1" customWidth="1"/>
    <col min="6" max="6" width="19.85546875" style="142" customWidth="1"/>
    <col min="7" max="7" width="13" style="142" bestFit="1" customWidth="1"/>
    <col min="8" max="8" width="14.7109375" style="142" bestFit="1" customWidth="1"/>
    <col min="9" max="9" width="14.140625" style="142" bestFit="1" customWidth="1"/>
    <col min="10" max="10" width="8.28515625" style="142" bestFit="1" customWidth="1"/>
    <col min="11" max="11" width="12.42578125" style="142" customWidth="1"/>
    <col min="12" max="12" width="11.42578125" style="142" customWidth="1"/>
    <col min="13" max="13" width="33" style="141" customWidth="1"/>
    <col min="14" max="14" width="16.85546875" style="141" customWidth="1"/>
    <col min="15" max="16384" width="9.140625" style="141"/>
  </cols>
  <sheetData>
    <row r="1" spans="1:15" ht="16.5" x14ac:dyDescent="0.3">
      <c r="A1" s="142" t="s">
        <v>146</v>
      </c>
      <c r="B1" s="167" t="s">
        <v>0</v>
      </c>
      <c r="D1" s="154" t="s">
        <v>27</v>
      </c>
      <c r="E1" s="154"/>
      <c r="F1" s="154"/>
      <c r="G1" s="154"/>
      <c r="H1" s="154"/>
      <c r="I1" s="154"/>
      <c r="J1" s="154"/>
      <c r="K1" s="154"/>
      <c r="L1" s="154"/>
    </row>
    <row r="2" spans="1:15" ht="17.25" thickBot="1" x14ac:dyDescent="0.35">
      <c r="A2" s="147">
        <v>1</v>
      </c>
      <c r="B2" s="148">
        <v>21</v>
      </c>
      <c r="D2" s="154"/>
      <c r="E2" s="154"/>
      <c r="G2" s="154"/>
      <c r="H2" s="154"/>
      <c r="I2" s="154"/>
      <c r="J2" s="154"/>
      <c r="K2" s="154"/>
      <c r="L2" s="154"/>
    </row>
    <row r="3" spans="1:15" ht="16.5" x14ac:dyDescent="0.3">
      <c r="A3" s="147">
        <v>2</v>
      </c>
      <c r="B3" s="148">
        <v>28</v>
      </c>
      <c r="D3" s="166" t="s">
        <v>28</v>
      </c>
      <c r="E3" s="166"/>
      <c r="F3" s="154"/>
      <c r="G3" s="154"/>
      <c r="H3" s="154"/>
      <c r="I3" s="154"/>
      <c r="J3" s="154"/>
      <c r="K3" s="154"/>
      <c r="L3" s="154"/>
    </row>
    <row r="4" spans="1:15" ht="16.5" x14ac:dyDescent="0.3">
      <c r="A4" s="147">
        <v>3</v>
      </c>
      <c r="B4" s="148">
        <v>32</v>
      </c>
      <c r="C4" s="165"/>
      <c r="D4" s="160" t="s">
        <v>30</v>
      </c>
      <c r="E4" s="159">
        <f>SQRT(E5)*SIGN(E18)</f>
        <v>0.94683332571518386</v>
      </c>
      <c r="F4" s="152" t="str">
        <f ca="1">_xlfn.FORMULATEXT(E4)</f>
        <v>=SQRT(E5)*SIGN(E18)</v>
      </c>
      <c r="G4" s="154"/>
      <c r="H4" s="154"/>
      <c r="I4" s="152" t="s">
        <v>201</v>
      </c>
      <c r="J4" s="154"/>
      <c r="K4" s="154"/>
      <c r="M4" s="152" t="s">
        <v>172</v>
      </c>
      <c r="N4" s="152"/>
    </row>
    <row r="5" spans="1:15" ht="16.5" x14ac:dyDescent="0.3">
      <c r="A5" s="147">
        <v>4</v>
      </c>
      <c r="B5" s="148">
        <v>34</v>
      </c>
      <c r="C5" s="146"/>
      <c r="D5" s="160" t="s">
        <v>32</v>
      </c>
      <c r="E5" s="159">
        <f>RSQ(B2:B29,A2:A29)</f>
        <v>0.89649334668487546</v>
      </c>
      <c r="F5" s="152" t="str">
        <f ca="1">_xlfn.FORMULATEXT(E5)</f>
        <v>=RSQ(B2:B29,A2:A29)</v>
      </c>
      <c r="G5" s="154"/>
      <c r="H5" s="154"/>
      <c r="I5" s="154"/>
      <c r="J5" s="154"/>
      <c r="K5" s="154"/>
      <c r="M5" s="152" t="s">
        <v>171</v>
      </c>
      <c r="N5" s="152"/>
    </row>
    <row r="6" spans="1:15" ht="16.5" x14ac:dyDescent="0.3">
      <c r="A6" s="147">
        <v>5</v>
      </c>
      <c r="B6" s="148">
        <v>36</v>
      </c>
      <c r="C6" s="146"/>
      <c r="D6" s="154" t="s">
        <v>33</v>
      </c>
      <c r="E6" s="164">
        <v>0.89251232155737081</v>
      </c>
      <c r="I6" s="154"/>
      <c r="J6" s="154"/>
      <c r="K6" s="154"/>
      <c r="M6" s="152" t="s">
        <v>170</v>
      </c>
      <c r="N6" s="152"/>
    </row>
    <row r="7" spans="1:15" ht="16.5" x14ac:dyDescent="0.3">
      <c r="A7" s="147">
        <v>6</v>
      </c>
      <c r="B7" s="148">
        <v>37</v>
      </c>
      <c r="C7" s="146"/>
      <c r="D7" s="160" t="s">
        <v>34</v>
      </c>
      <c r="E7" s="159">
        <f>STEYX(B2:B29,A2:A29)</f>
        <v>5.1042663124113554</v>
      </c>
      <c r="F7" s="152" t="s">
        <v>169</v>
      </c>
      <c r="G7" s="154"/>
      <c r="H7" s="154"/>
      <c r="I7" s="154"/>
      <c r="J7" s="154"/>
      <c r="K7" s="154"/>
      <c r="L7" s="154"/>
      <c r="M7" s="141" t="s">
        <v>168</v>
      </c>
      <c r="N7" s="152"/>
    </row>
    <row r="8" spans="1:15" ht="17.25" thickBot="1" x14ac:dyDescent="0.35">
      <c r="A8" s="147">
        <v>7</v>
      </c>
      <c r="B8" s="148">
        <v>39</v>
      </c>
      <c r="C8" s="146"/>
      <c r="D8" s="158" t="s">
        <v>35</v>
      </c>
      <c r="E8" s="159">
        <f>COUNT(B2:B29)</f>
        <v>28</v>
      </c>
      <c r="F8" s="152" t="s">
        <v>167</v>
      </c>
      <c r="G8" s="154"/>
      <c r="H8" s="154"/>
      <c r="I8" s="154"/>
      <c r="J8" s="154"/>
      <c r="K8" s="154"/>
      <c r="L8" s="154"/>
      <c r="M8" s="141" t="s">
        <v>166</v>
      </c>
      <c r="N8" s="152"/>
    </row>
    <row r="9" spans="1:15" ht="16.5" x14ac:dyDescent="0.3">
      <c r="A9" s="147">
        <v>8</v>
      </c>
      <c r="B9" s="148">
        <v>40</v>
      </c>
      <c r="C9" s="146"/>
      <c r="D9" s="154"/>
      <c r="E9" s="154"/>
      <c r="F9" s="152" t="s">
        <v>165</v>
      </c>
      <c r="G9" s="154"/>
      <c r="H9" s="154"/>
      <c r="I9" s="154"/>
      <c r="J9" s="154"/>
      <c r="K9" s="154"/>
      <c r="L9" s="154"/>
      <c r="M9" s="141" t="s">
        <v>164</v>
      </c>
    </row>
    <row r="10" spans="1:15" ht="17.25" thickBot="1" x14ac:dyDescent="0.35">
      <c r="A10" s="147">
        <v>9</v>
      </c>
      <c r="B10" s="148">
        <v>40</v>
      </c>
      <c r="C10" s="146"/>
      <c r="D10" s="154" t="s">
        <v>36</v>
      </c>
      <c r="E10" s="154"/>
      <c r="F10" s="152" t="s">
        <v>163</v>
      </c>
      <c r="G10" s="154"/>
      <c r="H10" s="154"/>
      <c r="I10" s="154"/>
      <c r="J10" s="154"/>
      <c r="K10" s="154"/>
      <c r="L10" s="154"/>
      <c r="M10" s="141" t="s">
        <v>162</v>
      </c>
      <c r="N10" s="152"/>
    </row>
    <row r="11" spans="1:15" ht="16.5" x14ac:dyDescent="0.3">
      <c r="A11" s="147">
        <v>10</v>
      </c>
      <c r="B11" s="148">
        <v>40</v>
      </c>
      <c r="C11" s="146"/>
      <c r="D11" s="161"/>
      <c r="E11" s="161" t="s">
        <v>37</v>
      </c>
      <c r="F11" s="161" t="s">
        <v>38</v>
      </c>
      <c r="G11" s="161" t="s">
        <v>39</v>
      </c>
      <c r="H11" s="161" t="s">
        <v>40</v>
      </c>
      <c r="I11" s="161" t="s">
        <v>41</v>
      </c>
      <c r="J11" s="154"/>
      <c r="K11" s="154"/>
      <c r="L11" s="154"/>
      <c r="M11" s="152" t="s">
        <v>161</v>
      </c>
    </row>
    <row r="12" spans="1:15" ht="16.5" x14ac:dyDescent="0.3">
      <c r="A12" s="147">
        <v>11</v>
      </c>
      <c r="B12" s="148">
        <v>41</v>
      </c>
      <c r="C12" s="146"/>
      <c r="D12" s="141" t="s">
        <v>42</v>
      </c>
      <c r="E12" s="141">
        <v>1</v>
      </c>
      <c r="F12" s="141">
        <v>5867.0366721401197</v>
      </c>
      <c r="G12" s="141">
        <v>5867.0366721401197</v>
      </c>
      <c r="H12" s="141">
        <v>225.19158206036687</v>
      </c>
      <c r="I12" s="141">
        <v>2.5516337069302656E-14</v>
      </c>
      <c r="J12" s="154"/>
      <c r="K12" s="154"/>
      <c r="L12" s="154"/>
      <c r="M12" s="152" t="s">
        <v>160</v>
      </c>
    </row>
    <row r="13" spans="1:15" ht="16.5" x14ac:dyDescent="0.3">
      <c r="A13" s="147">
        <v>12</v>
      </c>
      <c r="B13" s="148">
        <v>43</v>
      </c>
      <c r="C13" s="146"/>
      <c r="D13" s="141" t="s">
        <v>43</v>
      </c>
      <c r="E13" s="141">
        <v>26</v>
      </c>
      <c r="F13" s="141">
        <v>677.39189928845155</v>
      </c>
      <c r="G13" s="141">
        <v>26.053534588017367</v>
      </c>
      <c r="H13" s="141"/>
      <c r="I13" s="141"/>
      <c r="J13" s="154"/>
      <c r="K13" s="154"/>
      <c r="L13" s="154"/>
      <c r="M13" s="152" t="s">
        <v>159</v>
      </c>
    </row>
    <row r="14" spans="1:15" ht="17.25" thickBot="1" x14ac:dyDescent="0.35">
      <c r="A14" s="147">
        <v>13</v>
      </c>
      <c r="B14" s="148">
        <v>44</v>
      </c>
      <c r="C14" s="146"/>
      <c r="D14" s="155" t="s">
        <v>44</v>
      </c>
      <c r="E14" s="155">
        <v>27</v>
      </c>
      <c r="F14" s="155">
        <v>6544.4285714285716</v>
      </c>
      <c r="G14" s="155"/>
      <c r="H14" s="155"/>
      <c r="I14" s="155"/>
      <c r="J14" s="154"/>
      <c r="K14" s="154"/>
      <c r="L14" s="154"/>
      <c r="M14" s="152" t="str">
        <f>"F29="&amp;ROUND(E17,3)&amp;"+"&amp;ROUND(E18,3)&amp;"*29="</f>
        <v>F29=22.659+1.792*29=</v>
      </c>
      <c r="N14" s="163">
        <f>E17+E18*29</f>
        <v>74.626984126984127</v>
      </c>
      <c r="O14" s="141" t="str">
        <f ca="1">_xlfn.FORMULATEXT(N14)</f>
        <v>=E17+E18*29</v>
      </c>
    </row>
    <row r="15" spans="1:15" ht="17.25" thickBot="1" x14ac:dyDescent="0.35">
      <c r="A15" s="147">
        <v>14</v>
      </c>
      <c r="B15" s="148">
        <v>44</v>
      </c>
      <c r="C15" s="146"/>
      <c r="D15" s="154"/>
      <c r="E15" s="154"/>
      <c r="F15" s="154"/>
      <c r="G15" s="154"/>
      <c r="H15" s="154"/>
      <c r="I15" s="154"/>
      <c r="J15" s="154"/>
      <c r="K15" s="154"/>
      <c r="L15" s="154"/>
      <c r="M15" s="152" t="s">
        <v>158</v>
      </c>
    </row>
    <row r="16" spans="1:15" ht="16.5" x14ac:dyDescent="0.3">
      <c r="A16" s="147">
        <v>15</v>
      </c>
      <c r="B16" s="148">
        <v>45</v>
      </c>
      <c r="C16" s="146"/>
      <c r="D16" s="162"/>
      <c r="E16" s="162" t="s">
        <v>157</v>
      </c>
      <c r="F16" s="161" t="s">
        <v>34</v>
      </c>
      <c r="G16" s="161" t="s">
        <v>46</v>
      </c>
      <c r="H16" s="161" t="s">
        <v>47</v>
      </c>
      <c r="I16" s="161" t="s">
        <v>48</v>
      </c>
      <c r="J16" s="161" t="s">
        <v>49</v>
      </c>
      <c r="K16" s="154"/>
      <c r="L16" s="154"/>
      <c r="M16" s="152" t="s">
        <v>156</v>
      </c>
    </row>
    <row r="17" spans="1:14" ht="16.5" x14ac:dyDescent="0.3">
      <c r="A17" s="147">
        <v>16</v>
      </c>
      <c r="B17" s="148">
        <v>46</v>
      </c>
      <c r="C17" s="146"/>
      <c r="D17" s="160" t="s">
        <v>51</v>
      </c>
      <c r="E17" s="159">
        <f>INTERCEPT(B2:B29,A2:A29)</f>
        <v>22.658730158730165</v>
      </c>
      <c r="F17" s="141">
        <v>1.9820967677199302</v>
      </c>
      <c r="G17" s="141">
        <v>11.431697244930795</v>
      </c>
      <c r="H17" s="141">
        <v>1.2189520178894721E-11</v>
      </c>
      <c r="I17" s="141">
        <v>18.58447190244296</v>
      </c>
      <c r="J17" s="141">
        <v>26.732988415017363</v>
      </c>
      <c r="K17" s="154"/>
      <c r="L17" s="154"/>
    </row>
    <row r="18" spans="1:14" ht="17.25" thickBot="1" x14ac:dyDescent="0.35">
      <c r="A18" s="147">
        <v>17</v>
      </c>
      <c r="B18" s="148">
        <v>48</v>
      </c>
      <c r="C18" s="146"/>
      <c r="D18" s="158" t="s">
        <v>53</v>
      </c>
      <c r="E18" s="157">
        <f>SLOPE(B2:B29,A2:A29)</f>
        <v>1.7920087575259986</v>
      </c>
      <c r="F18" s="155">
        <v>0.11941642122158622</v>
      </c>
      <c r="G18" s="155">
        <v>15.00638470986156</v>
      </c>
      <c r="H18" s="156">
        <v>2.5516337069302656E-14</v>
      </c>
      <c r="I18" s="155">
        <v>1.5465447882476508</v>
      </c>
      <c r="J18" s="155">
        <v>2.0374727268043467</v>
      </c>
      <c r="K18" s="154"/>
      <c r="L18" s="154"/>
      <c r="M18" s="153"/>
    </row>
    <row r="19" spans="1:14" ht="16.5" x14ac:dyDescent="0.3">
      <c r="A19" s="147">
        <v>18</v>
      </c>
      <c r="B19" s="148">
        <v>50</v>
      </c>
      <c r="C19" s="146"/>
      <c r="D19" s="152" t="s">
        <v>155</v>
      </c>
      <c r="E19" s="141" t="str">
        <f>"y="&amp;ROUND(E17,2)&amp;IF(E18&gt;0,"+","-")&amp;ABS(ROUND(E18,2))&amp;"x"</f>
        <v>y=22.66+1.79x</v>
      </c>
      <c r="F19" s="141"/>
      <c r="G19" s="141"/>
      <c r="H19" s="152" t="s">
        <v>154</v>
      </c>
      <c r="I19" s="141"/>
      <c r="J19" s="141"/>
      <c r="K19" s="141"/>
      <c r="L19" s="141"/>
    </row>
    <row r="20" spans="1:14" ht="16.5" x14ac:dyDescent="0.3">
      <c r="A20" s="147">
        <v>19</v>
      </c>
      <c r="B20" s="148">
        <v>54</v>
      </c>
      <c r="C20" s="146"/>
      <c r="F20" s="141"/>
      <c r="G20" s="141"/>
      <c r="H20" s="152" t="s">
        <v>153</v>
      </c>
      <c r="I20" s="141"/>
      <c r="J20" s="141"/>
      <c r="K20" s="141"/>
      <c r="L20" s="141"/>
    </row>
    <row r="21" spans="1:14" ht="16.5" x14ac:dyDescent="0.3">
      <c r="A21" s="147">
        <v>20</v>
      </c>
      <c r="B21" s="148">
        <v>54</v>
      </c>
      <c r="C21" s="146"/>
      <c r="E21" s="141"/>
      <c r="F21" s="141"/>
      <c r="G21" s="141"/>
      <c r="H21" s="152" t="s">
        <v>152</v>
      </c>
      <c r="I21" s="141"/>
      <c r="J21" s="141"/>
      <c r="K21" s="141"/>
      <c r="L21" s="141"/>
    </row>
    <row r="22" spans="1:14" ht="16.5" x14ac:dyDescent="0.3">
      <c r="A22" s="147">
        <v>21</v>
      </c>
      <c r="B22" s="148">
        <v>55</v>
      </c>
      <c r="C22" s="146"/>
      <c r="D22" s="146"/>
      <c r="E22" s="149"/>
      <c r="F22" s="149"/>
      <c r="G22" s="149"/>
      <c r="H22" s="149"/>
      <c r="I22" s="149"/>
      <c r="J22" s="151"/>
      <c r="K22" s="150"/>
      <c r="L22" s="149"/>
    </row>
    <row r="23" spans="1:14" ht="16.5" x14ac:dyDescent="0.3">
      <c r="A23" s="147">
        <v>22</v>
      </c>
      <c r="B23" s="148">
        <v>58</v>
      </c>
      <c r="C23" s="146"/>
      <c r="D23" s="146"/>
      <c r="E23" s="149"/>
      <c r="F23" s="149"/>
      <c r="G23" s="149"/>
      <c r="H23" s="149"/>
      <c r="I23" s="149"/>
      <c r="J23" s="151"/>
      <c r="K23" s="150"/>
      <c r="L23" s="149"/>
      <c r="M23" s="26" t="s">
        <v>148</v>
      </c>
      <c r="N23" s="26" t="s">
        <v>151</v>
      </c>
    </row>
    <row r="24" spans="1:14" ht="16.5" x14ac:dyDescent="0.3">
      <c r="A24" s="147">
        <v>23</v>
      </c>
      <c r="B24" s="148">
        <v>60</v>
      </c>
      <c r="C24" s="146"/>
      <c r="D24" s="146"/>
      <c r="E24" s="149"/>
      <c r="F24" s="149"/>
      <c r="G24" s="149"/>
      <c r="H24" s="149"/>
      <c r="I24" s="149"/>
      <c r="J24" s="151"/>
      <c r="K24" s="150"/>
      <c r="L24" s="149"/>
      <c r="M24" s="26" t="s">
        <v>148</v>
      </c>
      <c r="N24" s="26" t="s">
        <v>150</v>
      </c>
    </row>
    <row r="25" spans="1:14" ht="16.5" x14ac:dyDescent="0.3">
      <c r="A25" s="147">
        <v>24</v>
      </c>
      <c r="B25" s="148">
        <v>63</v>
      </c>
      <c r="C25" s="146"/>
      <c r="D25" s="146"/>
      <c r="E25" s="149"/>
      <c r="F25" s="149"/>
      <c r="G25" s="149"/>
      <c r="H25" s="149"/>
      <c r="I25" s="149"/>
      <c r="J25" s="151"/>
      <c r="K25" s="150"/>
      <c r="L25" s="149"/>
      <c r="M25" s="26" t="s">
        <v>148</v>
      </c>
      <c r="N25" s="26" t="s">
        <v>149</v>
      </c>
    </row>
    <row r="26" spans="1:14" ht="16.5" x14ac:dyDescent="0.3">
      <c r="A26" s="147">
        <v>25</v>
      </c>
      <c r="B26" s="148">
        <v>70</v>
      </c>
      <c r="C26" s="146"/>
      <c r="D26" s="146"/>
      <c r="E26" s="149"/>
      <c r="F26" s="149"/>
      <c r="G26" s="149"/>
      <c r="H26" s="149"/>
      <c r="I26" s="149"/>
      <c r="J26" s="151"/>
      <c r="K26" s="150"/>
      <c r="L26" s="149"/>
      <c r="M26" s="26" t="s">
        <v>148</v>
      </c>
      <c r="N26" s="26" t="s">
        <v>147</v>
      </c>
    </row>
    <row r="27" spans="1:14" ht="16.5" x14ac:dyDescent="0.3">
      <c r="A27" s="147">
        <v>26</v>
      </c>
      <c r="B27" s="148">
        <v>70</v>
      </c>
      <c r="C27" s="146"/>
      <c r="E27" s="141"/>
      <c r="F27" s="141"/>
      <c r="G27" s="141"/>
      <c r="H27" s="141"/>
      <c r="I27" s="141"/>
      <c r="J27" s="141"/>
      <c r="K27" s="141"/>
      <c r="L27" s="141"/>
    </row>
    <row r="28" spans="1:14" ht="16.5" x14ac:dyDescent="0.3">
      <c r="A28" s="147">
        <v>27</v>
      </c>
      <c r="B28" s="148">
        <v>82</v>
      </c>
      <c r="C28" s="146"/>
      <c r="E28" s="141"/>
      <c r="F28" s="141"/>
      <c r="G28" s="141"/>
      <c r="H28" s="141"/>
      <c r="I28" s="141"/>
      <c r="J28" s="141"/>
      <c r="K28" s="141"/>
      <c r="L28" s="141"/>
    </row>
    <row r="29" spans="1:14" ht="16.5" x14ac:dyDescent="0.3">
      <c r="A29" s="147">
        <v>28</v>
      </c>
      <c r="B29" s="148">
        <v>88</v>
      </c>
      <c r="C29" s="146"/>
      <c r="E29" s="141"/>
      <c r="F29" s="141"/>
      <c r="G29" s="141"/>
      <c r="H29" s="141"/>
      <c r="I29" s="141"/>
      <c r="J29" s="141"/>
      <c r="K29" s="141"/>
      <c r="L29" s="141"/>
    </row>
    <row r="30" spans="1:14" ht="16.5" x14ac:dyDescent="0.3">
      <c r="A30" s="147">
        <v>29</v>
      </c>
      <c r="C30" s="146"/>
      <c r="E30" s="141"/>
      <c r="F30" s="141"/>
      <c r="G30" s="141"/>
      <c r="H30" s="141"/>
      <c r="I30" s="141"/>
      <c r="J30" s="141"/>
      <c r="K30" s="141"/>
      <c r="L30" s="141"/>
    </row>
    <row r="31" spans="1:14" ht="16.5" x14ac:dyDescent="0.3">
      <c r="A31" s="147">
        <v>30</v>
      </c>
      <c r="C31" s="146"/>
      <c r="E31" s="141"/>
      <c r="F31" s="141"/>
      <c r="G31" s="141"/>
      <c r="H31" s="141"/>
      <c r="I31" s="141"/>
      <c r="J31" s="141"/>
      <c r="K31" s="141"/>
      <c r="L31" s="141"/>
    </row>
    <row r="32" spans="1:14" ht="16.5" x14ac:dyDescent="0.3">
      <c r="C32" s="146"/>
      <c r="E32" s="141"/>
      <c r="F32" s="141"/>
      <c r="G32" s="141"/>
      <c r="H32" s="141"/>
      <c r="I32" s="141"/>
      <c r="J32" s="141"/>
      <c r="K32" s="141"/>
      <c r="L32" s="141"/>
    </row>
    <row r="33" spans="3:13" ht="16.5" x14ac:dyDescent="0.3">
      <c r="C33" s="146"/>
      <c r="E33" s="141"/>
      <c r="F33" s="141"/>
      <c r="G33" s="141"/>
      <c r="H33" s="141"/>
      <c r="I33" s="141"/>
      <c r="J33" s="141"/>
      <c r="K33" s="141"/>
      <c r="L33" s="141"/>
    </row>
    <row r="34" spans="3:13" x14ac:dyDescent="0.25">
      <c r="E34" s="141"/>
      <c r="F34" s="141"/>
      <c r="G34" s="141"/>
      <c r="H34" s="141"/>
      <c r="I34" s="141"/>
      <c r="J34" s="141"/>
      <c r="K34" s="141"/>
      <c r="L34" s="141"/>
    </row>
    <row r="35" spans="3:13" x14ac:dyDescent="0.25">
      <c r="E35" s="141"/>
      <c r="F35" s="141"/>
      <c r="G35" s="141"/>
      <c r="H35" s="141"/>
      <c r="I35" s="141"/>
      <c r="J35" s="141"/>
      <c r="K35" s="141"/>
      <c r="L35" s="141"/>
    </row>
    <row r="36" spans="3:13" x14ac:dyDescent="0.25">
      <c r="E36" s="141"/>
      <c r="F36" s="141"/>
      <c r="G36" s="141"/>
      <c r="H36" s="141"/>
      <c r="I36" s="141"/>
      <c r="J36" s="141"/>
      <c r="K36" s="141"/>
      <c r="L36" s="141"/>
    </row>
    <row r="37" spans="3:13" x14ac:dyDescent="0.25">
      <c r="D37" t="s">
        <v>27</v>
      </c>
      <c r="E37"/>
      <c r="F37"/>
      <c r="G37"/>
      <c r="H37"/>
      <c r="I37"/>
      <c r="J37"/>
      <c r="K37"/>
      <c r="L37"/>
      <c r="M37"/>
    </row>
    <row r="38" spans="3:13" ht="16.5" thickBot="1" x14ac:dyDescent="0.3">
      <c r="D38"/>
      <c r="E38"/>
      <c r="F38"/>
      <c r="G38"/>
      <c r="H38"/>
      <c r="I38"/>
      <c r="J38"/>
      <c r="K38"/>
      <c r="L38"/>
      <c r="M38"/>
    </row>
    <row r="39" spans="3:13" x14ac:dyDescent="0.25">
      <c r="D39" s="145" t="s">
        <v>28</v>
      </c>
      <c r="E39" s="145"/>
      <c r="F39"/>
      <c r="G39"/>
      <c r="H39"/>
      <c r="I39"/>
      <c r="J39"/>
      <c r="K39"/>
      <c r="L39"/>
      <c r="M39"/>
    </row>
    <row r="40" spans="3:13" x14ac:dyDescent="0.25">
      <c r="D40" t="s">
        <v>30</v>
      </c>
      <c r="E40">
        <v>0.94683332571518397</v>
      </c>
      <c r="F40"/>
      <c r="G40"/>
      <c r="H40"/>
      <c r="I40"/>
      <c r="J40"/>
      <c r="K40"/>
      <c r="L40"/>
      <c r="M40"/>
    </row>
    <row r="41" spans="3:13" x14ac:dyDescent="0.25">
      <c r="D41" t="s">
        <v>32</v>
      </c>
      <c r="E41">
        <v>0.89649334668487557</v>
      </c>
      <c r="F41"/>
      <c r="G41"/>
      <c r="H41"/>
      <c r="I41"/>
      <c r="J41"/>
      <c r="K41"/>
      <c r="L41"/>
      <c r="M41"/>
    </row>
    <row r="42" spans="3:13" x14ac:dyDescent="0.25">
      <c r="D42" t="s">
        <v>33</v>
      </c>
      <c r="E42">
        <v>0.89251232155737081</v>
      </c>
      <c r="F42"/>
      <c r="G42"/>
      <c r="H42"/>
      <c r="I42"/>
      <c r="J42"/>
      <c r="K42"/>
      <c r="L42"/>
      <c r="M42"/>
    </row>
    <row r="43" spans="3:13" x14ac:dyDescent="0.25">
      <c r="D43" t="s">
        <v>34</v>
      </c>
      <c r="E43">
        <v>5.104266312411351</v>
      </c>
      <c r="F43"/>
      <c r="G43"/>
      <c r="H43"/>
      <c r="I43"/>
      <c r="J43"/>
      <c r="K43"/>
      <c r="L43"/>
      <c r="M43"/>
    </row>
    <row r="44" spans="3:13" ht="16.5" thickBot="1" x14ac:dyDescent="0.3">
      <c r="D44" s="143" t="s">
        <v>35</v>
      </c>
      <c r="E44" s="143">
        <v>28</v>
      </c>
      <c r="F44"/>
      <c r="G44"/>
      <c r="H44"/>
      <c r="I44"/>
      <c r="J44"/>
      <c r="K44"/>
      <c r="L44"/>
      <c r="M44"/>
    </row>
    <row r="45" spans="3:13" x14ac:dyDescent="0.25">
      <c r="D45"/>
      <c r="E45"/>
      <c r="F45"/>
      <c r="G45"/>
      <c r="H45"/>
      <c r="I45"/>
      <c r="J45"/>
      <c r="K45"/>
      <c r="L45"/>
      <c r="M45"/>
    </row>
    <row r="46" spans="3:13" ht="16.5" thickBot="1" x14ac:dyDescent="0.3">
      <c r="D46" t="s">
        <v>36</v>
      </c>
      <c r="E46"/>
      <c r="F46"/>
      <c r="G46"/>
      <c r="H46"/>
      <c r="I46"/>
      <c r="J46"/>
      <c r="K46"/>
      <c r="L46"/>
      <c r="M46"/>
    </row>
    <row r="47" spans="3:13" ht="15.75" customHeight="1" x14ac:dyDescent="0.25">
      <c r="D47" s="144"/>
      <c r="E47" s="144" t="s">
        <v>37</v>
      </c>
      <c r="F47" s="144" t="s">
        <v>38</v>
      </c>
      <c r="G47" s="144" t="s">
        <v>39</v>
      </c>
      <c r="H47" s="144" t="s">
        <v>40</v>
      </c>
      <c r="I47" s="144" t="s">
        <v>41</v>
      </c>
      <c r="J47"/>
      <c r="K47"/>
      <c r="L47"/>
      <c r="M47"/>
    </row>
    <row r="48" spans="3:13" x14ac:dyDescent="0.25">
      <c r="D48" t="s">
        <v>42</v>
      </c>
      <c r="E48">
        <v>1</v>
      </c>
      <c r="F48">
        <v>5867.0366721401197</v>
      </c>
      <c r="G48">
        <v>5867.0366721401197</v>
      </c>
      <c r="H48">
        <v>225.19158206036687</v>
      </c>
      <c r="I48">
        <v>2.5516337069302656E-14</v>
      </c>
      <c r="J48"/>
      <c r="K48"/>
      <c r="L48"/>
      <c r="M48"/>
    </row>
    <row r="49" spans="4:13" x14ac:dyDescent="0.25">
      <c r="D49" t="s">
        <v>43</v>
      </c>
      <c r="E49">
        <v>26</v>
      </c>
      <c r="F49">
        <v>677.39189928845155</v>
      </c>
      <c r="G49">
        <v>26.053534588017367</v>
      </c>
      <c r="H49"/>
      <c r="I49"/>
      <c r="J49"/>
      <c r="K49"/>
      <c r="L49"/>
      <c r="M49"/>
    </row>
    <row r="50" spans="4:13" ht="16.5" thickBot="1" x14ac:dyDescent="0.3">
      <c r="D50" s="143" t="s">
        <v>44</v>
      </c>
      <c r="E50" s="143">
        <v>27</v>
      </c>
      <c r="F50" s="143">
        <v>6544.4285714285716</v>
      </c>
      <c r="G50" s="143"/>
      <c r="H50" s="143"/>
      <c r="I50" s="143"/>
      <c r="J50"/>
      <c r="K50"/>
      <c r="L50"/>
      <c r="M50"/>
    </row>
    <row r="51" spans="4:13" ht="16.5" thickBot="1" x14ac:dyDescent="0.3">
      <c r="D51"/>
      <c r="E51"/>
      <c r="F51"/>
      <c r="G51"/>
      <c r="H51"/>
      <c r="I51"/>
      <c r="J51"/>
      <c r="K51"/>
      <c r="L51"/>
      <c r="M51"/>
    </row>
    <row r="52" spans="4:13" x14ac:dyDescent="0.25">
      <c r="D52" s="144"/>
      <c r="E52" s="144" t="s">
        <v>45</v>
      </c>
      <c r="F52" s="144" t="s">
        <v>34</v>
      </c>
      <c r="G52" s="144" t="s">
        <v>46</v>
      </c>
      <c r="H52" s="144" t="s">
        <v>47</v>
      </c>
      <c r="I52" s="144" t="s">
        <v>48</v>
      </c>
      <c r="J52" s="144" t="s">
        <v>49</v>
      </c>
      <c r="K52"/>
      <c r="L52"/>
      <c r="M52"/>
    </row>
    <row r="53" spans="4:13" x14ac:dyDescent="0.25">
      <c r="D53" t="s">
        <v>51</v>
      </c>
      <c r="E53">
        <v>22.658730158730162</v>
      </c>
      <c r="F53">
        <v>1.9820967677199302</v>
      </c>
      <c r="G53">
        <v>11.431697244930795</v>
      </c>
      <c r="H53">
        <v>1.2189520178894721E-11</v>
      </c>
      <c r="I53">
        <v>18.58447190244296</v>
      </c>
      <c r="J53">
        <v>26.732988415017363</v>
      </c>
      <c r="K53"/>
      <c r="L53"/>
      <c r="M53"/>
    </row>
    <row r="54" spans="4:13" ht="16.5" thickBot="1" x14ac:dyDescent="0.3">
      <c r="D54" s="143" t="s">
        <v>53</v>
      </c>
      <c r="E54" s="143">
        <v>1.7920087575259989</v>
      </c>
      <c r="F54" s="143">
        <v>0.11941642122158622</v>
      </c>
      <c r="G54" s="143">
        <v>15.00638470986156</v>
      </c>
      <c r="H54" s="143">
        <v>2.5516337069302656E-14</v>
      </c>
      <c r="I54" s="143">
        <v>1.5465447882476508</v>
      </c>
      <c r="J54" s="143">
        <v>2.0374727268043467</v>
      </c>
      <c r="K54"/>
      <c r="L54"/>
      <c r="M54"/>
    </row>
    <row r="55" spans="4:13" x14ac:dyDescent="0.25">
      <c r="D55"/>
      <c r="E55"/>
      <c r="F55"/>
      <c r="G55"/>
      <c r="H55"/>
      <c r="I55"/>
      <c r="J55"/>
      <c r="K55"/>
      <c r="L55"/>
      <c r="M55"/>
    </row>
    <row r="56" spans="4:13" x14ac:dyDescent="0.25">
      <c r="D56"/>
      <c r="E56"/>
      <c r="F56"/>
      <c r="G56"/>
      <c r="H56"/>
      <c r="I56"/>
      <c r="J56"/>
      <c r="K56"/>
      <c r="L56"/>
      <c r="M56"/>
    </row>
    <row r="57" spans="4:13" x14ac:dyDescent="0.25">
      <c r="D57"/>
      <c r="E57"/>
      <c r="F57"/>
      <c r="G57"/>
      <c r="H57"/>
      <c r="I57"/>
      <c r="J57"/>
      <c r="K57"/>
      <c r="L57"/>
      <c r="M57"/>
    </row>
    <row r="58" spans="4:13" x14ac:dyDescent="0.25">
      <c r="E58" s="141"/>
      <c r="F58" s="141"/>
      <c r="G58" s="141"/>
      <c r="H58" s="141"/>
      <c r="I58" s="141"/>
      <c r="J58" s="141"/>
      <c r="K58"/>
      <c r="L58"/>
      <c r="M58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85EB-D185-476E-9B35-2F1DD322E174}">
  <sheetPr>
    <tabColor rgb="FFFFFF00"/>
  </sheetPr>
  <dimension ref="B1:I26"/>
  <sheetViews>
    <sheetView zoomScale="111" zoomScaleNormal="111" workbookViewId="0">
      <selection activeCell="S14" sqref="S14"/>
    </sheetView>
  </sheetViews>
  <sheetFormatPr defaultColWidth="9.140625" defaultRowHeight="16.5" x14ac:dyDescent="0.3"/>
  <cols>
    <col min="1" max="1" width="9.140625" style="26"/>
    <col min="2" max="2" width="11.140625" style="26" bestFit="1" customWidth="1"/>
    <col min="3" max="3" width="10.7109375" style="26" bestFit="1" customWidth="1"/>
    <col min="4" max="4" width="9.140625" style="26"/>
    <col min="5" max="5" width="13.42578125" style="26" bestFit="1" customWidth="1"/>
    <col min="6" max="6" width="9.140625" style="26"/>
    <col min="7" max="7" width="11" style="26" bestFit="1" customWidth="1"/>
    <col min="8" max="9" width="7.7109375" style="26" customWidth="1"/>
    <col min="10" max="10" width="5.7109375" style="26" customWidth="1"/>
    <col min="11" max="25" width="9.140625" style="26"/>
    <col min="26" max="26" width="6.5703125" style="26" customWidth="1"/>
    <col min="27" max="16384" width="9.140625" style="26"/>
  </cols>
  <sheetData>
    <row r="1" spans="2:9" x14ac:dyDescent="0.3">
      <c r="E1"/>
      <c r="F1"/>
      <c r="G1"/>
      <c r="H1"/>
      <c r="I1"/>
    </row>
    <row r="2" spans="2:9" ht="17.25" thickBot="1" x14ac:dyDescent="0.35">
      <c r="B2" s="140" t="s">
        <v>179</v>
      </c>
      <c r="C2" s="140" t="s">
        <v>178</v>
      </c>
      <c r="E2"/>
      <c r="F2"/>
      <c r="G2"/>
      <c r="H2"/>
      <c r="I2"/>
    </row>
    <row r="3" spans="2:9" ht="17.25" thickBot="1" x14ac:dyDescent="0.35">
      <c r="B3" s="173" t="s">
        <v>177</v>
      </c>
      <c r="C3" s="173" t="s">
        <v>176</v>
      </c>
      <c r="E3"/>
      <c r="F3"/>
      <c r="G3"/>
      <c r="H3"/>
      <c r="I3"/>
    </row>
    <row r="4" spans="2:9" x14ac:dyDescent="0.3">
      <c r="B4" s="172">
        <v>20</v>
      </c>
      <c r="C4" s="172">
        <v>1468</v>
      </c>
      <c r="E4"/>
      <c r="F4"/>
      <c r="G4"/>
      <c r="H4"/>
      <c r="I4"/>
    </row>
    <row r="5" spans="2:9" x14ac:dyDescent="0.3">
      <c r="B5" s="171">
        <v>40</v>
      </c>
      <c r="C5" s="171">
        <v>1800</v>
      </c>
      <c r="E5"/>
      <c r="F5"/>
      <c r="G5"/>
      <c r="H5"/>
      <c r="I5"/>
    </row>
    <row r="6" spans="2:9" x14ac:dyDescent="0.3">
      <c r="B6" s="171">
        <v>50</v>
      </c>
      <c r="C6" s="171">
        <v>2000</v>
      </c>
      <c r="E6"/>
      <c r="F6"/>
      <c r="G6"/>
      <c r="H6"/>
      <c r="I6"/>
    </row>
    <row r="7" spans="2:9" x14ac:dyDescent="0.3">
      <c r="B7" s="171">
        <v>70</v>
      </c>
      <c r="C7" s="171">
        <v>2300</v>
      </c>
      <c r="E7"/>
      <c r="F7"/>
      <c r="G7"/>
      <c r="H7"/>
      <c r="I7"/>
    </row>
    <row r="8" spans="2:9" x14ac:dyDescent="0.3">
      <c r="B8" s="171">
        <v>90</v>
      </c>
      <c r="C8" s="171">
        <v>2700</v>
      </c>
      <c r="E8"/>
      <c r="F8"/>
      <c r="G8"/>
      <c r="H8"/>
      <c r="I8"/>
    </row>
    <row r="9" spans="2:9" x14ac:dyDescent="0.3">
      <c r="B9" s="171">
        <v>100</v>
      </c>
      <c r="C9" s="171">
        <v>2961.1219253302847</v>
      </c>
      <c r="E9"/>
      <c r="F9"/>
      <c r="G9"/>
      <c r="H9"/>
      <c r="I9"/>
    </row>
    <row r="10" spans="2:9" x14ac:dyDescent="0.3">
      <c r="B10" s="171">
        <v>120</v>
      </c>
      <c r="C10" s="171">
        <v>3173.4592379126093</v>
      </c>
      <c r="E10"/>
      <c r="F10"/>
      <c r="G10"/>
      <c r="H10"/>
      <c r="I10"/>
    </row>
    <row r="11" spans="2:9" x14ac:dyDescent="0.3">
      <c r="B11" s="171">
        <v>140</v>
      </c>
      <c r="C11" s="171">
        <v>3390.0126596118184</v>
      </c>
    </row>
    <row r="12" spans="2:9" ht="17.25" thickBot="1" x14ac:dyDescent="0.35">
      <c r="B12" s="170">
        <v>150</v>
      </c>
      <c r="C12" s="170">
        <v>3487.4061771454217</v>
      </c>
    </row>
    <row r="17" spans="2:5" ht="18" x14ac:dyDescent="0.3">
      <c r="C17" s="169" t="s">
        <v>175</v>
      </c>
      <c r="D17" s="169" t="s">
        <v>174</v>
      </c>
      <c r="E17" s="169" t="s">
        <v>173</v>
      </c>
    </row>
    <row r="18" spans="2:5" x14ac:dyDescent="0.3">
      <c r="B18" s="168">
        <v>20</v>
      </c>
      <c r="C18" s="140">
        <f t="shared" ref="C18:C26" ca="1" si="0">INT(1000+20*B18+_xlfn.NORM.INV(RAND(), 0,300))</f>
        <v>1693</v>
      </c>
      <c r="D18" s="140">
        <f t="shared" ref="D18:D26" ca="1" si="1">INT(3000-15*B18+_xlfn.NORM.INV(RAND(),0,300))</f>
        <v>2555</v>
      </c>
      <c r="E18" s="140">
        <f t="shared" ref="E18:E26" ca="1" si="2">INT(10000*RAND())</f>
        <v>7346</v>
      </c>
    </row>
    <row r="19" spans="2:5" x14ac:dyDescent="0.3">
      <c r="B19" s="168">
        <v>40</v>
      </c>
      <c r="C19" s="140">
        <f t="shared" ca="1" si="0"/>
        <v>1753</v>
      </c>
      <c r="D19" s="140">
        <f t="shared" ca="1" si="1"/>
        <v>2507</v>
      </c>
      <c r="E19" s="140">
        <f t="shared" ca="1" si="2"/>
        <v>1108</v>
      </c>
    </row>
    <row r="20" spans="2:5" x14ac:dyDescent="0.3">
      <c r="B20" s="168">
        <v>50</v>
      </c>
      <c r="C20" s="140">
        <f t="shared" ca="1" si="0"/>
        <v>1759</v>
      </c>
      <c r="D20" s="140">
        <f t="shared" ca="1" si="1"/>
        <v>2018</v>
      </c>
      <c r="E20" s="140">
        <f t="shared" ca="1" si="2"/>
        <v>7576</v>
      </c>
    </row>
    <row r="21" spans="2:5" x14ac:dyDescent="0.3">
      <c r="B21" s="168">
        <v>70</v>
      </c>
      <c r="C21" s="140">
        <f t="shared" ca="1" si="0"/>
        <v>2164</v>
      </c>
      <c r="D21" s="140">
        <f t="shared" ca="1" si="1"/>
        <v>1819</v>
      </c>
      <c r="E21" s="140">
        <f t="shared" ca="1" si="2"/>
        <v>4318</v>
      </c>
    </row>
    <row r="22" spans="2:5" x14ac:dyDescent="0.3">
      <c r="B22" s="168">
        <v>90</v>
      </c>
      <c r="C22" s="140">
        <f t="shared" ca="1" si="0"/>
        <v>2711</v>
      </c>
      <c r="D22" s="140">
        <f t="shared" ca="1" si="1"/>
        <v>1609</v>
      </c>
      <c r="E22" s="140">
        <f t="shared" ca="1" si="2"/>
        <v>13</v>
      </c>
    </row>
    <row r="23" spans="2:5" x14ac:dyDescent="0.3">
      <c r="B23" s="168">
        <v>100</v>
      </c>
      <c r="C23" s="140">
        <f t="shared" ca="1" si="0"/>
        <v>2840</v>
      </c>
      <c r="D23" s="140">
        <f t="shared" ca="1" si="1"/>
        <v>1653</v>
      </c>
      <c r="E23" s="140">
        <f t="shared" ca="1" si="2"/>
        <v>9962</v>
      </c>
    </row>
    <row r="24" spans="2:5" x14ac:dyDescent="0.3">
      <c r="B24" s="168">
        <v>120</v>
      </c>
      <c r="C24" s="140">
        <f t="shared" ca="1" si="0"/>
        <v>3209</v>
      </c>
      <c r="D24" s="140">
        <f t="shared" ca="1" si="1"/>
        <v>1090</v>
      </c>
      <c r="E24" s="140">
        <f t="shared" ca="1" si="2"/>
        <v>2816</v>
      </c>
    </row>
    <row r="25" spans="2:5" x14ac:dyDescent="0.3">
      <c r="B25" s="168">
        <v>140</v>
      </c>
      <c r="C25" s="140">
        <f t="shared" ca="1" si="0"/>
        <v>3785</v>
      </c>
      <c r="D25" s="140">
        <f t="shared" ca="1" si="1"/>
        <v>693</v>
      </c>
      <c r="E25" s="140">
        <f t="shared" ca="1" si="2"/>
        <v>1798</v>
      </c>
    </row>
    <row r="26" spans="2:5" x14ac:dyDescent="0.3">
      <c r="B26" s="168">
        <v>150</v>
      </c>
      <c r="C26" s="140">
        <f t="shared" ca="1" si="0"/>
        <v>4128</v>
      </c>
      <c r="D26" s="140">
        <f t="shared" ca="1" si="1"/>
        <v>432</v>
      </c>
      <c r="E26" s="140">
        <f t="shared" ca="1" si="2"/>
        <v>4355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B5FCE-528A-4838-A9AE-A68B6A7ACE0E}">
  <sheetPr>
    <tabColor rgb="FFFFFF00"/>
  </sheetPr>
  <dimension ref="A1:O26"/>
  <sheetViews>
    <sheetView zoomScale="127" zoomScaleNormal="127" workbookViewId="0">
      <selection activeCell="B2" sqref="B2:B29"/>
    </sheetView>
  </sheetViews>
  <sheetFormatPr defaultRowHeight="16.5" x14ac:dyDescent="0.3"/>
  <cols>
    <col min="1" max="1" width="20.7109375" style="26" bestFit="1" customWidth="1"/>
    <col min="2" max="2" width="13.42578125" style="26" bestFit="1" customWidth="1"/>
    <col min="3" max="3" width="28.7109375" style="26" bestFit="1" customWidth="1"/>
    <col min="4" max="13" width="9.140625" style="26"/>
    <col min="14" max="14" width="4.7109375" style="26" customWidth="1"/>
    <col min="15" max="16384" width="9.140625" style="26"/>
  </cols>
  <sheetData>
    <row r="1" spans="1:7" ht="17.25" thickBot="1" x14ac:dyDescent="0.35">
      <c r="A1" s="26" t="s">
        <v>187</v>
      </c>
      <c r="B1" s="26" t="s">
        <v>186</v>
      </c>
      <c r="C1" s="26" t="s">
        <v>185</v>
      </c>
    </row>
    <row r="2" spans="1:7" x14ac:dyDescent="0.3">
      <c r="A2" s="184">
        <v>10</v>
      </c>
      <c r="B2" s="183">
        <v>1690</v>
      </c>
      <c r="C2" s="182">
        <v>16350</v>
      </c>
      <c r="D2" s="26" t="s">
        <v>51</v>
      </c>
      <c r="E2" s="174">
        <f>INTERCEPT(B$2:B$7,$A$2:$A$7)</f>
        <v>1992.143906020558</v>
      </c>
      <c r="F2" s="181">
        <f>INTERCEPT(C$2:C$7,$A$2:$A$7)</f>
        <v>13016.578560939795</v>
      </c>
      <c r="G2" s="26" t="str">
        <f ca="1">_xlfn.FORMULATEXT(F2)</f>
        <v>=INTERCEPT(C$2:C$7,$A$2:$A$7)</v>
      </c>
    </row>
    <row r="3" spans="1:7" x14ac:dyDescent="0.3">
      <c r="A3" s="180">
        <v>30</v>
      </c>
      <c r="B3" s="179">
        <v>1580</v>
      </c>
      <c r="C3" s="178">
        <v>22960</v>
      </c>
      <c r="D3" s="26" t="s">
        <v>184</v>
      </c>
      <c r="E3" s="174">
        <f>SLOPE(B$2:B$7,$A$2:$A$7)</f>
        <v>-17.030837004405285</v>
      </c>
      <c r="F3" s="181">
        <f>SLOPE(C$2:C$7,$A$2:$A$7)</f>
        <v>298.59030837004406</v>
      </c>
      <c r="G3" s="26" t="str">
        <f ca="1">_xlfn.FORMULATEXT(F3)</f>
        <v>=SLOPE(C$2:C$7,$A$2:$A$7)</v>
      </c>
    </row>
    <row r="4" spans="1:7" x14ac:dyDescent="0.3">
      <c r="A4" s="180">
        <v>35</v>
      </c>
      <c r="B4" s="179">
        <v>1510</v>
      </c>
      <c r="C4" s="178">
        <v>21800</v>
      </c>
      <c r="D4" s="26" t="s">
        <v>183</v>
      </c>
      <c r="E4" s="174">
        <f>RSQ(B$2:B$7,$A$2:$A$7)</f>
        <v>0.94049922663123753</v>
      </c>
      <c r="F4" s="181">
        <f>RSQ(C$2:C$7,$A$2:$A$7)</f>
        <v>0.9615031259472413</v>
      </c>
      <c r="G4" s="26" t="str">
        <f ca="1">_xlfn.FORMULATEXT(F4)</f>
        <v>=RSQ(C$2:C$7,$A$2:$A$7)</v>
      </c>
    </row>
    <row r="5" spans="1:7" x14ac:dyDescent="0.3">
      <c r="A5" s="180">
        <v>45</v>
      </c>
      <c r="B5" s="179">
        <v>1270</v>
      </c>
      <c r="C5" s="178">
        <v>27850</v>
      </c>
      <c r="D5" s="26" t="s">
        <v>182</v>
      </c>
      <c r="E5" s="174">
        <f>STEYX(B$2:B$7,$A$2:$A$7)</f>
        <v>114.09221609672564</v>
      </c>
      <c r="F5" s="181">
        <f>STEYX(C$2:C$7,$A$2:$A$7)</f>
        <v>1591.2962143181812</v>
      </c>
      <c r="G5" s="26" t="str">
        <f ca="1">_xlfn.FORMULATEXT(F5)</f>
        <v>=STEYX(C$2:C$7,$A$2:$A$7)</v>
      </c>
    </row>
    <row r="6" spans="1:7" x14ac:dyDescent="0.3">
      <c r="A6" s="180">
        <v>55</v>
      </c>
      <c r="B6" s="179">
        <v>960</v>
      </c>
      <c r="C6" s="178">
        <v>27540</v>
      </c>
      <c r="D6" s="26" t="s">
        <v>181</v>
      </c>
      <c r="E6" s="174">
        <f>E2</f>
        <v>1992.143906020558</v>
      </c>
      <c r="F6" s="26" t="str">
        <f ca="1">_xlfn.FORMULATEXT(E6)</f>
        <v>=E2</v>
      </c>
    </row>
    <row r="7" spans="1:7" ht="17.25" thickBot="1" x14ac:dyDescent="0.35">
      <c r="A7" s="177">
        <v>80</v>
      </c>
      <c r="B7" s="176">
        <v>600</v>
      </c>
      <c r="C7" s="175">
        <v>37740</v>
      </c>
      <c r="D7" s="26" t="s">
        <v>180</v>
      </c>
      <c r="E7" s="174">
        <f>E2/-E3</f>
        <v>116.9727539230902</v>
      </c>
      <c r="F7" s="26" t="str">
        <f ca="1">_xlfn.FORMULATEXT(E7)</f>
        <v>=E2/-E3</v>
      </c>
    </row>
    <row r="25" spans="3:15" x14ac:dyDescent="0.3">
      <c r="C25" s="26" t="str">
        <f>"Demand Curve (R vs. Q): P="&amp;ROUND(E2,2)&amp;ROUND(E3,2)&amp;"Q; R2="&amp;ROUND(E4,2)</f>
        <v>Demand Curve (R vs. Q): P=1992.14-17.03Q; R2=0.94</v>
      </c>
      <c r="K25" s="26">
        <v>0</v>
      </c>
      <c r="L25" s="26">
        <f>E6</f>
        <v>1992.143906020558</v>
      </c>
      <c r="N25" s="26">
        <v>0</v>
      </c>
      <c r="O25" s="26">
        <f>F2</f>
        <v>13016.578560939795</v>
      </c>
    </row>
    <row r="26" spans="3:15" x14ac:dyDescent="0.3">
      <c r="C26" s="26" t="str">
        <f>"Total Cost Curve (TC vs. Q): TC="&amp;ROUND(F2,2)&amp;"+"&amp;ROUND(F3,2)&amp;"Q; R2="&amp;ROUND(F4,2)&amp;",   StdDev="&amp;ROUND(F5,2)</f>
        <v>Total Cost Curve (TC vs. Q): TC=13016.58+298.59Q; R2=0.96,   StdDev=1591.3</v>
      </c>
      <c r="K26" s="26">
        <f>E7</f>
        <v>116.9727539230902</v>
      </c>
      <c r="L26" s="26">
        <v>0</v>
      </c>
      <c r="N26" s="26">
        <v>100</v>
      </c>
      <c r="O26" s="26">
        <f>O25+F3*N26</f>
        <v>42875.609397944201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59A91-2EDA-4DEE-9394-2231947D69DF}">
  <dimension ref="A1:N139"/>
  <sheetViews>
    <sheetView workbookViewId="0">
      <selection activeCell="B2" sqref="B2:B29"/>
    </sheetView>
  </sheetViews>
  <sheetFormatPr defaultRowHeight="15.75" x14ac:dyDescent="0.25"/>
  <cols>
    <col min="1" max="1" width="20.7109375" style="141" bestFit="1" customWidth="1"/>
    <col min="2" max="2" width="13.42578125" style="141" bestFit="1" customWidth="1"/>
    <col min="3" max="3" width="28.7109375" style="141" bestFit="1" customWidth="1"/>
    <col min="4" max="16384" width="9.140625" style="141"/>
  </cols>
  <sheetData>
    <row r="1" spans="1:14" ht="16.5" x14ac:dyDescent="0.3">
      <c r="A1" s="190" t="s">
        <v>199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x14ac:dyDescent="0.25">
      <c r="A2" s="141" t="s">
        <v>187</v>
      </c>
      <c r="B2" s="141" t="s">
        <v>198</v>
      </c>
      <c r="C2" s="141" t="s">
        <v>185</v>
      </c>
    </row>
    <row r="3" spans="1:14" x14ac:dyDescent="0.25">
      <c r="A3" s="141">
        <v>10</v>
      </c>
      <c r="B3" s="141">
        <v>1690</v>
      </c>
      <c r="C3" s="141">
        <v>16350</v>
      </c>
      <c r="D3" s="141" t="s">
        <v>51</v>
      </c>
      <c r="E3" s="141">
        <f>INTERCEPT(B$3:B$8,$A$3:$A$8)</f>
        <v>1992.143906020558</v>
      </c>
      <c r="F3" s="141">
        <f>INTERCEPT(C$3:C$8,$A$3:$A$8)</f>
        <v>13016.578560939795</v>
      </c>
      <c r="G3" s="141" t="str">
        <f ca="1">_xlfn.FORMULATEXT(F3)</f>
        <v>=INTERCEPT(C$3:C$8,$A$3:$A$8)</v>
      </c>
    </row>
    <row r="4" spans="1:14" x14ac:dyDescent="0.25">
      <c r="A4" s="141">
        <v>30</v>
      </c>
      <c r="B4" s="141">
        <v>1580</v>
      </c>
      <c r="C4" s="141">
        <v>22960</v>
      </c>
      <c r="D4" s="141" t="s">
        <v>184</v>
      </c>
      <c r="E4" s="141">
        <f>SLOPE(B$3:B$8,$A$3:$A$8)</f>
        <v>-17.030837004405285</v>
      </c>
      <c r="F4" s="141">
        <f>SLOPE(C$3:C$8,$A$3:$A$8)</f>
        <v>298.59030837004406</v>
      </c>
      <c r="G4" s="141" t="str">
        <f ca="1">_xlfn.FORMULATEXT(F4)</f>
        <v>=SLOPE(C$3:C$8,$A$3:$A$8)</v>
      </c>
    </row>
    <row r="5" spans="1:14" x14ac:dyDescent="0.25">
      <c r="A5" s="141">
        <v>35</v>
      </c>
      <c r="B5" s="141">
        <v>1510</v>
      </c>
      <c r="C5" s="141">
        <v>21800</v>
      </c>
      <c r="D5" s="141" t="s">
        <v>183</v>
      </c>
      <c r="E5" s="141">
        <f>RSQ(B$3:B$8,$A$3:$A$8)</f>
        <v>0.94049922663123753</v>
      </c>
      <c r="F5" s="141">
        <f>RSQ(C$3:C$8,$A$3:$A$8)</f>
        <v>0.9615031259472413</v>
      </c>
      <c r="G5" s="141" t="str">
        <f ca="1">_xlfn.FORMULATEXT(F5)</f>
        <v>=RSQ(C$3:C$8,$A$3:$A$8)</v>
      </c>
    </row>
    <row r="6" spans="1:14" x14ac:dyDescent="0.25">
      <c r="A6" s="141">
        <v>45</v>
      </c>
      <c r="B6" s="141">
        <v>1270</v>
      </c>
      <c r="C6" s="141">
        <v>27850</v>
      </c>
      <c r="D6" s="141" t="s">
        <v>182</v>
      </c>
      <c r="E6" s="141">
        <f>STEYX(B$3:B$8,$A$3:$A$8)</f>
        <v>114.09221609672564</v>
      </c>
      <c r="F6" s="141">
        <f>STEYX(C$3:C$8,$A$3:$A$8)</f>
        <v>1591.2962143181812</v>
      </c>
      <c r="G6" s="141" t="str">
        <f ca="1">_xlfn.FORMULATEXT(F6)</f>
        <v>=STEYX(C$3:C$8,$A$3:$A$8)</v>
      </c>
    </row>
    <row r="7" spans="1:14" x14ac:dyDescent="0.25">
      <c r="A7" s="141">
        <v>55</v>
      </c>
      <c r="B7" s="141">
        <v>960</v>
      </c>
      <c r="C7" s="141">
        <v>27540</v>
      </c>
      <c r="D7" s="141" t="s">
        <v>181</v>
      </c>
      <c r="E7" s="141">
        <f>E3</f>
        <v>1992.143906020558</v>
      </c>
      <c r="F7" s="141" t="str">
        <f ca="1">_xlfn.FORMULATEXT(E7)</f>
        <v>=E3</v>
      </c>
    </row>
    <row r="8" spans="1:14" x14ac:dyDescent="0.25">
      <c r="A8" s="141">
        <v>80</v>
      </c>
      <c r="B8" s="141">
        <v>600</v>
      </c>
      <c r="C8" s="141">
        <v>37740</v>
      </c>
      <c r="D8" s="141" t="s">
        <v>180</v>
      </c>
      <c r="E8" s="141">
        <f>E3/-E4</f>
        <v>116.9727539230902</v>
      </c>
      <c r="F8" s="141" t="str">
        <f ca="1">_xlfn.FORMULATEXT(E8)</f>
        <v>=E3/-E4</v>
      </c>
    </row>
    <row r="9" spans="1:14" x14ac:dyDescent="0.25">
      <c r="D9" s="141" t="str">
        <f>"TC="&amp;ROUND(F3,2)&amp;"+"&amp;ROUND(F4,2)&amp;"Q"</f>
        <v>TC=13016.58+298.59Q</v>
      </c>
      <c r="F9" s="141" t="str">
        <f ca="1">_xlfn.FORMULATEXT(D9)</f>
        <v>="TC="&amp;ROUND(F3,2)&amp;"+"&amp;ROUND(F4,2)&amp;"Q"</v>
      </c>
      <c r="M9" s="141" t="str">
        <f>B18&amp;" vs. "&amp;A18</f>
        <v>P vs. Q</v>
      </c>
    </row>
    <row r="10" spans="1:14" x14ac:dyDescent="0.25">
      <c r="D10" s="141" t="str">
        <f>"P="&amp;ROUND(E3,2)&amp;ROUND(E4,2)&amp;"Q"</f>
        <v>P=1992.14-17.03Q</v>
      </c>
      <c r="F10" s="141" t="str">
        <f ca="1">_xlfn.FORMULATEXT(D10)</f>
        <v>="P="&amp;ROUND(E3,2)&amp;ROUND(E4,2)&amp;"Q"</v>
      </c>
      <c r="M10" s="141" t="str">
        <f>C18&amp;" vs. "&amp;A18</f>
        <v>TR vs. Q</v>
      </c>
      <c r="N10" s="141" t="str">
        <f>G18&amp;" vs. "&amp;A18</f>
        <v>TP vs. Q</v>
      </c>
    </row>
    <row r="11" spans="1:14" x14ac:dyDescent="0.25">
      <c r="M11" s="141" t="str">
        <f>C18&amp;" &amp; "&amp;F18&amp;" vs. "&amp;A18</f>
        <v>TR &amp; TC vs. Q</v>
      </c>
    </row>
    <row r="14" spans="1:14" ht="16.5" thickBot="1" x14ac:dyDescent="0.3">
      <c r="A14" s="141" t="s">
        <v>179</v>
      </c>
      <c r="B14" s="141" t="s">
        <v>197</v>
      </c>
      <c r="C14" s="141" t="s">
        <v>196</v>
      </c>
      <c r="D14" s="141" t="s">
        <v>40</v>
      </c>
      <c r="E14" s="141" t="s">
        <v>195</v>
      </c>
      <c r="F14" s="141" t="s">
        <v>178</v>
      </c>
      <c r="G14" s="141" t="s">
        <v>194</v>
      </c>
    </row>
    <row r="15" spans="1:14" ht="16.5" thickBot="1" x14ac:dyDescent="0.3">
      <c r="A15" s="189">
        <v>49.720210381100195</v>
      </c>
      <c r="B15" s="141">
        <f>$E$3+$E$4*A15</f>
        <v>1145.3671071953011</v>
      </c>
      <c r="C15" s="141">
        <f>A15*B15</f>
        <v>56947.893533342511</v>
      </c>
      <c r="D15" s="141">
        <f>F3</f>
        <v>13016.578560939795</v>
      </c>
      <c r="E15" s="141">
        <f>F4</f>
        <v>298.59030837004406</v>
      </c>
      <c r="F15" s="141">
        <f>D15+E15*A15</f>
        <v>27862.55151085597</v>
      </c>
      <c r="G15" s="141">
        <f>C15-F15</f>
        <v>29085.34202248654</v>
      </c>
    </row>
    <row r="18" spans="1:7" x14ac:dyDescent="0.25">
      <c r="A18" s="141" t="s">
        <v>179</v>
      </c>
      <c r="B18" s="141" t="s">
        <v>197</v>
      </c>
      <c r="C18" s="141" t="s">
        <v>196</v>
      </c>
      <c r="D18" s="141" t="s">
        <v>40</v>
      </c>
      <c r="E18" s="141" t="s">
        <v>195</v>
      </c>
      <c r="F18" s="141" t="s">
        <v>178</v>
      </c>
      <c r="G18" s="141" t="s">
        <v>194</v>
      </c>
    </row>
    <row r="19" spans="1:7" x14ac:dyDescent="0.25">
      <c r="A19" s="141">
        <v>0</v>
      </c>
      <c r="B19" s="188">
        <f t="shared" ref="B19:B50" si="0">$E$3+$E$4*A19</f>
        <v>1992.143906020558</v>
      </c>
      <c r="C19" s="141">
        <f t="shared" ref="C19:C50" si="1">A19*B19</f>
        <v>0</v>
      </c>
      <c r="D19" s="141">
        <f t="shared" ref="D19:D50" si="2">$F$3</f>
        <v>13016.578560939795</v>
      </c>
      <c r="E19" s="141">
        <f t="shared" ref="E19:E50" si="3">$F$4</f>
        <v>298.59030837004406</v>
      </c>
      <c r="F19" s="141">
        <f t="shared" ref="F19:F50" si="4">D19+E19*A19</f>
        <v>13016.578560939795</v>
      </c>
      <c r="G19" s="141">
        <f t="shared" ref="G19:G50" si="5">C19-F19</f>
        <v>-13016.578560939795</v>
      </c>
    </row>
    <row r="20" spans="1:7" x14ac:dyDescent="0.25">
      <c r="A20" s="141">
        <v>1</v>
      </c>
      <c r="B20" s="188">
        <f t="shared" si="0"/>
        <v>1975.1130690161526</v>
      </c>
      <c r="C20" s="188">
        <f t="shared" si="1"/>
        <v>1975.1130690161526</v>
      </c>
      <c r="D20" s="141">
        <f t="shared" si="2"/>
        <v>13016.578560939795</v>
      </c>
      <c r="E20" s="141">
        <f t="shared" si="3"/>
        <v>298.59030837004406</v>
      </c>
      <c r="F20" s="141">
        <f t="shared" si="4"/>
        <v>13315.168869309839</v>
      </c>
      <c r="G20" s="141">
        <f t="shared" si="5"/>
        <v>-11340.055800293685</v>
      </c>
    </row>
    <row r="21" spans="1:7" x14ac:dyDescent="0.25">
      <c r="A21" s="141">
        <v>2</v>
      </c>
      <c r="B21" s="188">
        <f t="shared" si="0"/>
        <v>1958.0822320117475</v>
      </c>
      <c r="C21" s="188">
        <f t="shared" si="1"/>
        <v>3916.1644640234949</v>
      </c>
      <c r="D21" s="141">
        <f t="shared" si="2"/>
        <v>13016.578560939795</v>
      </c>
      <c r="E21" s="141">
        <f t="shared" si="3"/>
        <v>298.59030837004406</v>
      </c>
      <c r="F21" s="141">
        <f t="shared" si="4"/>
        <v>13613.759177679884</v>
      </c>
      <c r="G21" s="141">
        <f t="shared" si="5"/>
        <v>-9697.5947136563882</v>
      </c>
    </row>
    <row r="22" spans="1:7" x14ac:dyDescent="0.25">
      <c r="A22" s="141">
        <v>3</v>
      </c>
      <c r="B22" s="188">
        <f t="shared" si="0"/>
        <v>1941.0513950073421</v>
      </c>
      <c r="C22" s="188">
        <f t="shared" si="1"/>
        <v>5823.1541850220265</v>
      </c>
      <c r="D22" s="141">
        <f t="shared" si="2"/>
        <v>13016.578560939795</v>
      </c>
      <c r="E22" s="141">
        <f t="shared" si="3"/>
        <v>298.59030837004406</v>
      </c>
      <c r="F22" s="141">
        <f t="shared" si="4"/>
        <v>13912.349486049927</v>
      </c>
      <c r="G22" s="141">
        <f t="shared" si="5"/>
        <v>-8089.1953010279003</v>
      </c>
    </row>
    <row r="23" spans="1:7" x14ac:dyDescent="0.25">
      <c r="A23" s="141">
        <v>4</v>
      </c>
      <c r="B23" s="188">
        <f t="shared" si="0"/>
        <v>1924.0205580029369</v>
      </c>
      <c r="C23" s="188">
        <f t="shared" si="1"/>
        <v>7696.0822320117477</v>
      </c>
      <c r="D23" s="141">
        <f t="shared" si="2"/>
        <v>13016.578560939795</v>
      </c>
      <c r="E23" s="141">
        <f t="shared" si="3"/>
        <v>298.59030837004406</v>
      </c>
      <c r="F23" s="141">
        <f t="shared" si="4"/>
        <v>14210.939794419972</v>
      </c>
      <c r="G23" s="141">
        <f t="shared" si="5"/>
        <v>-6514.8575624082241</v>
      </c>
    </row>
    <row r="24" spans="1:7" x14ac:dyDescent="0.25">
      <c r="A24" s="141">
        <v>5</v>
      </c>
      <c r="B24" s="188">
        <f t="shared" si="0"/>
        <v>1906.9897209985315</v>
      </c>
      <c r="C24" s="188">
        <f t="shared" si="1"/>
        <v>9534.9486049926581</v>
      </c>
      <c r="D24" s="141">
        <f t="shared" si="2"/>
        <v>13016.578560939795</v>
      </c>
      <c r="E24" s="141">
        <f t="shared" si="3"/>
        <v>298.59030837004406</v>
      </c>
      <c r="F24" s="141">
        <f t="shared" si="4"/>
        <v>14509.530102790015</v>
      </c>
      <c r="G24" s="141">
        <f t="shared" si="5"/>
        <v>-4974.5814977973569</v>
      </c>
    </row>
    <row r="25" spans="1:7" x14ac:dyDescent="0.25">
      <c r="A25" s="141">
        <v>6</v>
      </c>
      <c r="B25" s="188">
        <f t="shared" si="0"/>
        <v>1889.9588839941264</v>
      </c>
      <c r="C25" s="188">
        <f t="shared" si="1"/>
        <v>11339.753303964759</v>
      </c>
      <c r="D25" s="141">
        <f t="shared" si="2"/>
        <v>13016.578560939795</v>
      </c>
      <c r="E25" s="141">
        <f t="shared" si="3"/>
        <v>298.59030837004406</v>
      </c>
      <c r="F25" s="141">
        <f t="shared" si="4"/>
        <v>14808.12041116006</v>
      </c>
      <c r="G25" s="141">
        <f t="shared" si="5"/>
        <v>-3468.3671071953013</v>
      </c>
    </row>
    <row r="26" spans="1:7" x14ac:dyDescent="0.25">
      <c r="A26" s="141">
        <v>7</v>
      </c>
      <c r="B26" s="188">
        <f t="shared" si="0"/>
        <v>1872.928046989721</v>
      </c>
      <c r="C26" s="188">
        <f t="shared" si="1"/>
        <v>13110.496328928048</v>
      </c>
      <c r="D26" s="141">
        <f t="shared" si="2"/>
        <v>13016.578560939795</v>
      </c>
      <c r="E26" s="141">
        <f t="shared" si="3"/>
        <v>298.59030837004406</v>
      </c>
      <c r="F26" s="141">
        <f t="shared" si="4"/>
        <v>15106.710719530103</v>
      </c>
      <c r="G26" s="141">
        <f t="shared" si="5"/>
        <v>-1996.2143906020556</v>
      </c>
    </row>
    <row r="27" spans="1:7" x14ac:dyDescent="0.25">
      <c r="A27" s="141">
        <v>8</v>
      </c>
      <c r="B27" s="188">
        <f t="shared" si="0"/>
        <v>1855.8972099853158</v>
      </c>
      <c r="C27" s="188">
        <f t="shared" si="1"/>
        <v>14847.177679882527</v>
      </c>
      <c r="D27" s="141">
        <f t="shared" si="2"/>
        <v>13016.578560939795</v>
      </c>
      <c r="E27" s="141">
        <f t="shared" si="3"/>
        <v>298.59030837004406</v>
      </c>
      <c r="F27" s="141">
        <f t="shared" si="4"/>
        <v>15405.301027900148</v>
      </c>
      <c r="G27" s="141">
        <f t="shared" si="5"/>
        <v>-558.12334801762154</v>
      </c>
    </row>
    <row r="28" spans="1:7" x14ac:dyDescent="0.25">
      <c r="A28" s="141">
        <v>9</v>
      </c>
      <c r="B28" s="188">
        <f t="shared" si="0"/>
        <v>1838.8663729809105</v>
      </c>
      <c r="C28" s="188">
        <f t="shared" si="1"/>
        <v>16549.797356828196</v>
      </c>
      <c r="D28" s="141">
        <f t="shared" si="2"/>
        <v>13016.578560939795</v>
      </c>
      <c r="E28" s="141">
        <f t="shared" si="3"/>
        <v>298.59030837004406</v>
      </c>
      <c r="F28" s="141">
        <f t="shared" si="4"/>
        <v>15703.891336270191</v>
      </c>
      <c r="G28" s="141">
        <f t="shared" si="5"/>
        <v>845.90602055800446</v>
      </c>
    </row>
    <row r="29" spans="1:7" x14ac:dyDescent="0.25">
      <c r="A29" s="141">
        <v>10</v>
      </c>
      <c r="B29" s="188">
        <f t="shared" si="0"/>
        <v>1821.8355359765051</v>
      </c>
      <c r="C29" s="188">
        <f t="shared" si="1"/>
        <v>18218.35535976505</v>
      </c>
      <c r="D29" s="141">
        <f t="shared" si="2"/>
        <v>13016.578560939795</v>
      </c>
      <c r="E29" s="141">
        <f t="shared" si="3"/>
        <v>298.59030837004406</v>
      </c>
      <c r="F29" s="141">
        <f t="shared" si="4"/>
        <v>16002.481644640236</v>
      </c>
      <c r="G29" s="141">
        <f t="shared" si="5"/>
        <v>2215.8737151248133</v>
      </c>
    </row>
    <row r="30" spans="1:7" x14ac:dyDescent="0.25">
      <c r="A30" s="141">
        <v>11</v>
      </c>
      <c r="B30" s="188">
        <f t="shared" si="0"/>
        <v>1804.8046989720999</v>
      </c>
      <c r="C30" s="188">
        <f t="shared" si="1"/>
        <v>19852.851688693099</v>
      </c>
      <c r="D30" s="141">
        <f t="shared" si="2"/>
        <v>13016.578560939795</v>
      </c>
      <c r="E30" s="141">
        <f t="shared" si="3"/>
        <v>298.59030837004406</v>
      </c>
      <c r="F30" s="141">
        <f t="shared" si="4"/>
        <v>16301.07195301028</v>
      </c>
      <c r="G30" s="141">
        <f t="shared" si="5"/>
        <v>3551.7797356828196</v>
      </c>
    </row>
    <row r="31" spans="1:7" x14ac:dyDescent="0.25">
      <c r="A31" s="141">
        <v>12</v>
      </c>
      <c r="B31" s="188">
        <f t="shared" si="0"/>
        <v>1787.7738619676945</v>
      </c>
      <c r="C31" s="188">
        <f t="shared" si="1"/>
        <v>21453.286343612333</v>
      </c>
      <c r="D31" s="141">
        <f t="shared" si="2"/>
        <v>13016.578560939795</v>
      </c>
      <c r="E31" s="141">
        <f t="shared" si="3"/>
        <v>298.59030837004406</v>
      </c>
      <c r="F31" s="141">
        <f t="shared" si="4"/>
        <v>16599.662261380323</v>
      </c>
      <c r="G31" s="141">
        <f t="shared" si="5"/>
        <v>4853.6240822320106</v>
      </c>
    </row>
    <row r="32" spans="1:7" x14ac:dyDescent="0.25">
      <c r="A32" s="141">
        <v>13</v>
      </c>
      <c r="B32" s="188">
        <f t="shared" si="0"/>
        <v>1770.7430249632894</v>
      </c>
      <c r="C32" s="188">
        <f t="shared" si="1"/>
        <v>23019.659324522763</v>
      </c>
      <c r="D32" s="141">
        <f t="shared" si="2"/>
        <v>13016.578560939795</v>
      </c>
      <c r="E32" s="141">
        <f t="shared" si="3"/>
        <v>298.59030837004406</v>
      </c>
      <c r="F32" s="141">
        <f t="shared" si="4"/>
        <v>16898.252569750366</v>
      </c>
      <c r="G32" s="141">
        <f t="shared" si="5"/>
        <v>6121.4067547723971</v>
      </c>
    </row>
    <row r="33" spans="1:7" x14ac:dyDescent="0.25">
      <c r="A33" s="141">
        <v>14</v>
      </c>
      <c r="B33" s="188">
        <f t="shared" si="0"/>
        <v>1753.712187958884</v>
      </c>
      <c r="C33" s="188">
        <f t="shared" si="1"/>
        <v>24551.970631424374</v>
      </c>
      <c r="D33" s="141">
        <f t="shared" si="2"/>
        <v>13016.578560939795</v>
      </c>
      <c r="E33" s="141">
        <f t="shared" si="3"/>
        <v>298.59030837004406</v>
      </c>
      <c r="F33" s="141">
        <f t="shared" si="4"/>
        <v>17196.842878120413</v>
      </c>
      <c r="G33" s="141">
        <f t="shared" si="5"/>
        <v>7355.1277533039611</v>
      </c>
    </row>
    <row r="34" spans="1:7" x14ac:dyDescent="0.25">
      <c r="A34" s="141">
        <v>15</v>
      </c>
      <c r="B34" s="188">
        <f t="shared" si="0"/>
        <v>1736.6813509544786</v>
      </c>
      <c r="C34" s="188">
        <f t="shared" si="1"/>
        <v>26050.22026431718</v>
      </c>
      <c r="D34" s="141">
        <f t="shared" si="2"/>
        <v>13016.578560939795</v>
      </c>
      <c r="E34" s="141">
        <f t="shared" si="3"/>
        <v>298.59030837004406</v>
      </c>
      <c r="F34" s="141">
        <f t="shared" si="4"/>
        <v>17495.433186490456</v>
      </c>
      <c r="G34" s="141">
        <f t="shared" si="5"/>
        <v>8554.7870778267243</v>
      </c>
    </row>
    <row r="35" spans="1:7" x14ac:dyDescent="0.25">
      <c r="A35" s="141">
        <v>16</v>
      </c>
      <c r="B35" s="188">
        <f t="shared" si="0"/>
        <v>1719.6505139500734</v>
      </c>
      <c r="C35" s="188">
        <f t="shared" si="1"/>
        <v>27514.408223201175</v>
      </c>
      <c r="D35" s="141">
        <f t="shared" si="2"/>
        <v>13016.578560939795</v>
      </c>
      <c r="E35" s="141">
        <f t="shared" si="3"/>
        <v>298.59030837004406</v>
      </c>
      <c r="F35" s="141">
        <f t="shared" si="4"/>
        <v>17794.023494860499</v>
      </c>
      <c r="G35" s="141">
        <f t="shared" si="5"/>
        <v>9720.3847283406758</v>
      </c>
    </row>
    <row r="36" spans="1:7" x14ac:dyDescent="0.25">
      <c r="A36" s="141">
        <v>17</v>
      </c>
      <c r="B36" s="188">
        <f t="shared" si="0"/>
        <v>1702.6196769456683</v>
      </c>
      <c r="C36" s="188">
        <f t="shared" si="1"/>
        <v>28944.534508076362</v>
      </c>
      <c r="D36" s="141">
        <f t="shared" si="2"/>
        <v>13016.578560939795</v>
      </c>
      <c r="E36" s="141">
        <f t="shared" si="3"/>
        <v>298.59030837004406</v>
      </c>
      <c r="F36" s="141">
        <f t="shared" si="4"/>
        <v>18092.613803230546</v>
      </c>
      <c r="G36" s="141">
        <f t="shared" si="5"/>
        <v>10851.920704845816</v>
      </c>
    </row>
    <row r="37" spans="1:7" x14ac:dyDescent="0.25">
      <c r="A37" s="141">
        <v>18</v>
      </c>
      <c r="B37" s="188">
        <f t="shared" si="0"/>
        <v>1685.5888399412629</v>
      </c>
      <c r="C37" s="188">
        <f t="shared" si="1"/>
        <v>30340.599118942733</v>
      </c>
      <c r="D37" s="141">
        <f t="shared" si="2"/>
        <v>13016.578560939795</v>
      </c>
      <c r="E37" s="141">
        <f t="shared" si="3"/>
        <v>298.59030837004406</v>
      </c>
      <c r="F37" s="141">
        <f t="shared" si="4"/>
        <v>18391.204111600589</v>
      </c>
      <c r="G37" s="141">
        <f t="shared" si="5"/>
        <v>11949.395007342144</v>
      </c>
    </row>
    <row r="38" spans="1:7" x14ac:dyDescent="0.25">
      <c r="A38" s="141">
        <v>19</v>
      </c>
      <c r="B38" s="188">
        <f t="shared" si="0"/>
        <v>1668.5580029368575</v>
      </c>
      <c r="C38" s="188">
        <f t="shared" si="1"/>
        <v>31702.602055800293</v>
      </c>
      <c r="D38" s="141">
        <f t="shared" si="2"/>
        <v>13016.578560939795</v>
      </c>
      <c r="E38" s="141">
        <f t="shared" si="3"/>
        <v>298.59030837004406</v>
      </c>
      <c r="F38" s="141">
        <f t="shared" si="4"/>
        <v>18689.794419970633</v>
      </c>
      <c r="G38" s="141">
        <f t="shared" si="5"/>
        <v>13012.80763582966</v>
      </c>
    </row>
    <row r="39" spans="1:7" x14ac:dyDescent="0.25">
      <c r="A39" s="141">
        <v>20</v>
      </c>
      <c r="B39" s="188">
        <f t="shared" si="0"/>
        <v>1651.5271659324524</v>
      </c>
      <c r="C39" s="188">
        <f t="shared" si="1"/>
        <v>33030.543318649048</v>
      </c>
      <c r="D39" s="141">
        <f t="shared" si="2"/>
        <v>13016.578560939795</v>
      </c>
      <c r="E39" s="141">
        <f t="shared" si="3"/>
        <v>298.59030837004406</v>
      </c>
      <c r="F39" s="141">
        <f t="shared" si="4"/>
        <v>18988.384728340676</v>
      </c>
      <c r="G39" s="141">
        <f t="shared" si="5"/>
        <v>14042.158590308372</v>
      </c>
    </row>
    <row r="40" spans="1:7" x14ac:dyDescent="0.25">
      <c r="A40" s="141">
        <v>21</v>
      </c>
      <c r="B40" s="188">
        <f t="shared" si="0"/>
        <v>1634.496328928047</v>
      </c>
      <c r="C40" s="188">
        <f t="shared" si="1"/>
        <v>34324.422907488988</v>
      </c>
      <c r="D40" s="141">
        <f t="shared" si="2"/>
        <v>13016.578560939795</v>
      </c>
      <c r="E40" s="141">
        <f t="shared" si="3"/>
        <v>298.59030837004406</v>
      </c>
      <c r="F40" s="141">
        <f t="shared" si="4"/>
        <v>19286.975036710719</v>
      </c>
      <c r="G40" s="141">
        <f t="shared" si="5"/>
        <v>15037.447870778269</v>
      </c>
    </row>
    <row r="41" spans="1:7" x14ac:dyDescent="0.25">
      <c r="A41" s="141">
        <v>22</v>
      </c>
      <c r="B41" s="188">
        <f t="shared" si="0"/>
        <v>1617.4654919236418</v>
      </c>
      <c r="C41" s="188">
        <f t="shared" si="1"/>
        <v>35584.24082232012</v>
      </c>
      <c r="D41" s="141">
        <f t="shared" si="2"/>
        <v>13016.578560939795</v>
      </c>
      <c r="E41" s="141">
        <f t="shared" si="3"/>
        <v>298.59030837004406</v>
      </c>
      <c r="F41" s="141">
        <f t="shared" si="4"/>
        <v>19585.565345080766</v>
      </c>
      <c r="G41" s="141">
        <f t="shared" si="5"/>
        <v>15998.675477239354</v>
      </c>
    </row>
    <row r="42" spans="1:7" x14ac:dyDescent="0.25">
      <c r="A42" s="141">
        <v>23</v>
      </c>
      <c r="B42" s="188">
        <f t="shared" si="0"/>
        <v>1600.4346549192364</v>
      </c>
      <c r="C42" s="188">
        <f t="shared" si="1"/>
        <v>36809.997063142437</v>
      </c>
      <c r="D42" s="141">
        <f t="shared" si="2"/>
        <v>13016.578560939795</v>
      </c>
      <c r="E42" s="141">
        <f t="shared" si="3"/>
        <v>298.59030837004406</v>
      </c>
      <c r="F42" s="141">
        <f t="shared" si="4"/>
        <v>19884.155653450809</v>
      </c>
      <c r="G42" s="141">
        <f t="shared" si="5"/>
        <v>16925.841409691628</v>
      </c>
    </row>
    <row r="43" spans="1:7" x14ac:dyDescent="0.25">
      <c r="A43" s="141">
        <v>24</v>
      </c>
      <c r="B43" s="188">
        <f t="shared" si="0"/>
        <v>1583.4038179148311</v>
      </c>
      <c r="C43" s="188">
        <f t="shared" si="1"/>
        <v>38001.691629955945</v>
      </c>
      <c r="D43" s="141">
        <f t="shared" si="2"/>
        <v>13016.578560939795</v>
      </c>
      <c r="E43" s="141">
        <f t="shared" si="3"/>
        <v>298.59030837004406</v>
      </c>
      <c r="F43" s="141">
        <f t="shared" si="4"/>
        <v>20182.745961820852</v>
      </c>
      <c r="G43" s="141">
        <f t="shared" si="5"/>
        <v>17818.945668135093</v>
      </c>
    </row>
    <row r="44" spans="1:7" x14ac:dyDescent="0.25">
      <c r="A44" s="141">
        <v>25</v>
      </c>
      <c r="B44" s="188">
        <f t="shared" si="0"/>
        <v>1566.3729809104259</v>
      </c>
      <c r="C44" s="188">
        <f t="shared" si="1"/>
        <v>39159.324522760646</v>
      </c>
      <c r="D44" s="141">
        <f t="shared" si="2"/>
        <v>13016.578560939795</v>
      </c>
      <c r="E44" s="141">
        <f t="shared" si="3"/>
        <v>298.59030837004406</v>
      </c>
      <c r="F44" s="141">
        <f t="shared" si="4"/>
        <v>20481.336270190895</v>
      </c>
      <c r="G44" s="141">
        <f t="shared" si="5"/>
        <v>18677.98825256975</v>
      </c>
    </row>
    <row r="45" spans="1:7" x14ac:dyDescent="0.25">
      <c r="A45" s="141">
        <v>26</v>
      </c>
      <c r="B45" s="188">
        <f t="shared" si="0"/>
        <v>1549.3421439060207</v>
      </c>
      <c r="C45" s="188">
        <f t="shared" si="1"/>
        <v>40282.895741556538</v>
      </c>
      <c r="D45" s="141">
        <f t="shared" si="2"/>
        <v>13016.578560939795</v>
      </c>
      <c r="E45" s="141">
        <f t="shared" si="3"/>
        <v>298.59030837004406</v>
      </c>
      <c r="F45" s="141">
        <f t="shared" si="4"/>
        <v>20779.926578560939</v>
      </c>
      <c r="G45" s="141">
        <f t="shared" si="5"/>
        <v>19502.9691629956</v>
      </c>
    </row>
    <row r="46" spans="1:7" x14ac:dyDescent="0.25">
      <c r="A46" s="141">
        <v>27</v>
      </c>
      <c r="B46" s="188">
        <f t="shared" si="0"/>
        <v>1532.3113069016154</v>
      </c>
      <c r="C46" s="188">
        <f t="shared" si="1"/>
        <v>41372.405286343615</v>
      </c>
      <c r="D46" s="141">
        <f t="shared" si="2"/>
        <v>13016.578560939795</v>
      </c>
      <c r="E46" s="141">
        <f t="shared" si="3"/>
        <v>298.59030837004406</v>
      </c>
      <c r="F46" s="141">
        <f t="shared" si="4"/>
        <v>21078.516886930985</v>
      </c>
      <c r="G46" s="141">
        <f t="shared" si="5"/>
        <v>20293.88839941263</v>
      </c>
    </row>
    <row r="47" spans="1:7" x14ac:dyDescent="0.25">
      <c r="A47" s="141">
        <v>28</v>
      </c>
      <c r="B47" s="188">
        <f t="shared" si="0"/>
        <v>1515.28046989721</v>
      </c>
      <c r="C47" s="188">
        <f t="shared" si="1"/>
        <v>42427.853157121877</v>
      </c>
      <c r="D47" s="141">
        <f t="shared" si="2"/>
        <v>13016.578560939795</v>
      </c>
      <c r="E47" s="141">
        <f t="shared" si="3"/>
        <v>298.59030837004406</v>
      </c>
      <c r="F47" s="141">
        <f t="shared" si="4"/>
        <v>21377.107195301029</v>
      </c>
      <c r="G47" s="141">
        <f t="shared" si="5"/>
        <v>21050.745961820849</v>
      </c>
    </row>
    <row r="48" spans="1:7" x14ac:dyDescent="0.25">
      <c r="A48" s="141">
        <v>29</v>
      </c>
      <c r="B48" s="188">
        <f t="shared" si="0"/>
        <v>1498.2496328928048</v>
      </c>
      <c r="C48" s="188">
        <f t="shared" si="1"/>
        <v>43449.239353891338</v>
      </c>
      <c r="D48" s="141">
        <f t="shared" si="2"/>
        <v>13016.578560939795</v>
      </c>
      <c r="E48" s="141">
        <f t="shared" si="3"/>
        <v>298.59030837004406</v>
      </c>
      <c r="F48" s="141">
        <f t="shared" si="4"/>
        <v>21675.697503671072</v>
      </c>
      <c r="G48" s="141">
        <f t="shared" si="5"/>
        <v>21773.541850220266</v>
      </c>
    </row>
    <row r="49" spans="1:7" x14ac:dyDescent="0.25">
      <c r="A49" s="141">
        <v>30</v>
      </c>
      <c r="B49" s="188">
        <f t="shared" si="0"/>
        <v>1481.2187958883994</v>
      </c>
      <c r="C49" s="188">
        <f t="shared" si="1"/>
        <v>44436.563876651984</v>
      </c>
      <c r="D49" s="141">
        <f t="shared" si="2"/>
        <v>13016.578560939795</v>
      </c>
      <c r="E49" s="141">
        <f t="shared" si="3"/>
        <v>298.59030837004406</v>
      </c>
      <c r="F49" s="141">
        <f t="shared" si="4"/>
        <v>21974.287812041119</v>
      </c>
      <c r="G49" s="141">
        <f t="shared" si="5"/>
        <v>22462.276064610865</v>
      </c>
    </row>
    <row r="50" spans="1:7" x14ac:dyDescent="0.25">
      <c r="A50" s="141">
        <v>31</v>
      </c>
      <c r="B50" s="188">
        <f t="shared" si="0"/>
        <v>1464.1879588839943</v>
      </c>
      <c r="C50" s="188">
        <f t="shared" si="1"/>
        <v>45389.826725403822</v>
      </c>
      <c r="D50" s="141">
        <f t="shared" si="2"/>
        <v>13016.578560939795</v>
      </c>
      <c r="E50" s="141">
        <f t="shared" si="3"/>
        <v>298.59030837004406</v>
      </c>
      <c r="F50" s="141">
        <f t="shared" si="4"/>
        <v>22272.878120411162</v>
      </c>
      <c r="G50" s="141">
        <f t="shared" si="5"/>
        <v>23116.94860499266</v>
      </c>
    </row>
    <row r="51" spans="1:7" x14ac:dyDescent="0.25">
      <c r="A51" s="141">
        <v>32</v>
      </c>
      <c r="B51" s="188">
        <f t="shared" ref="B51:B82" si="6">$E$3+$E$4*A51</f>
        <v>1447.1571218795889</v>
      </c>
      <c r="C51" s="188">
        <f t="shared" ref="C51:C82" si="7">A51*B51</f>
        <v>46309.027900146844</v>
      </c>
      <c r="D51" s="141">
        <f t="shared" ref="D51:D82" si="8">$F$3</f>
        <v>13016.578560939795</v>
      </c>
      <c r="E51" s="141">
        <f t="shared" ref="E51:E82" si="9">$F$4</f>
        <v>298.59030837004406</v>
      </c>
      <c r="F51" s="141">
        <f t="shared" ref="F51:F82" si="10">D51+E51*A51</f>
        <v>22571.468428781205</v>
      </c>
      <c r="G51" s="141">
        <f t="shared" ref="G51:G82" si="11">C51-F51</f>
        <v>23737.559471365639</v>
      </c>
    </row>
    <row r="52" spans="1:7" x14ac:dyDescent="0.25">
      <c r="A52" s="141">
        <v>33</v>
      </c>
      <c r="B52" s="188">
        <f t="shared" si="6"/>
        <v>1430.1262848751835</v>
      </c>
      <c r="C52" s="188">
        <f t="shared" si="7"/>
        <v>47194.167400881059</v>
      </c>
      <c r="D52" s="141">
        <f t="shared" si="8"/>
        <v>13016.578560939795</v>
      </c>
      <c r="E52" s="141">
        <f t="shared" si="9"/>
        <v>298.59030837004406</v>
      </c>
      <c r="F52" s="141">
        <f t="shared" si="10"/>
        <v>22870.058737151248</v>
      </c>
      <c r="G52" s="141">
        <f t="shared" si="11"/>
        <v>24324.10866372981</v>
      </c>
    </row>
    <row r="53" spans="1:7" x14ac:dyDescent="0.25">
      <c r="A53" s="141">
        <v>34</v>
      </c>
      <c r="B53" s="188">
        <f t="shared" si="6"/>
        <v>1413.0954478707783</v>
      </c>
      <c r="C53" s="188">
        <f t="shared" si="7"/>
        <v>48045.245227606465</v>
      </c>
      <c r="D53" s="141">
        <f t="shared" si="8"/>
        <v>13016.578560939795</v>
      </c>
      <c r="E53" s="141">
        <f t="shared" si="9"/>
        <v>298.59030837004406</v>
      </c>
      <c r="F53" s="141">
        <f t="shared" si="10"/>
        <v>23168.649045521292</v>
      </c>
      <c r="G53" s="141">
        <f t="shared" si="11"/>
        <v>24876.596182085173</v>
      </c>
    </row>
    <row r="54" spans="1:7" x14ac:dyDescent="0.25">
      <c r="A54" s="141">
        <v>35</v>
      </c>
      <c r="B54" s="188">
        <f t="shared" si="6"/>
        <v>1396.0646108663732</v>
      </c>
      <c r="C54" s="188">
        <f t="shared" si="7"/>
        <v>48862.261380323063</v>
      </c>
      <c r="D54" s="141">
        <f t="shared" si="8"/>
        <v>13016.578560939795</v>
      </c>
      <c r="E54" s="141">
        <f t="shared" si="9"/>
        <v>298.59030837004406</v>
      </c>
      <c r="F54" s="141">
        <f t="shared" si="10"/>
        <v>23467.239353891338</v>
      </c>
      <c r="G54" s="141">
        <f t="shared" si="11"/>
        <v>25395.022026431725</v>
      </c>
    </row>
    <row r="55" spans="1:7" x14ac:dyDescent="0.25">
      <c r="A55" s="141">
        <v>36</v>
      </c>
      <c r="B55" s="188">
        <f t="shared" si="6"/>
        <v>1379.0337738619678</v>
      </c>
      <c r="C55" s="188">
        <f t="shared" si="7"/>
        <v>49645.215859030839</v>
      </c>
      <c r="D55" s="141">
        <f t="shared" si="8"/>
        <v>13016.578560939795</v>
      </c>
      <c r="E55" s="141">
        <f t="shared" si="9"/>
        <v>298.59030837004406</v>
      </c>
      <c r="F55" s="141">
        <f t="shared" si="10"/>
        <v>23765.829662261382</v>
      </c>
      <c r="G55" s="141">
        <f t="shared" si="11"/>
        <v>25879.386196769457</v>
      </c>
    </row>
    <row r="56" spans="1:7" x14ac:dyDescent="0.25">
      <c r="A56" s="141">
        <v>37</v>
      </c>
      <c r="B56" s="188">
        <f t="shared" si="6"/>
        <v>1362.0029368575624</v>
      </c>
      <c r="C56" s="188">
        <f t="shared" si="7"/>
        <v>50394.108663729807</v>
      </c>
      <c r="D56" s="141">
        <f t="shared" si="8"/>
        <v>13016.578560939795</v>
      </c>
      <c r="E56" s="141">
        <f t="shared" si="9"/>
        <v>298.59030837004406</v>
      </c>
      <c r="F56" s="141">
        <f t="shared" si="10"/>
        <v>24064.419970631425</v>
      </c>
      <c r="G56" s="141">
        <f t="shared" si="11"/>
        <v>26329.688693098382</v>
      </c>
    </row>
    <row r="57" spans="1:7" x14ac:dyDescent="0.25">
      <c r="A57" s="141">
        <v>38</v>
      </c>
      <c r="B57" s="188">
        <f t="shared" si="6"/>
        <v>1344.972099853157</v>
      </c>
      <c r="C57" s="188">
        <f t="shared" si="7"/>
        <v>51108.939794419966</v>
      </c>
      <c r="D57" s="141">
        <f t="shared" si="8"/>
        <v>13016.578560939795</v>
      </c>
      <c r="E57" s="141">
        <f t="shared" si="9"/>
        <v>298.59030837004406</v>
      </c>
      <c r="F57" s="141">
        <f t="shared" si="10"/>
        <v>24363.010279001472</v>
      </c>
      <c r="G57" s="141">
        <f t="shared" si="11"/>
        <v>26745.929515418495</v>
      </c>
    </row>
    <row r="58" spans="1:7" x14ac:dyDescent="0.25">
      <c r="A58" s="141">
        <v>39</v>
      </c>
      <c r="B58" s="188">
        <f t="shared" si="6"/>
        <v>1327.9412628487519</v>
      </c>
      <c r="C58" s="188">
        <f t="shared" si="7"/>
        <v>51789.709251101325</v>
      </c>
      <c r="D58" s="141">
        <f t="shared" si="8"/>
        <v>13016.578560939795</v>
      </c>
      <c r="E58" s="141">
        <f t="shared" si="9"/>
        <v>298.59030837004406</v>
      </c>
      <c r="F58" s="141">
        <f t="shared" si="10"/>
        <v>24661.600587371511</v>
      </c>
      <c r="G58" s="141">
        <f t="shared" si="11"/>
        <v>27128.108663729814</v>
      </c>
    </row>
    <row r="59" spans="1:7" x14ac:dyDescent="0.25">
      <c r="A59" s="141">
        <v>40</v>
      </c>
      <c r="B59" s="188">
        <f t="shared" si="6"/>
        <v>1310.9104258443467</v>
      </c>
      <c r="C59" s="188">
        <f t="shared" si="7"/>
        <v>52436.417033773869</v>
      </c>
      <c r="D59" s="141">
        <f t="shared" si="8"/>
        <v>13016.578560939795</v>
      </c>
      <c r="E59" s="141">
        <f t="shared" si="9"/>
        <v>298.59030837004406</v>
      </c>
      <c r="F59" s="141">
        <f t="shared" si="10"/>
        <v>24960.190895741558</v>
      </c>
      <c r="G59" s="141">
        <f t="shared" si="11"/>
        <v>27476.226138032311</v>
      </c>
    </row>
    <row r="60" spans="1:7" x14ac:dyDescent="0.25">
      <c r="A60" s="141">
        <v>41</v>
      </c>
      <c r="B60" s="188">
        <f t="shared" si="6"/>
        <v>1293.8795888399413</v>
      </c>
      <c r="C60" s="188">
        <f t="shared" si="7"/>
        <v>53049.063142437597</v>
      </c>
      <c r="D60" s="141">
        <f t="shared" si="8"/>
        <v>13016.578560939795</v>
      </c>
      <c r="E60" s="141">
        <f t="shared" si="9"/>
        <v>298.59030837004406</v>
      </c>
      <c r="F60" s="141">
        <f t="shared" si="10"/>
        <v>25258.781204111601</v>
      </c>
      <c r="G60" s="141">
        <f t="shared" si="11"/>
        <v>27790.281938325996</v>
      </c>
    </row>
    <row r="61" spans="1:7" x14ac:dyDescent="0.25">
      <c r="A61" s="141">
        <v>42</v>
      </c>
      <c r="B61" s="188">
        <f t="shared" si="6"/>
        <v>1276.8487518355359</v>
      </c>
      <c r="C61" s="188">
        <f t="shared" si="7"/>
        <v>53627.64757709251</v>
      </c>
      <c r="D61" s="141">
        <f t="shared" si="8"/>
        <v>13016.578560939795</v>
      </c>
      <c r="E61" s="141">
        <f t="shared" si="9"/>
        <v>298.59030837004406</v>
      </c>
      <c r="F61" s="141">
        <f t="shared" si="10"/>
        <v>25557.371512481644</v>
      </c>
      <c r="G61" s="141">
        <f t="shared" si="11"/>
        <v>28070.276064610865</v>
      </c>
    </row>
    <row r="62" spans="1:7" x14ac:dyDescent="0.25">
      <c r="A62" s="141">
        <v>43</v>
      </c>
      <c r="B62" s="188">
        <f t="shared" si="6"/>
        <v>1259.8179148311308</v>
      </c>
      <c r="C62" s="188">
        <f t="shared" si="7"/>
        <v>54172.170337738622</v>
      </c>
      <c r="D62" s="141">
        <f t="shared" si="8"/>
        <v>13016.578560939795</v>
      </c>
      <c r="E62" s="141">
        <f t="shared" si="9"/>
        <v>298.59030837004406</v>
      </c>
      <c r="F62" s="141">
        <f t="shared" si="10"/>
        <v>25855.961820851691</v>
      </c>
      <c r="G62" s="141">
        <f t="shared" si="11"/>
        <v>28316.208516886931</v>
      </c>
    </row>
    <row r="63" spans="1:7" x14ac:dyDescent="0.25">
      <c r="A63" s="141">
        <v>44</v>
      </c>
      <c r="B63" s="188">
        <f t="shared" si="6"/>
        <v>1242.7870778267254</v>
      </c>
      <c r="C63" s="188">
        <f t="shared" si="7"/>
        <v>54682.631424375919</v>
      </c>
      <c r="D63" s="141">
        <f t="shared" si="8"/>
        <v>13016.578560939795</v>
      </c>
      <c r="E63" s="141">
        <f t="shared" si="9"/>
        <v>298.59030837004406</v>
      </c>
      <c r="F63" s="141">
        <f t="shared" si="10"/>
        <v>26154.552129221735</v>
      </c>
      <c r="G63" s="141">
        <f t="shared" si="11"/>
        <v>28528.079295154184</v>
      </c>
    </row>
    <row r="64" spans="1:7" x14ac:dyDescent="0.25">
      <c r="A64" s="141">
        <v>45</v>
      </c>
      <c r="B64" s="188">
        <f t="shared" si="6"/>
        <v>1225.7562408223203</v>
      </c>
      <c r="C64" s="188">
        <f t="shared" si="7"/>
        <v>55159.030837004408</v>
      </c>
      <c r="D64" s="141">
        <f t="shared" si="8"/>
        <v>13016.578560939795</v>
      </c>
      <c r="E64" s="141">
        <f t="shared" si="9"/>
        <v>298.59030837004406</v>
      </c>
      <c r="F64" s="141">
        <f t="shared" si="10"/>
        <v>26453.142437591778</v>
      </c>
      <c r="G64" s="141">
        <f t="shared" si="11"/>
        <v>28705.88839941263</v>
      </c>
    </row>
    <row r="65" spans="1:7" x14ac:dyDescent="0.25">
      <c r="A65" s="141">
        <v>46</v>
      </c>
      <c r="B65" s="188">
        <f t="shared" si="6"/>
        <v>1208.7254038179149</v>
      </c>
      <c r="C65" s="188">
        <f t="shared" si="7"/>
        <v>55601.368575624081</v>
      </c>
      <c r="D65" s="141">
        <f t="shared" si="8"/>
        <v>13016.578560939795</v>
      </c>
      <c r="E65" s="141">
        <f t="shared" si="9"/>
        <v>298.59030837004406</v>
      </c>
      <c r="F65" s="141">
        <f t="shared" si="10"/>
        <v>26751.732745961825</v>
      </c>
      <c r="G65" s="141">
        <f t="shared" si="11"/>
        <v>28849.635829662257</v>
      </c>
    </row>
    <row r="66" spans="1:7" x14ac:dyDescent="0.25">
      <c r="A66" s="141">
        <v>47</v>
      </c>
      <c r="B66" s="188">
        <f t="shared" si="6"/>
        <v>1191.6945668135095</v>
      </c>
      <c r="C66" s="188">
        <f t="shared" si="7"/>
        <v>56009.644640234947</v>
      </c>
      <c r="D66" s="141">
        <f t="shared" si="8"/>
        <v>13016.578560939795</v>
      </c>
      <c r="E66" s="141">
        <f t="shared" si="9"/>
        <v>298.59030837004406</v>
      </c>
      <c r="F66" s="141">
        <f t="shared" si="10"/>
        <v>27050.323054331864</v>
      </c>
      <c r="G66" s="141">
        <f t="shared" si="11"/>
        <v>28959.321585903082</v>
      </c>
    </row>
    <row r="67" spans="1:7" x14ac:dyDescent="0.25">
      <c r="A67" s="141">
        <v>48</v>
      </c>
      <c r="B67" s="188">
        <f t="shared" si="6"/>
        <v>1174.6637298091043</v>
      </c>
      <c r="C67" s="188">
        <f t="shared" si="7"/>
        <v>56383.859030837004</v>
      </c>
      <c r="D67" s="141">
        <f t="shared" si="8"/>
        <v>13016.578560939795</v>
      </c>
      <c r="E67" s="141">
        <f t="shared" si="9"/>
        <v>298.59030837004406</v>
      </c>
      <c r="F67" s="141">
        <f t="shared" si="10"/>
        <v>27348.913362701911</v>
      </c>
      <c r="G67" s="141">
        <f t="shared" si="11"/>
        <v>29034.945668135093</v>
      </c>
    </row>
    <row r="68" spans="1:7" x14ac:dyDescent="0.25">
      <c r="A68" s="141">
        <v>49</v>
      </c>
      <c r="B68" s="188">
        <f t="shared" si="6"/>
        <v>1157.6328928046992</v>
      </c>
      <c r="C68" s="188">
        <f t="shared" si="7"/>
        <v>56724.011747430261</v>
      </c>
      <c r="D68" s="141">
        <f t="shared" si="8"/>
        <v>13016.578560939795</v>
      </c>
      <c r="E68" s="141">
        <f t="shared" si="9"/>
        <v>298.59030837004406</v>
      </c>
      <c r="F68" s="141">
        <f t="shared" si="10"/>
        <v>27647.503671071954</v>
      </c>
      <c r="G68" s="141">
        <f t="shared" si="11"/>
        <v>29076.508076358306</v>
      </c>
    </row>
    <row r="69" spans="1:7" x14ac:dyDescent="0.25">
      <c r="A69" s="141">
        <v>50</v>
      </c>
      <c r="B69" s="188">
        <f t="shared" si="6"/>
        <v>1140.6020558002938</v>
      </c>
      <c r="C69" s="188">
        <f t="shared" si="7"/>
        <v>57030.102790014687</v>
      </c>
      <c r="D69" s="141">
        <f t="shared" si="8"/>
        <v>13016.578560939795</v>
      </c>
      <c r="E69" s="141">
        <f t="shared" si="9"/>
        <v>298.59030837004406</v>
      </c>
      <c r="F69" s="141">
        <f t="shared" si="10"/>
        <v>27946.093979441997</v>
      </c>
      <c r="G69" s="141">
        <f t="shared" si="11"/>
        <v>29084.00881057269</v>
      </c>
    </row>
    <row r="70" spans="1:7" x14ac:dyDescent="0.25">
      <c r="A70" s="141">
        <v>51</v>
      </c>
      <c r="B70" s="188">
        <f t="shared" si="6"/>
        <v>1123.5712187958884</v>
      </c>
      <c r="C70" s="188">
        <f t="shared" si="7"/>
        <v>57302.132158590306</v>
      </c>
      <c r="D70" s="141">
        <f t="shared" si="8"/>
        <v>13016.578560939795</v>
      </c>
      <c r="E70" s="141">
        <f t="shared" si="9"/>
        <v>298.59030837004406</v>
      </c>
      <c r="F70" s="141">
        <f t="shared" si="10"/>
        <v>28244.684287812044</v>
      </c>
      <c r="G70" s="141">
        <f t="shared" si="11"/>
        <v>29057.447870778262</v>
      </c>
    </row>
    <row r="71" spans="1:7" x14ac:dyDescent="0.25">
      <c r="A71" s="141">
        <v>52</v>
      </c>
      <c r="B71" s="188">
        <f t="shared" si="6"/>
        <v>1106.5403817914832</v>
      </c>
      <c r="C71" s="188">
        <f t="shared" si="7"/>
        <v>57540.099853157131</v>
      </c>
      <c r="D71" s="141">
        <f t="shared" si="8"/>
        <v>13016.578560939795</v>
      </c>
      <c r="E71" s="141">
        <f t="shared" si="9"/>
        <v>298.59030837004406</v>
      </c>
      <c r="F71" s="141">
        <f t="shared" si="10"/>
        <v>28543.274596182084</v>
      </c>
      <c r="G71" s="141">
        <f t="shared" si="11"/>
        <v>28996.825256975048</v>
      </c>
    </row>
    <row r="72" spans="1:7" x14ac:dyDescent="0.25">
      <c r="A72" s="141">
        <v>53</v>
      </c>
      <c r="B72" s="188">
        <f t="shared" si="6"/>
        <v>1089.5095447870779</v>
      </c>
      <c r="C72" s="188">
        <f t="shared" si="7"/>
        <v>57744.005873715127</v>
      </c>
      <c r="D72" s="141">
        <f t="shared" si="8"/>
        <v>13016.578560939795</v>
      </c>
      <c r="E72" s="141">
        <f t="shared" si="9"/>
        <v>298.59030837004406</v>
      </c>
      <c r="F72" s="141">
        <f t="shared" si="10"/>
        <v>28841.864904552131</v>
      </c>
      <c r="G72" s="141">
        <f t="shared" si="11"/>
        <v>28902.140969162996</v>
      </c>
    </row>
    <row r="73" spans="1:7" x14ac:dyDescent="0.25">
      <c r="A73" s="141">
        <v>54</v>
      </c>
      <c r="B73" s="188">
        <f t="shared" si="6"/>
        <v>1072.4787077826727</v>
      </c>
      <c r="C73" s="188">
        <f t="shared" si="7"/>
        <v>57913.850220264329</v>
      </c>
      <c r="D73" s="141">
        <f t="shared" si="8"/>
        <v>13016.578560939795</v>
      </c>
      <c r="E73" s="141">
        <f t="shared" si="9"/>
        <v>298.59030837004406</v>
      </c>
      <c r="F73" s="141">
        <f t="shared" si="10"/>
        <v>29140.455212922174</v>
      </c>
      <c r="G73" s="141">
        <f t="shared" si="11"/>
        <v>28773.395007342155</v>
      </c>
    </row>
    <row r="74" spans="1:7" x14ac:dyDescent="0.25">
      <c r="A74" s="141">
        <v>55</v>
      </c>
      <c r="B74" s="188">
        <f t="shared" si="6"/>
        <v>1055.4478707782673</v>
      </c>
      <c r="C74" s="188">
        <f t="shared" si="7"/>
        <v>58049.632892804701</v>
      </c>
      <c r="D74" s="141">
        <f t="shared" si="8"/>
        <v>13016.578560939795</v>
      </c>
      <c r="E74" s="141">
        <f t="shared" si="9"/>
        <v>298.59030837004406</v>
      </c>
      <c r="F74" s="141">
        <f t="shared" si="10"/>
        <v>29439.045521292217</v>
      </c>
      <c r="G74" s="141">
        <f t="shared" si="11"/>
        <v>28610.587371512484</v>
      </c>
    </row>
    <row r="75" spans="1:7" x14ac:dyDescent="0.25">
      <c r="A75" s="141">
        <v>56</v>
      </c>
      <c r="B75" s="188">
        <f t="shared" si="6"/>
        <v>1038.4170337738619</v>
      </c>
      <c r="C75" s="188">
        <f t="shared" si="7"/>
        <v>58151.353891336272</v>
      </c>
      <c r="D75" s="141">
        <f t="shared" si="8"/>
        <v>13016.578560939795</v>
      </c>
      <c r="E75" s="141">
        <f t="shared" si="9"/>
        <v>298.59030837004406</v>
      </c>
      <c r="F75" s="141">
        <f t="shared" si="10"/>
        <v>29737.635829662264</v>
      </c>
      <c r="G75" s="141">
        <f t="shared" si="11"/>
        <v>28413.718061674008</v>
      </c>
    </row>
    <row r="76" spans="1:7" x14ac:dyDescent="0.25">
      <c r="A76" s="141">
        <v>57</v>
      </c>
      <c r="B76" s="188">
        <f t="shared" si="6"/>
        <v>1021.3861967694568</v>
      </c>
      <c r="C76" s="188">
        <f t="shared" si="7"/>
        <v>58219.013215859035</v>
      </c>
      <c r="D76" s="141">
        <f t="shared" si="8"/>
        <v>13016.578560939795</v>
      </c>
      <c r="E76" s="141">
        <f t="shared" si="9"/>
        <v>298.59030837004406</v>
      </c>
      <c r="F76" s="141">
        <f t="shared" si="10"/>
        <v>30036.226138032303</v>
      </c>
      <c r="G76" s="141">
        <f t="shared" si="11"/>
        <v>28182.787077826732</v>
      </c>
    </row>
    <row r="77" spans="1:7" x14ac:dyDescent="0.25">
      <c r="A77" s="141">
        <v>58</v>
      </c>
      <c r="B77" s="188">
        <f t="shared" si="6"/>
        <v>1004.3553597650515</v>
      </c>
      <c r="C77" s="188">
        <f t="shared" si="7"/>
        <v>58252.61086637299</v>
      </c>
      <c r="D77" s="141">
        <f t="shared" si="8"/>
        <v>13016.578560939795</v>
      </c>
      <c r="E77" s="141">
        <f t="shared" si="9"/>
        <v>298.59030837004406</v>
      </c>
      <c r="F77" s="141">
        <f t="shared" si="10"/>
        <v>30334.81644640235</v>
      </c>
      <c r="G77" s="141">
        <f t="shared" si="11"/>
        <v>27917.79441997064</v>
      </c>
    </row>
    <row r="78" spans="1:7" x14ac:dyDescent="0.25">
      <c r="A78" s="141">
        <v>59</v>
      </c>
      <c r="B78" s="188">
        <f t="shared" si="6"/>
        <v>987.32452276064623</v>
      </c>
      <c r="C78" s="188">
        <f t="shared" si="7"/>
        <v>58252.14684287813</v>
      </c>
      <c r="D78" s="141">
        <f t="shared" si="8"/>
        <v>13016.578560939795</v>
      </c>
      <c r="E78" s="141">
        <f t="shared" si="9"/>
        <v>298.59030837004406</v>
      </c>
      <c r="F78" s="141">
        <f t="shared" si="10"/>
        <v>30633.406754772397</v>
      </c>
      <c r="G78" s="141">
        <f t="shared" si="11"/>
        <v>27618.740088105733</v>
      </c>
    </row>
    <row r="79" spans="1:7" x14ac:dyDescent="0.25">
      <c r="A79" s="141">
        <v>60</v>
      </c>
      <c r="B79" s="188">
        <f t="shared" si="6"/>
        <v>970.29368575624085</v>
      </c>
      <c r="C79" s="188">
        <f t="shared" si="7"/>
        <v>58217.621145374447</v>
      </c>
      <c r="D79" s="141">
        <f t="shared" si="8"/>
        <v>13016.578560939795</v>
      </c>
      <c r="E79" s="141">
        <f t="shared" si="9"/>
        <v>298.59030837004406</v>
      </c>
      <c r="F79" s="141">
        <f t="shared" si="10"/>
        <v>30931.997063142437</v>
      </c>
      <c r="G79" s="141">
        <f t="shared" si="11"/>
        <v>27285.624082232011</v>
      </c>
    </row>
    <row r="80" spans="1:7" x14ac:dyDescent="0.25">
      <c r="A80" s="141">
        <v>61</v>
      </c>
      <c r="B80" s="188">
        <f t="shared" si="6"/>
        <v>953.26284875183569</v>
      </c>
      <c r="C80" s="188">
        <f t="shared" si="7"/>
        <v>58149.033773861978</v>
      </c>
      <c r="D80" s="141">
        <f t="shared" si="8"/>
        <v>13016.578560939795</v>
      </c>
      <c r="E80" s="141">
        <f t="shared" si="9"/>
        <v>298.59030837004406</v>
      </c>
      <c r="F80" s="141">
        <f t="shared" si="10"/>
        <v>31230.587371512484</v>
      </c>
      <c r="G80" s="141">
        <f t="shared" si="11"/>
        <v>26918.446402349495</v>
      </c>
    </row>
    <row r="81" spans="1:7" x14ac:dyDescent="0.25">
      <c r="A81" s="141">
        <v>62</v>
      </c>
      <c r="B81" s="188">
        <f t="shared" si="6"/>
        <v>936.23201174743031</v>
      </c>
      <c r="C81" s="188">
        <f t="shared" si="7"/>
        <v>58046.384728340679</v>
      </c>
      <c r="D81" s="141">
        <f t="shared" si="8"/>
        <v>13016.578560939795</v>
      </c>
      <c r="E81" s="141">
        <f t="shared" si="9"/>
        <v>298.59030837004406</v>
      </c>
      <c r="F81" s="141">
        <f t="shared" si="10"/>
        <v>31529.17767988253</v>
      </c>
      <c r="G81" s="141">
        <f t="shared" si="11"/>
        <v>26517.207048458149</v>
      </c>
    </row>
    <row r="82" spans="1:7" x14ac:dyDescent="0.25">
      <c r="A82" s="141">
        <v>63</v>
      </c>
      <c r="B82" s="188">
        <f t="shared" si="6"/>
        <v>919.20117474302515</v>
      </c>
      <c r="C82" s="188">
        <f t="shared" si="7"/>
        <v>57909.674008810587</v>
      </c>
      <c r="D82" s="141">
        <f t="shared" si="8"/>
        <v>13016.578560939795</v>
      </c>
      <c r="E82" s="141">
        <f t="shared" si="9"/>
        <v>298.59030837004406</v>
      </c>
      <c r="F82" s="141">
        <f t="shared" si="10"/>
        <v>31827.76798825257</v>
      </c>
      <c r="G82" s="141">
        <f t="shared" si="11"/>
        <v>26081.906020558017</v>
      </c>
    </row>
    <row r="83" spans="1:7" x14ac:dyDescent="0.25">
      <c r="A83" s="141">
        <v>64</v>
      </c>
      <c r="B83" s="188">
        <f t="shared" ref="B83:B114" si="12">$E$3+$E$4*A83</f>
        <v>902.17033773861976</v>
      </c>
      <c r="C83" s="188">
        <f t="shared" ref="C83:C114" si="13">A83*B83</f>
        <v>57738.901615271665</v>
      </c>
      <c r="D83" s="141">
        <f t="shared" ref="D83:D114" si="14">$F$3</f>
        <v>13016.578560939795</v>
      </c>
      <c r="E83" s="141">
        <f t="shared" ref="E83:E114" si="15">$F$4</f>
        <v>298.59030837004406</v>
      </c>
      <c r="F83" s="141">
        <f t="shared" ref="F83:F114" si="16">D83+E83*A83</f>
        <v>32126.358296622617</v>
      </c>
      <c r="G83" s="141">
        <f t="shared" ref="G83:G114" si="17">C83-F83</f>
        <v>25612.543318649048</v>
      </c>
    </row>
    <row r="84" spans="1:7" x14ac:dyDescent="0.25">
      <c r="A84" s="141">
        <v>65</v>
      </c>
      <c r="B84" s="188">
        <f t="shared" si="12"/>
        <v>885.13950073421438</v>
      </c>
      <c r="C84" s="188">
        <f t="shared" si="13"/>
        <v>57534.067547723935</v>
      </c>
      <c r="D84" s="141">
        <f t="shared" si="14"/>
        <v>13016.578560939795</v>
      </c>
      <c r="E84" s="141">
        <f t="shared" si="15"/>
        <v>298.59030837004406</v>
      </c>
      <c r="F84" s="141">
        <f t="shared" si="16"/>
        <v>32424.948604992656</v>
      </c>
      <c r="G84" s="141">
        <f t="shared" si="17"/>
        <v>25109.118942731278</v>
      </c>
    </row>
    <row r="85" spans="1:7" x14ac:dyDescent="0.25">
      <c r="A85" s="141">
        <v>66</v>
      </c>
      <c r="B85" s="188">
        <f t="shared" si="12"/>
        <v>868.10866372980922</v>
      </c>
      <c r="C85" s="188">
        <f t="shared" si="13"/>
        <v>57295.171806167411</v>
      </c>
      <c r="D85" s="141">
        <f t="shared" si="14"/>
        <v>13016.578560939795</v>
      </c>
      <c r="E85" s="141">
        <f t="shared" si="15"/>
        <v>298.59030837004406</v>
      </c>
      <c r="F85" s="141">
        <f t="shared" si="16"/>
        <v>32723.538913362703</v>
      </c>
      <c r="G85" s="141">
        <f t="shared" si="17"/>
        <v>24571.632892804708</v>
      </c>
    </row>
    <row r="86" spans="1:7" x14ac:dyDescent="0.25">
      <c r="A86" s="141">
        <v>67</v>
      </c>
      <c r="B86" s="188">
        <f t="shared" si="12"/>
        <v>851.07782672540384</v>
      </c>
      <c r="C86" s="188">
        <f t="shared" si="13"/>
        <v>57022.214390602057</v>
      </c>
      <c r="D86" s="141">
        <f t="shared" si="14"/>
        <v>13016.578560939795</v>
      </c>
      <c r="E86" s="141">
        <f t="shared" si="15"/>
        <v>298.59030837004406</v>
      </c>
      <c r="F86" s="141">
        <f t="shared" si="16"/>
        <v>33022.12922173275</v>
      </c>
      <c r="G86" s="141">
        <f t="shared" si="17"/>
        <v>24000.085168869307</v>
      </c>
    </row>
    <row r="87" spans="1:7" x14ac:dyDescent="0.25">
      <c r="A87" s="141">
        <v>68</v>
      </c>
      <c r="B87" s="188">
        <f t="shared" si="12"/>
        <v>834.04698972099868</v>
      </c>
      <c r="C87" s="188">
        <f t="shared" si="13"/>
        <v>56715.19530102791</v>
      </c>
      <c r="D87" s="141">
        <f t="shared" si="14"/>
        <v>13016.578560939795</v>
      </c>
      <c r="E87" s="141">
        <f t="shared" si="15"/>
        <v>298.59030837004406</v>
      </c>
      <c r="F87" s="141">
        <f t="shared" si="16"/>
        <v>33320.71953010279</v>
      </c>
      <c r="G87" s="141">
        <f t="shared" si="17"/>
        <v>23394.475770925121</v>
      </c>
    </row>
    <row r="88" spans="1:7" x14ac:dyDescent="0.25">
      <c r="A88" s="141">
        <v>69</v>
      </c>
      <c r="B88" s="188">
        <f t="shared" si="12"/>
        <v>817.0161527165933</v>
      </c>
      <c r="C88" s="188">
        <f t="shared" si="13"/>
        <v>56374.114537444941</v>
      </c>
      <c r="D88" s="141">
        <f t="shared" si="14"/>
        <v>13016.578560939795</v>
      </c>
      <c r="E88" s="141">
        <f t="shared" si="15"/>
        <v>298.59030837004406</v>
      </c>
      <c r="F88" s="141">
        <f t="shared" si="16"/>
        <v>33619.309838472836</v>
      </c>
      <c r="G88" s="141">
        <f t="shared" si="17"/>
        <v>22754.804698972104</v>
      </c>
    </row>
    <row r="89" spans="1:7" x14ac:dyDescent="0.25">
      <c r="A89" s="141">
        <v>70</v>
      </c>
      <c r="B89" s="188">
        <f t="shared" si="12"/>
        <v>799.98531571218814</v>
      </c>
      <c r="C89" s="188">
        <f t="shared" si="13"/>
        <v>55998.97209985317</v>
      </c>
      <c r="D89" s="141">
        <f t="shared" si="14"/>
        <v>13016.578560939795</v>
      </c>
      <c r="E89" s="141">
        <f t="shared" si="15"/>
        <v>298.59030837004406</v>
      </c>
      <c r="F89" s="141">
        <f t="shared" si="16"/>
        <v>33917.900146842876</v>
      </c>
      <c r="G89" s="141">
        <f t="shared" si="17"/>
        <v>22081.071953010294</v>
      </c>
    </row>
    <row r="90" spans="1:7" x14ac:dyDescent="0.25">
      <c r="A90" s="141">
        <v>71</v>
      </c>
      <c r="B90" s="188">
        <f t="shared" si="12"/>
        <v>782.95447870778276</v>
      </c>
      <c r="C90" s="188">
        <f t="shared" si="13"/>
        <v>55589.767988252577</v>
      </c>
      <c r="D90" s="141">
        <f t="shared" si="14"/>
        <v>13016.578560939795</v>
      </c>
      <c r="E90" s="141">
        <f t="shared" si="15"/>
        <v>298.59030837004406</v>
      </c>
      <c r="F90" s="141">
        <f t="shared" si="16"/>
        <v>34216.490455212923</v>
      </c>
      <c r="G90" s="141">
        <f t="shared" si="17"/>
        <v>21373.277533039654</v>
      </c>
    </row>
    <row r="91" spans="1:7" x14ac:dyDescent="0.25">
      <c r="A91" s="141">
        <v>72</v>
      </c>
      <c r="B91" s="188">
        <f t="shared" si="12"/>
        <v>765.9236417033776</v>
      </c>
      <c r="C91" s="188">
        <f t="shared" si="13"/>
        <v>55146.502202643183</v>
      </c>
      <c r="D91" s="141">
        <f t="shared" si="14"/>
        <v>13016.578560939795</v>
      </c>
      <c r="E91" s="141">
        <f t="shared" si="15"/>
        <v>298.59030837004406</v>
      </c>
      <c r="F91" s="141">
        <f t="shared" si="16"/>
        <v>34515.08076358297</v>
      </c>
      <c r="G91" s="141">
        <f t="shared" si="17"/>
        <v>20631.421439060214</v>
      </c>
    </row>
    <row r="92" spans="1:7" x14ac:dyDescent="0.25">
      <c r="A92" s="141">
        <v>73</v>
      </c>
      <c r="B92" s="188">
        <f t="shared" si="12"/>
        <v>748.89280469897221</v>
      </c>
      <c r="C92" s="188">
        <f t="shared" si="13"/>
        <v>54669.174743024974</v>
      </c>
      <c r="D92" s="141">
        <f t="shared" si="14"/>
        <v>13016.578560939795</v>
      </c>
      <c r="E92" s="141">
        <f t="shared" si="15"/>
        <v>298.59030837004406</v>
      </c>
      <c r="F92" s="141">
        <f t="shared" si="16"/>
        <v>34813.671071953009</v>
      </c>
      <c r="G92" s="141">
        <f t="shared" si="17"/>
        <v>19855.503671071965</v>
      </c>
    </row>
    <row r="93" spans="1:7" x14ac:dyDescent="0.25">
      <c r="A93" s="141">
        <v>74</v>
      </c>
      <c r="B93" s="188">
        <f t="shared" si="12"/>
        <v>731.86196769456683</v>
      </c>
      <c r="C93" s="188">
        <f t="shared" si="13"/>
        <v>54157.785609397943</v>
      </c>
      <c r="D93" s="141">
        <f t="shared" si="14"/>
        <v>13016.578560939795</v>
      </c>
      <c r="E93" s="141">
        <f t="shared" si="15"/>
        <v>298.59030837004406</v>
      </c>
      <c r="F93" s="141">
        <f t="shared" si="16"/>
        <v>35112.261380323056</v>
      </c>
      <c r="G93" s="141">
        <f t="shared" si="17"/>
        <v>19045.524229074887</v>
      </c>
    </row>
    <row r="94" spans="1:7" x14ac:dyDescent="0.25">
      <c r="A94" s="141">
        <v>75</v>
      </c>
      <c r="B94" s="188">
        <f t="shared" si="12"/>
        <v>714.83113069016167</v>
      </c>
      <c r="C94" s="188">
        <f t="shared" si="13"/>
        <v>53612.334801762125</v>
      </c>
      <c r="D94" s="141">
        <f t="shared" si="14"/>
        <v>13016.578560939795</v>
      </c>
      <c r="E94" s="141">
        <f t="shared" si="15"/>
        <v>298.59030837004406</v>
      </c>
      <c r="F94" s="141">
        <f t="shared" si="16"/>
        <v>35410.851688693103</v>
      </c>
      <c r="G94" s="141">
        <f t="shared" si="17"/>
        <v>18201.483113069022</v>
      </c>
    </row>
    <row r="95" spans="1:7" x14ac:dyDescent="0.25">
      <c r="A95" s="141">
        <v>76</v>
      </c>
      <c r="B95" s="188">
        <f t="shared" si="12"/>
        <v>697.80029368575629</v>
      </c>
      <c r="C95" s="188">
        <f t="shared" si="13"/>
        <v>53032.822320117477</v>
      </c>
      <c r="D95" s="141">
        <f t="shared" si="14"/>
        <v>13016.578560939795</v>
      </c>
      <c r="E95" s="141">
        <f t="shared" si="15"/>
        <v>298.59030837004406</v>
      </c>
      <c r="F95" s="141">
        <f t="shared" si="16"/>
        <v>35709.441997063142</v>
      </c>
      <c r="G95" s="141">
        <f t="shared" si="17"/>
        <v>17323.380323054334</v>
      </c>
    </row>
    <row r="96" spans="1:7" x14ac:dyDescent="0.25">
      <c r="A96" s="141">
        <v>77</v>
      </c>
      <c r="B96" s="188">
        <f t="shared" si="12"/>
        <v>680.76945668135113</v>
      </c>
      <c r="C96" s="188">
        <f t="shared" si="13"/>
        <v>52419.248164464036</v>
      </c>
      <c r="D96" s="141">
        <f t="shared" si="14"/>
        <v>13016.578560939795</v>
      </c>
      <c r="E96" s="141">
        <f t="shared" si="15"/>
        <v>298.59030837004406</v>
      </c>
      <c r="F96" s="141">
        <f t="shared" si="16"/>
        <v>36008.032305433189</v>
      </c>
      <c r="G96" s="141">
        <f t="shared" si="17"/>
        <v>16411.215859030846</v>
      </c>
    </row>
    <row r="97" spans="1:7" x14ac:dyDescent="0.25">
      <c r="A97" s="141">
        <v>78</v>
      </c>
      <c r="B97" s="188">
        <f t="shared" si="12"/>
        <v>663.73861967694575</v>
      </c>
      <c r="C97" s="188">
        <f t="shared" si="13"/>
        <v>51771.612334801772</v>
      </c>
      <c r="D97" s="141">
        <f t="shared" si="14"/>
        <v>13016.578560939795</v>
      </c>
      <c r="E97" s="141">
        <f t="shared" si="15"/>
        <v>298.59030837004406</v>
      </c>
      <c r="F97" s="141">
        <f t="shared" si="16"/>
        <v>36306.622613803229</v>
      </c>
      <c r="G97" s="141">
        <f t="shared" si="17"/>
        <v>15464.989720998543</v>
      </c>
    </row>
    <row r="98" spans="1:7" x14ac:dyDescent="0.25">
      <c r="A98" s="141">
        <v>79</v>
      </c>
      <c r="B98" s="188">
        <f t="shared" si="12"/>
        <v>646.70778267254059</v>
      </c>
      <c r="C98" s="188">
        <f t="shared" si="13"/>
        <v>51089.914831130707</v>
      </c>
      <c r="D98" s="141">
        <f t="shared" si="14"/>
        <v>13016.578560939795</v>
      </c>
      <c r="E98" s="141">
        <f t="shared" si="15"/>
        <v>298.59030837004406</v>
      </c>
      <c r="F98" s="141">
        <f t="shared" si="16"/>
        <v>36605.212922173276</v>
      </c>
      <c r="G98" s="141">
        <f t="shared" si="17"/>
        <v>14484.701908957431</v>
      </c>
    </row>
    <row r="99" spans="1:7" x14ac:dyDescent="0.25">
      <c r="A99" s="141">
        <v>80</v>
      </c>
      <c r="B99" s="188">
        <f t="shared" si="12"/>
        <v>629.6769456681352</v>
      </c>
      <c r="C99" s="188">
        <f t="shared" si="13"/>
        <v>50374.155653450813</v>
      </c>
      <c r="D99" s="141">
        <f t="shared" si="14"/>
        <v>13016.578560939795</v>
      </c>
      <c r="E99" s="141">
        <f t="shared" si="15"/>
        <v>298.59030837004406</v>
      </c>
      <c r="F99" s="141">
        <f t="shared" si="16"/>
        <v>36903.803230543323</v>
      </c>
      <c r="G99" s="141">
        <f t="shared" si="17"/>
        <v>13470.35242290749</v>
      </c>
    </row>
    <row r="100" spans="1:7" x14ac:dyDescent="0.25">
      <c r="A100" s="141">
        <v>81</v>
      </c>
      <c r="B100" s="188">
        <f t="shared" si="12"/>
        <v>612.64610866372982</v>
      </c>
      <c r="C100" s="188">
        <f t="shared" si="13"/>
        <v>49624.334801762117</v>
      </c>
      <c r="D100" s="141">
        <f t="shared" si="14"/>
        <v>13016.578560939795</v>
      </c>
      <c r="E100" s="141">
        <f t="shared" si="15"/>
        <v>298.59030837004406</v>
      </c>
      <c r="F100" s="141">
        <f t="shared" si="16"/>
        <v>37202.393538913362</v>
      </c>
      <c r="G100" s="141">
        <f t="shared" si="17"/>
        <v>12421.941262848755</v>
      </c>
    </row>
    <row r="101" spans="1:7" x14ac:dyDescent="0.25">
      <c r="A101" s="141">
        <v>82</v>
      </c>
      <c r="B101" s="188">
        <f t="shared" si="12"/>
        <v>595.61527165932466</v>
      </c>
      <c r="C101" s="188">
        <f t="shared" si="13"/>
        <v>48840.452276064621</v>
      </c>
      <c r="D101" s="141">
        <f t="shared" si="14"/>
        <v>13016.578560939795</v>
      </c>
      <c r="E101" s="141">
        <f t="shared" si="15"/>
        <v>298.59030837004406</v>
      </c>
      <c r="F101" s="141">
        <f t="shared" si="16"/>
        <v>37500.983847283409</v>
      </c>
      <c r="G101" s="141">
        <f t="shared" si="17"/>
        <v>11339.468428781212</v>
      </c>
    </row>
    <row r="102" spans="1:7" x14ac:dyDescent="0.25">
      <c r="A102" s="141">
        <v>83</v>
      </c>
      <c r="B102" s="188">
        <f t="shared" si="12"/>
        <v>578.58443465491928</v>
      </c>
      <c r="C102" s="188">
        <f t="shared" si="13"/>
        <v>48022.508076358303</v>
      </c>
      <c r="D102" s="141">
        <f t="shared" si="14"/>
        <v>13016.578560939795</v>
      </c>
      <c r="E102" s="141">
        <f t="shared" si="15"/>
        <v>298.59030837004406</v>
      </c>
      <c r="F102" s="141">
        <f t="shared" si="16"/>
        <v>37799.574155653449</v>
      </c>
      <c r="G102" s="141">
        <f t="shared" si="17"/>
        <v>10222.933920704854</v>
      </c>
    </row>
    <row r="103" spans="1:7" x14ac:dyDescent="0.25">
      <c r="A103" s="141">
        <v>84</v>
      </c>
      <c r="B103" s="188">
        <f t="shared" si="12"/>
        <v>561.55359765051412</v>
      </c>
      <c r="C103" s="188">
        <f t="shared" si="13"/>
        <v>47170.502202643183</v>
      </c>
      <c r="D103" s="141">
        <f t="shared" si="14"/>
        <v>13016.578560939795</v>
      </c>
      <c r="E103" s="141">
        <f t="shared" si="15"/>
        <v>298.59030837004406</v>
      </c>
      <c r="F103" s="141">
        <f t="shared" si="16"/>
        <v>38098.164464023495</v>
      </c>
      <c r="G103" s="141">
        <f t="shared" si="17"/>
        <v>9072.337738619688</v>
      </c>
    </row>
    <row r="104" spans="1:7" x14ac:dyDescent="0.25">
      <c r="A104" s="141">
        <v>85</v>
      </c>
      <c r="B104" s="188">
        <f t="shared" si="12"/>
        <v>544.52276064610874</v>
      </c>
      <c r="C104" s="188">
        <f t="shared" si="13"/>
        <v>46284.434654919241</v>
      </c>
      <c r="D104" s="141">
        <f t="shared" si="14"/>
        <v>13016.578560939795</v>
      </c>
      <c r="E104" s="141">
        <f t="shared" si="15"/>
        <v>298.59030837004406</v>
      </c>
      <c r="F104" s="141">
        <f t="shared" si="16"/>
        <v>38396.754772393542</v>
      </c>
      <c r="G104" s="141">
        <f t="shared" si="17"/>
        <v>7887.6798825256992</v>
      </c>
    </row>
    <row r="105" spans="1:7" x14ac:dyDescent="0.25">
      <c r="A105" s="141">
        <v>86</v>
      </c>
      <c r="B105" s="188">
        <f t="shared" si="12"/>
        <v>527.49192364170358</v>
      </c>
      <c r="C105" s="188">
        <f t="shared" si="13"/>
        <v>45364.305433186506</v>
      </c>
      <c r="D105" s="141">
        <f t="shared" si="14"/>
        <v>13016.578560939795</v>
      </c>
      <c r="E105" s="141">
        <f t="shared" si="15"/>
        <v>298.59030837004406</v>
      </c>
      <c r="F105" s="141">
        <f t="shared" si="16"/>
        <v>38695.345080763582</v>
      </c>
      <c r="G105" s="141">
        <f t="shared" si="17"/>
        <v>6668.9603524229242</v>
      </c>
    </row>
    <row r="106" spans="1:7" x14ac:dyDescent="0.25">
      <c r="A106" s="141">
        <v>87</v>
      </c>
      <c r="B106" s="188">
        <f t="shared" si="12"/>
        <v>510.46108663729819</v>
      </c>
      <c r="C106" s="188">
        <f t="shared" si="13"/>
        <v>44410.114537444941</v>
      </c>
      <c r="D106" s="141">
        <f t="shared" si="14"/>
        <v>13016.578560939795</v>
      </c>
      <c r="E106" s="141">
        <f t="shared" si="15"/>
        <v>298.59030837004406</v>
      </c>
      <c r="F106" s="141">
        <f t="shared" si="16"/>
        <v>38993.935389133629</v>
      </c>
      <c r="G106" s="141">
        <f t="shared" si="17"/>
        <v>5416.179148311312</v>
      </c>
    </row>
    <row r="107" spans="1:7" x14ac:dyDescent="0.25">
      <c r="A107" s="141">
        <v>88</v>
      </c>
      <c r="B107" s="188">
        <f t="shared" si="12"/>
        <v>493.43024963289281</v>
      </c>
      <c r="C107" s="188">
        <f t="shared" si="13"/>
        <v>43421.861967694567</v>
      </c>
      <c r="D107" s="141">
        <f t="shared" si="14"/>
        <v>13016.578560939795</v>
      </c>
      <c r="E107" s="141">
        <f t="shared" si="15"/>
        <v>298.59030837004406</v>
      </c>
      <c r="F107" s="141">
        <f t="shared" si="16"/>
        <v>39292.525697503675</v>
      </c>
      <c r="G107" s="141">
        <f t="shared" si="17"/>
        <v>4129.3362701908918</v>
      </c>
    </row>
    <row r="108" spans="1:7" x14ac:dyDescent="0.25">
      <c r="A108" s="141">
        <v>89</v>
      </c>
      <c r="B108" s="188">
        <f t="shared" si="12"/>
        <v>476.39941262848765</v>
      </c>
      <c r="C108" s="188">
        <f t="shared" si="13"/>
        <v>42399.5477239354</v>
      </c>
      <c r="D108" s="141">
        <f t="shared" si="14"/>
        <v>13016.578560939795</v>
      </c>
      <c r="E108" s="141">
        <f t="shared" si="15"/>
        <v>298.59030837004406</v>
      </c>
      <c r="F108" s="141">
        <f t="shared" si="16"/>
        <v>39591.116005873715</v>
      </c>
      <c r="G108" s="141">
        <f t="shared" si="17"/>
        <v>2808.4317180616854</v>
      </c>
    </row>
    <row r="109" spans="1:7" x14ac:dyDescent="0.25">
      <c r="A109" s="141">
        <v>90</v>
      </c>
      <c r="B109" s="188">
        <f t="shared" si="12"/>
        <v>459.36857562408227</v>
      </c>
      <c r="C109" s="188">
        <f t="shared" si="13"/>
        <v>41343.171806167404</v>
      </c>
      <c r="D109" s="141">
        <f t="shared" si="14"/>
        <v>13016.578560939795</v>
      </c>
      <c r="E109" s="141">
        <f t="shared" si="15"/>
        <v>298.59030837004406</v>
      </c>
      <c r="F109" s="141">
        <f t="shared" si="16"/>
        <v>39889.706314243762</v>
      </c>
      <c r="G109" s="141">
        <f t="shared" si="17"/>
        <v>1453.4654919236418</v>
      </c>
    </row>
    <row r="110" spans="1:7" x14ac:dyDescent="0.25">
      <c r="A110" s="141">
        <v>91</v>
      </c>
      <c r="B110" s="188">
        <f t="shared" si="12"/>
        <v>442.33773861967711</v>
      </c>
      <c r="C110" s="188">
        <f t="shared" si="13"/>
        <v>40252.734214390613</v>
      </c>
      <c r="D110" s="141">
        <f t="shared" si="14"/>
        <v>13016.578560939795</v>
      </c>
      <c r="E110" s="141">
        <f t="shared" si="15"/>
        <v>298.59030837004406</v>
      </c>
      <c r="F110" s="141">
        <f t="shared" si="16"/>
        <v>40188.296622613801</v>
      </c>
      <c r="G110" s="141">
        <f t="shared" si="17"/>
        <v>64.437591776812042</v>
      </c>
    </row>
    <row r="111" spans="1:7" x14ac:dyDescent="0.25">
      <c r="A111" s="141">
        <v>92</v>
      </c>
      <c r="B111" s="188">
        <f t="shared" si="12"/>
        <v>425.30690161527173</v>
      </c>
      <c r="C111" s="188">
        <f t="shared" si="13"/>
        <v>39128.234948605001</v>
      </c>
      <c r="D111" s="141">
        <f t="shared" si="14"/>
        <v>13016.578560939795</v>
      </c>
      <c r="E111" s="141">
        <f t="shared" si="15"/>
        <v>298.59030837004406</v>
      </c>
      <c r="F111" s="141">
        <f t="shared" si="16"/>
        <v>40486.886930983848</v>
      </c>
      <c r="G111" s="141">
        <f t="shared" si="17"/>
        <v>-1358.6519823788476</v>
      </c>
    </row>
    <row r="112" spans="1:7" x14ac:dyDescent="0.25">
      <c r="A112" s="141">
        <v>93</v>
      </c>
      <c r="B112" s="188">
        <f t="shared" si="12"/>
        <v>408.27606461086657</v>
      </c>
      <c r="C112" s="188">
        <f t="shared" si="13"/>
        <v>37969.674008810594</v>
      </c>
      <c r="D112" s="141">
        <f t="shared" si="14"/>
        <v>13016.578560939795</v>
      </c>
      <c r="E112" s="141">
        <f t="shared" si="15"/>
        <v>298.59030837004406</v>
      </c>
      <c r="F112" s="141">
        <f t="shared" si="16"/>
        <v>40785.477239353895</v>
      </c>
      <c r="G112" s="141">
        <f t="shared" si="17"/>
        <v>-2815.8032305433007</v>
      </c>
    </row>
    <row r="113" spans="1:7" x14ac:dyDescent="0.25">
      <c r="A113" s="141">
        <v>94</v>
      </c>
      <c r="B113" s="188">
        <f t="shared" si="12"/>
        <v>391.24522760646119</v>
      </c>
      <c r="C113" s="188">
        <f t="shared" si="13"/>
        <v>36777.051395007351</v>
      </c>
      <c r="D113" s="141">
        <f t="shared" si="14"/>
        <v>13016.578560939795</v>
      </c>
      <c r="E113" s="141">
        <f t="shared" si="15"/>
        <v>298.59030837004406</v>
      </c>
      <c r="F113" s="141">
        <f t="shared" si="16"/>
        <v>41084.067547723935</v>
      </c>
      <c r="G113" s="141">
        <f t="shared" si="17"/>
        <v>-4307.0161527165837</v>
      </c>
    </row>
    <row r="114" spans="1:7" x14ac:dyDescent="0.25">
      <c r="A114" s="141">
        <v>95</v>
      </c>
      <c r="B114" s="188">
        <f t="shared" si="12"/>
        <v>374.21439060205603</v>
      </c>
      <c r="C114" s="188">
        <f t="shared" si="13"/>
        <v>35550.367107195321</v>
      </c>
      <c r="D114" s="141">
        <f t="shared" si="14"/>
        <v>13016.578560939795</v>
      </c>
      <c r="E114" s="141">
        <f t="shared" si="15"/>
        <v>298.59030837004406</v>
      </c>
      <c r="F114" s="141">
        <f t="shared" si="16"/>
        <v>41382.657856093982</v>
      </c>
      <c r="G114" s="141">
        <f t="shared" si="17"/>
        <v>-5832.2907488986602</v>
      </c>
    </row>
    <row r="115" spans="1:7" x14ac:dyDescent="0.25">
      <c r="A115" s="141">
        <v>96</v>
      </c>
      <c r="B115" s="188">
        <f t="shared" ref="B115:B139" si="18">$E$3+$E$4*A115</f>
        <v>357.18355359765064</v>
      </c>
      <c r="C115" s="188">
        <f t="shared" ref="C115:C139" si="19">A115*B115</f>
        <v>34289.621145374462</v>
      </c>
      <c r="D115" s="141">
        <f t="shared" ref="D115:D139" si="20">$F$3</f>
        <v>13016.578560939795</v>
      </c>
      <c r="E115" s="141">
        <f t="shared" ref="E115:E139" si="21">$F$4</f>
        <v>298.59030837004406</v>
      </c>
      <c r="F115" s="141">
        <f t="shared" ref="F115:F139" si="22">D115+E115*A115</f>
        <v>41681.248164464021</v>
      </c>
      <c r="G115" s="141">
        <f t="shared" ref="G115:G139" si="23">C115-F115</f>
        <v>-7391.6270190895593</v>
      </c>
    </row>
    <row r="116" spans="1:7" x14ac:dyDescent="0.25">
      <c r="A116" s="141">
        <v>97</v>
      </c>
      <c r="B116" s="188">
        <f t="shared" si="18"/>
        <v>340.15271659324526</v>
      </c>
      <c r="C116" s="188">
        <f t="shared" si="19"/>
        <v>32994.813509544787</v>
      </c>
      <c r="D116" s="141">
        <f t="shared" si="20"/>
        <v>13016.578560939795</v>
      </c>
      <c r="E116" s="141">
        <f t="shared" si="21"/>
        <v>298.59030837004406</v>
      </c>
      <c r="F116" s="141">
        <f t="shared" si="22"/>
        <v>41979.838472834068</v>
      </c>
      <c r="G116" s="141">
        <f t="shared" si="23"/>
        <v>-8985.024963289281</v>
      </c>
    </row>
    <row r="117" spans="1:7" x14ac:dyDescent="0.25">
      <c r="A117" s="141">
        <v>98</v>
      </c>
      <c r="B117" s="188">
        <f t="shared" si="18"/>
        <v>323.1218795888401</v>
      </c>
      <c r="C117" s="188">
        <f t="shared" si="19"/>
        <v>31665.94419970633</v>
      </c>
      <c r="D117" s="141">
        <f t="shared" si="20"/>
        <v>13016.578560939795</v>
      </c>
      <c r="E117" s="141">
        <f t="shared" si="21"/>
        <v>298.59030837004406</v>
      </c>
      <c r="F117" s="141">
        <f t="shared" si="22"/>
        <v>42278.428781204115</v>
      </c>
      <c r="G117" s="141">
        <f t="shared" si="23"/>
        <v>-10612.484581497785</v>
      </c>
    </row>
    <row r="118" spans="1:7" x14ac:dyDescent="0.25">
      <c r="A118" s="141">
        <v>99</v>
      </c>
      <c r="B118" s="188">
        <f t="shared" si="18"/>
        <v>306.09104258443472</v>
      </c>
      <c r="C118" s="188">
        <f t="shared" si="19"/>
        <v>30303.013215859039</v>
      </c>
      <c r="D118" s="141">
        <f t="shared" si="20"/>
        <v>13016.578560939795</v>
      </c>
      <c r="E118" s="141">
        <f t="shared" si="21"/>
        <v>298.59030837004406</v>
      </c>
      <c r="F118" s="141">
        <f t="shared" si="22"/>
        <v>42577.019089574154</v>
      </c>
      <c r="G118" s="141">
        <f t="shared" si="23"/>
        <v>-12274.005873715116</v>
      </c>
    </row>
    <row r="119" spans="1:7" x14ac:dyDescent="0.25">
      <c r="A119" s="141">
        <v>100</v>
      </c>
      <c r="B119" s="188">
        <f t="shared" si="18"/>
        <v>289.06020558002956</v>
      </c>
      <c r="C119" s="188">
        <f t="shared" si="19"/>
        <v>28906.020558002958</v>
      </c>
      <c r="D119" s="141">
        <f t="shared" si="20"/>
        <v>13016.578560939795</v>
      </c>
      <c r="E119" s="141">
        <f t="shared" si="21"/>
        <v>298.59030837004406</v>
      </c>
      <c r="F119" s="141">
        <f t="shared" si="22"/>
        <v>42875.609397944201</v>
      </c>
      <c r="G119" s="141">
        <f t="shared" si="23"/>
        <v>-13969.588839941243</v>
      </c>
    </row>
    <row r="120" spans="1:7" x14ac:dyDescent="0.25">
      <c r="A120" s="141">
        <v>101</v>
      </c>
      <c r="B120" s="188">
        <f t="shared" si="18"/>
        <v>272.02936857562418</v>
      </c>
      <c r="C120" s="188">
        <f t="shared" si="19"/>
        <v>27474.966226138044</v>
      </c>
      <c r="D120" s="141">
        <f t="shared" si="20"/>
        <v>13016.578560939795</v>
      </c>
      <c r="E120" s="141">
        <f t="shared" si="21"/>
        <v>298.59030837004406</v>
      </c>
      <c r="F120" s="141">
        <f t="shared" si="22"/>
        <v>43174.199706314248</v>
      </c>
      <c r="G120" s="141">
        <f t="shared" si="23"/>
        <v>-15699.233480176204</v>
      </c>
    </row>
    <row r="121" spans="1:7" x14ac:dyDescent="0.25">
      <c r="A121" s="141">
        <v>102</v>
      </c>
      <c r="B121" s="188">
        <f t="shared" si="18"/>
        <v>254.99853157121902</v>
      </c>
      <c r="C121" s="188">
        <f t="shared" si="19"/>
        <v>26009.850220264339</v>
      </c>
      <c r="D121" s="141">
        <f t="shared" si="20"/>
        <v>13016.578560939795</v>
      </c>
      <c r="E121" s="141">
        <f t="shared" si="21"/>
        <v>298.59030837004406</v>
      </c>
      <c r="F121" s="141">
        <f t="shared" si="22"/>
        <v>43472.790014684288</v>
      </c>
      <c r="G121" s="141">
        <f t="shared" si="23"/>
        <v>-17462.939794419948</v>
      </c>
    </row>
    <row r="122" spans="1:7" x14ac:dyDescent="0.25">
      <c r="A122" s="141">
        <v>103</v>
      </c>
      <c r="B122" s="188">
        <f t="shared" si="18"/>
        <v>237.96769456681363</v>
      </c>
      <c r="C122" s="188">
        <f t="shared" si="19"/>
        <v>24510.672540381805</v>
      </c>
      <c r="D122" s="141">
        <f t="shared" si="20"/>
        <v>13016.578560939795</v>
      </c>
      <c r="E122" s="141">
        <f t="shared" si="21"/>
        <v>298.59030837004406</v>
      </c>
      <c r="F122" s="141">
        <f t="shared" si="22"/>
        <v>43771.380323054334</v>
      </c>
      <c r="G122" s="141">
        <f t="shared" si="23"/>
        <v>-19260.707782672529</v>
      </c>
    </row>
    <row r="123" spans="1:7" x14ac:dyDescent="0.25">
      <c r="A123" s="141">
        <v>104</v>
      </c>
      <c r="B123" s="188">
        <f t="shared" si="18"/>
        <v>220.93685756240848</v>
      </c>
      <c r="C123" s="188">
        <f t="shared" si="19"/>
        <v>22977.433186490482</v>
      </c>
      <c r="D123" s="141">
        <f t="shared" si="20"/>
        <v>13016.578560939795</v>
      </c>
      <c r="E123" s="141">
        <f t="shared" si="21"/>
        <v>298.59030837004406</v>
      </c>
      <c r="F123" s="141">
        <f t="shared" si="22"/>
        <v>44069.970631424374</v>
      </c>
      <c r="G123" s="141">
        <f t="shared" si="23"/>
        <v>-21092.537444933892</v>
      </c>
    </row>
    <row r="124" spans="1:7" x14ac:dyDescent="0.25">
      <c r="A124" s="141">
        <v>105</v>
      </c>
      <c r="B124" s="188">
        <f t="shared" si="18"/>
        <v>203.90602055800309</v>
      </c>
      <c r="C124" s="188">
        <f t="shared" si="19"/>
        <v>21410.132158590324</v>
      </c>
      <c r="D124" s="141">
        <f t="shared" si="20"/>
        <v>13016.578560939795</v>
      </c>
      <c r="E124" s="141">
        <f t="shared" si="21"/>
        <v>298.59030837004406</v>
      </c>
      <c r="F124" s="141">
        <f t="shared" si="22"/>
        <v>44368.560939794421</v>
      </c>
      <c r="G124" s="141">
        <f t="shared" si="23"/>
        <v>-22958.428781204097</v>
      </c>
    </row>
    <row r="125" spans="1:7" x14ac:dyDescent="0.25">
      <c r="A125" s="141">
        <v>106</v>
      </c>
      <c r="B125" s="188">
        <f t="shared" si="18"/>
        <v>186.87518355359771</v>
      </c>
      <c r="C125" s="188">
        <f t="shared" si="19"/>
        <v>19808.769456681359</v>
      </c>
      <c r="D125" s="141">
        <f t="shared" si="20"/>
        <v>13016.578560939795</v>
      </c>
      <c r="E125" s="141">
        <f t="shared" si="21"/>
        <v>298.59030837004406</v>
      </c>
      <c r="F125" s="141">
        <f t="shared" si="22"/>
        <v>44667.151248164468</v>
      </c>
      <c r="G125" s="141">
        <f t="shared" si="23"/>
        <v>-24858.381791483109</v>
      </c>
    </row>
    <row r="126" spans="1:7" x14ac:dyDescent="0.25">
      <c r="A126" s="141">
        <v>107</v>
      </c>
      <c r="B126" s="188">
        <f t="shared" si="18"/>
        <v>169.84434654919255</v>
      </c>
      <c r="C126" s="188">
        <f t="shared" si="19"/>
        <v>18173.345080763604</v>
      </c>
      <c r="D126" s="141">
        <f t="shared" si="20"/>
        <v>13016.578560939795</v>
      </c>
      <c r="E126" s="141">
        <f t="shared" si="21"/>
        <v>298.59030837004406</v>
      </c>
      <c r="F126" s="141">
        <f t="shared" si="22"/>
        <v>44965.741556534507</v>
      </c>
      <c r="G126" s="141">
        <f t="shared" si="23"/>
        <v>-26792.396475770904</v>
      </c>
    </row>
    <row r="127" spans="1:7" x14ac:dyDescent="0.25">
      <c r="A127" s="141">
        <v>108</v>
      </c>
      <c r="B127" s="188">
        <f t="shared" si="18"/>
        <v>152.81350954478717</v>
      </c>
      <c r="C127" s="188">
        <f t="shared" si="19"/>
        <v>16503.859030837015</v>
      </c>
      <c r="D127" s="141">
        <f t="shared" si="20"/>
        <v>13016.578560939795</v>
      </c>
      <c r="E127" s="141">
        <f t="shared" si="21"/>
        <v>298.59030837004406</v>
      </c>
      <c r="F127" s="141">
        <f t="shared" si="22"/>
        <v>45264.331864904554</v>
      </c>
      <c r="G127" s="141">
        <f t="shared" si="23"/>
        <v>-28760.472834067539</v>
      </c>
    </row>
    <row r="128" spans="1:7" x14ac:dyDescent="0.25">
      <c r="A128" s="141">
        <v>109</v>
      </c>
      <c r="B128" s="188">
        <f t="shared" si="18"/>
        <v>135.78267254038201</v>
      </c>
      <c r="C128" s="188">
        <f t="shared" si="19"/>
        <v>14800.31130690164</v>
      </c>
      <c r="D128" s="141">
        <f t="shared" si="20"/>
        <v>13016.578560939795</v>
      </c>
      <c r="E128" s="141">
        <f t="shared" si="21"/>
        <v>298.59030837004406</v>
      </c>
      <c r="F128" s="141">
        <f t="shared" si="22"/>
        <v>45562.922173274601</v>
      </c>
      <c r="G128" s="141">
        <f t="shared" si="23"/>
        <v>-30762.610866372961</v>
      </c>
    </row>
    <row r="129" spans="1:7" x14ac:dyDescent="0.25">
      <c r="A129" s="141">
        <v>110</v>
      </c>
      <c r="B129" s="188">
        <f t="shared" si="18"/>
        <v>118.75183553597662</v>
      </c>
      <c r="C129" s="188">
        <f t="shared" si="19"/>
        <v>13062.701908957428</v>
      </c>
      <c r="D129" s="141">
        <f t="shared" si="20"/>
        <v>13016.578560939795</v>
      </c>
      <c r="E129" s="141">
        <f t="shared" si="21"/>
        <v>298.59030837004406</v>
      </c>
      <c r="F129" s="141">
        <f t="shared" si="22"/>
        <v>45861.512481644641</v>
      </c>
      <c r="G129" s="141">
        <f t="shared" si="23"/>
        <v>-32798.810572687216</v>
      </c>
    </row>
    <row r="130" spans="1:7" x14ac:dyDescent="0.25">
      <c r="A130" s="141">
        <v>111</v>
      </c>
      <c r="B130" s="188">
        <f t="shared" si="18"/>
        <v>101.72099853157147</v>
      </c>
      <c r="C130" s="188">
        <f t="shared" si="19"/>
        <v>11291.030837004433</v>
      </c>
      <c r="D130" s="141">
        <f t="shared" si="20"/>
        <v>13016.578560939795</v>
      </c>
      <c r="E130" s="141">
        <f t="shared" si="21"/>
        <v>298.59030837004406</v>
      </c>
      <c r="F130" s="141">
        <f t="shared" si="22"/>
        <v>46160.102790014687</v>
      </c>
      <c r="G130" s="141">
        <f t="shared" si="23"/>
        <v>-34869.071953010251</v>
      </c>
    </row>
    <row r="131" spans="1:7" x14ac:dyDescent="0.25">
      <c r="A131" s="141">
        <v>112</v>
      </c>
      <c r="B131" s="188">
        <f t="shared" si="18"/>
        <v>84.690161527166083</v>
      </c>
      <c r="C131" s="188">
        <f t="shared" si="19"/>
        <v>9485.2980910426013</v>
      </c>
      <c r="D131" s="141">
        <f t="shared" si="20"/>
        <v>13016.578560939795</v>
      </c>
      <c r="E131" s="141">
        <f t="shared" si="21"/>
        <v>298.59030837004406</v>
      </c>
      <c r="F131" s="141">
        <f t="shared" si="22"/>
        <v>46458.693098384727</v>
      </c>
      <c r="G131" s="141">
        <f t="shared" si="23"/>
        <v>-36973.395007342129</v>
      </c>
    </row>
    <row r="132" spans="1:7" x14ac:dyDescent="0.25">
      <c r="A132" s="141">
        <v>113</v>
      </c>
      <c r="B132" s="188">
        <f t="shared" si="18"/>
        <v>67.659324522760699</v>
      </c>
      <c r="C132" s="188">
        <f t="shared" si="19"/>
        <v>7645.5036710719587</v>
      </c>
      <c r="D132" s="141">
        <f t="shared" si="20"/>
        <v>13016.578560939795</v>
      </c>
      <c r="E132" s="141">
        <f t="shared" si="21"/>
        <v>298.59030837004406</v>
      </c>
      <c r="F132" s="141">
        <f t="shared" si="22"/>
        <v>46757.283406754774</v>
      </c>
      <c r="G132" s="141">
        <f t="shared" si="23"/>
        <v>-39111.779735682816</v>
      </c>
    </row>
    <row r="133" spans="1:7" x14ac:dyDescent="0.25">
      <c r="A133" s="141">
        <v>114</v>
      </c>
      <c r="B133" s="188">
        <f t="shared" si="18"/>
        <v>50.628487518355541</v>
      </c>
      <c r="C133" s="188">
        <f t="shared" si="19"/>
        <v>5771.6475770925317</v>
      </c>
      <c r="D133" s="141">
        <f t="shared" si="20"/>
        <v>13016.578560939795</v>
      </c>
      <c r="E133" s="141">
        <f t="shared" si="21"/>
        <v>298.59030837004406</v>
      </c>
      <c r="F133" s="141">
        <f t="shared" si="22"/>
        <v>47055.873715124813</v>
      </c>
      <c r="G133" s="141">
        <f t="shared" si="23"/>
        <v>-41284.226138032282</v>
      </c>
    </row>
    <row r="134" spans="1:7" x14ac:dyDescent="0.25">
      <c r="A134" s="141">
        <v>115</v>
      </c>
      <c r="B134" s="188">
        <f t="shared" si="18"/>
        <v>33.597650513950157</v>
      </c>
      <c r="C134" s="188">
        <f t="shared" si="19"/>
        <v>3863.729809104268</v>
      </c>
      <c r="D134" s="141">
        <f t="shared" si="20"/>
        <v>13016.578560939795</v>
      </c>
      <c r="E134" s="141">
        <f t="shared" si="21"/>
        <v>298.59030837004406</v>
      </c>
      <c r="F134" s="141">
        <f t="shared" si="22"/>
        <v>47354.46402349486</v>
      </c>
      <c r="G134" s="141">
        <f t="shared" si="23"/>
        <v>-43490.734214390592</v>
      </c>
    </row>
    <row r="135" spans="1:7" x14ac:dyDescent="0.25">
      <c r="A135" s="141">
        <v>116</v>
      </c>
      <c r="B135" s="188">
        <f t="shared" si="18"/>
        <v>16.566813509545</v>
      </c>
      <c r="C135" s="188">
        <f t="shared" si="19"/>
        <v>1921.75036710722</v>
      </c>
      <c r="D135" s="141">
        <f t="shared" si="20"/>
        <v>13016.578560939795</v>
      </c>
      <c r="E135" s="141">
        <f t="shared" si="21"/>
        <v>298.59030837004406</v>
      </c>
      <c r="F135" s="141">
        <f t="shared" si="22"/>
        <v>47653.054331864907</v>
      </c>
      <c r="G135" s="141">
        <f t="shared" si="23"/>
        <v>-45731.303964757688</v>
      </c>
    </row>
    <row r="136" spans="1:7" x14ac:dyDescent="0.25">
      <c r="A136" s="141">
        <v>117</v>
      </c>
      <c r="B136" s="188">
        <f t="shared" si="18"/>
        <v>-0.46402349486038474</v>
      </c>
      <c r="C136" s="188">
        <f t="shared" si="19"/>
        <v>-54.290748898665015</v>
      </c>
      <c r="D136" s="141">
        <f t="shared" si="20"/>
        <v>13016.578560939795</v>
      </c>
      <c r="E136" s="141">
        <f t="shared" si="21"/>
        <v>298.59030837004406</v>
      </c>
      <c r="F136" s="141">
        <f t="shared" si="22"/>
        <v>47951.644640234947</v>
      </c>
      <c r="G136" s="141">
        <f t="shared" si="23"/>
        <v>-48005.935389133614</v>
      </c>
    </row>
    <row r="137" spans="1:7" x14ac:dyDescent="0.25">
      <c r="A137" s="141">
        <v>118</v>
      </c>
      <c r="B137" s="188">
        <f t="shared" si="18"/>
        <v>-17.494860499265542</v>
      </c>
      <c r="C137" s="188">
        <f t="shared" si="19"/>
        <v>-2064.3935389133339</v>
      </c>
      <c r="D137" s="141">
        <f t="shared" si="20"/>
        <v>13016.578560939795</v>
      </c>
      <c r="E137" s="141">
        <f t="shared" si="21"/>
        <v>298.59030837004406</v>
      </c>
      <c r="F137" s="141">
        <f t="shared" si="22"/>
        <v>48250.234948604993</v>
      </c>
      <c r="G137" s="141">
        <f t="shared" si="23"/>
        <v>-50314.628487518326</v>
      </c>
    </row>
    <row r="138" spans="1:7" x14ac:dyDescent="0.25">
      <c r="A138" s="141">
        <v>119</v>
      </c>
      <c r="B138" s="188">
        <f t="shared" si="18"/>
        <v>-34.525697503670926</v>
      </c>
      <c r="C138" s="188">
        <f t="shared" si="19"/>
        <v>-4108.5580029368402</v>
      </c>
      <c r="D138" s="141">
        <f t="shared" si="20"/>
        <v>13016.578560939795</v>
      </c>
      <c r="E138" s="141">
        <f t="shared" si="21"/>
        <v>298.59030837004406</v>
      </c>
      <c r="F138" s="141">
        <f t="shared" si="22"/>
        <v>48548.825256975033</v>
      </c>
      <c r="G138" s="141">
        <f t="shared" si="23"/>
        <v>-52657.383259911876</v>
      </c>
    </row>
    <row r="139" spans="1:7" x14ac:dyDescent="0.25">
      <c r="A139" s="141">
        <v>120</v>
      </c>
      <c r="B139" s="188">
        <f t="shared" si="18"/>
        <v>-51.556534508076311</v>
      </c>
      <c r="C139" s="188">
        <f t="shared" si="19"/>
        <v>-6186.7841409691573</v>
      </c>
      <c r="D139" s="141">
        <f t="shared" si="20"/>
        <v>13016.578560939795</v>
      </c>
      <c r="E139" s="141">
        <f t="shared" si="21"/>
        <v>298.59030837004406</v>
      </c>
      <c r="F139" s="141">
        <f t="shared" si="22"/>
        <v>48847.41556534508</v>
      </c>
      <c r="G139" s="141">
        <f t="shared" si="23"/>
        <v>-55034.199706314233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zoomScale="96" zoomScaleNormal="96" workbookViewId="0">
      <selection activeCell="L26" sqref="L26"/>
    </sheetView>
  </sheetViews>
  <sheetFormatPr defaultRowHeight="15" x14ac:dyDescent="0.25"/>
  <cols>
    <col min="1" max="2" width="4.85546875" customWidth="1"/>
    <col min="3" max="3" width="10" bestFit="1" customWidth="1"/>
    <col min="4" max="5" width="7.85546875" bestFit="1" customWidth="1"/>
    <col min="6" max="8" width="7.85546875" style="3" customWidth="1"/>
    <col min="9" max="9" width="27.140625" bestFit="1" customWidth="1"/>
    <col min="10" max="10" width="18.140625" bestFit="1" customWidth="1"/>
    <col min="11" max="11" width="11.7109375" bestFit="1" customWidth="1"/>
    <col min="12" max="12" width="14.5703125" bestFit="1" customWidth="1"/>
    <col min="13" max="13" width="12" bestFit="1" customWidth="1"/>
    <col min="14" max="14" width="8.85546875" bestFit="1" customWidth="1"/>
    <col min="15" max="15" width="13.42578125" bestFit="1" customWidth="1"/>
    <col min="16" max="16" width="11" bestFit="1" customWidth="1"/>
  </cols>
  <sheetData>
    <row r="1" spans="1:16" ht="15.75" thickBot="1" x14ac:dyDescent="0.3">
      <c r="F1" s="24" t="s">
        <v>55</v>
      </c>
      <c r="G1" s="24" t="s">
        <v>56</v>
      </c>
      <c r="H1" s="24" t="s">
        <v>57</v>
      </c>
      <c r="I1" s="24" t="s">
        <v>58</v>
      </c>
    </row>
    <row r="2" spans="1:16" ht="15.75" thickBot="1" x14ac:dyDescent="0.3">
      <c r="A2" s="16" t="s">
        <v>24</v>
      </c>
      <c r="B2" s="18" t="s">
        <v>0</v>
      </c>
      <c r="C2" s="18" t="s">
        <v>25</v>
      </c>
      <c r="D2" s="17" t="s">
        <v>26</v>
      </c>
      <c r="E2" s="18" t="s">
        <v>54</v>
      </c>
      <c r="F2" s="1">
        <f>AVERAGE(B3:B52)</f>
        <v>51.392857142857146</v>
      </c>
      <c r="G2" s="22">
        <f>SUM(D3:D52)</f>
        <v>337.475369458128</v>
      </c>
      <c r="H2" s="22">
        <f>SUM(E3:E52)</f>
        <v>7260.6785714285706</v>
      </c>
      <c r="I2">
        <f>1-G2/H2</f>
        <v>0.95352013367095956</v>
      </c>
      <c r="J2" t="s">
        <v>27</v>
      </c>
      <c r="P2" t="s">
        <v>42</v>
      </c>
    </row>
    <row r="3" spans="1:16" ht="17.25" thickBot="1" x14ac:dyDescent="0.35">
      <c r="A3" s="19">
        <v>1</v>
      </c>
      <c r="B3" s="58">
        <f>'0.ArdiData28Fixed'!C3</f>
        <v>25</v>
      </c>
      <c r="C3" s="27">
        <f>$K$20+$K$21*A3</f>
        <v>25.113300492610847</v>
      </c>
      <c r="D3" s="20">
        <f>(B3-C3)^2</f>
        <v>1.2837001625860586E-2</v>
      </c>
      <c r="E3" s="28">
        <f>(B3-$F$2)^2</f>
        <v>696.58290816326542</v>
      </c>
      <c r="F3"/>
      <c r="G3"/>
      <c r="H3"/>
    </row>
    <row r="4" spans="1:16" ht="16.5" x14ac:dyDescent="0.3">
      <c r="A4" s="19">
        <v>2</v>
      </c>
      <c r="B4" s="58">
        <f>'0.ArdiData28Fixed'!C4</f>
        <v>28</v>
      </c>
      <c r="C4" s="27">
        <f t="shared" ref="C4:C30" si="0">$K$20+$K$21*A4</f>
        <v>27.059934318555015</v>
      </c>
      <c r="D4" s="20">
        <f t="shared" ref="D4:D30" si="1">(B4-C4)^2</f>
        <v>0.88372348543062329</v>
      </c>
      <c r="E4" s="28">
        <f t="shared" ref="E4:E30" si="2">(B4-$F$2)^2</f>
        <v>547.22576530612264</v>
      </c>
      <c r="F4" s="23"/>
      <c r="G4" s="23"/>
      <c r="H4" s="23"/>
      <c r="J4" s="5" t="s">
        <v>28</v>
      </c>
      <c r="K4" s="5"/>
    </row>
    <row r="5" spans="1:16" ht="16.5" x14ac:dyDescent="0.3">
      <c r="A5" s="19">
        <v>3</v>
      </c>
      <c r="B5" s="58">
        <f>'0.ArdiData28Fixed'!C5</f>
        <v>31</v>
      </c>
      <c r="C5" s="27">
        <f t="shared" si="0"/>
        <v>29.006568144499187</v>
      </c>
      <c r="D5" s="20">
        <f t="shared" si="1"/>
        <v>3.9737705625254125</v>
      </c>
      <c r="E5" s="28">
        <f t="shared" si="2"/>
        <v>415.86862244897969</v>
      </c>
      <c r="F5" s="23"/>
      <c r="G5" s="23"/>
      <c r="H5" s="23"/>
      <c r="I5" s="6" t="s">
        <v>29</v>
      </c>
      <c r="J5" s="7" t="s">
        <v>30</v>
      </c>
      <c r="K5" s="8">
        <v>0.32299932660652342</v>
      </c>
      <c r="L5" s="9">
        <f>CORREL(A3:A30,B3:B30)</f>
        <v>0.97648355524860708</v>
      </c>
    </row>
    <row r="6" spans="1:16" ht="16.5" x14ac:dyDescent="0.3">
      <c r="A6" s="19">
        <v>4</v>
      </c>
      <c r="B6" s="58">
        <f>'0.ArdiData28Fixed'!C6</f>
        <v>33</v>
      </c>
      <c r="C6" s="27">
        <f t="shared" si="0"/>
        <v>30.953201970443356</v>
      </c>
      <c r="D6" s="20">
        <f t="shared" si="1"/>
        <v>4.189382173796961</v>
      </c>
      <c r="E6" s="28">
        <f t="shared" si="2"/>
        <v>338.29719387755114</v>
      </c>
      <c r="F6" s="23"/>
      <c r="G6" s="23"/>
      <c r="H6" s="23"/>
      <c r="I6" s="6" t="s">
        <v>31</v>
      </c>
      <c r="J6" s="7" t="s">
        <v>32</v>
      </c>
      <c r="K6" s="8">
        <v>0.10432856498826758</v>
      </c>
      <c r="L6" s="9">
        <f>L5^2</f>
        <v>0.95352013367095945</v>
      </c>
      <c r="M6" s="32">
        <f>1-G2/H2</f>
        <v>0.95352013367095956</v>
      </c>
    </row>
    <row r="7" spans="1:16" ht="16.5" x14ac:dyDescent="0.3">
      <c r="A7" s="19">
        <v>5</v>
      </c>
      <c r="B7" s="58">
        <f>'0.ArdiData28Fixed'!C7</f>
        <v>35</v>
      </c>
      <c r="C7" s="27">
        <f t="shared" si="0"/>
        <v>32.899835796387528</v>
      </c>
      <c r="D7" s="20">
        <f t="shared" si="1"/>
        <v>4.4106896821352093</v>
      </c>
      <c r="E7" s="28">
        <f t="shared" si="2"/>
        <v>268.72576530612253</v>
      </c>
      <c r="F7" s="23"/>
      <c r="G7" s="23"/>
      <c r="H7" s="23"/>
      <c r="J7" s="10" t="s">
        <v>33</v>
      </c>
      <c r="K7" s="11">
        <v>8.566874342552315E-2</v>
      </c>
    </row>
    <row r="8" spans="1:16" ht="16.5" x14ac:dyDescent="0.3">
      <c r="A8" s="19">
        <v>6</v>
      </c>
      <c r="B8" s="58">
        <f>'0.ArdiData28Fixed'!C8</f>
        <v>39</v>
      </c>
      <c r="C8" s="27">
        <f t="shared" si="0"/>
        <v>34.846469622331696</v>
      </c>
      <c r="D8" s="20">
        <f t="shared" si="1"/>
        <v>17.2518145982134</v>
      </c>
      <c r="E8" s="28">
        <f t="shared" si="2"/>
        <v>153.58290816326539</v>
      </c>
      <c r="F8" s="23"/>
      <c r="G8" s="23"/>
      <c r="H8" s="23"/>
      <c r="J8" s="7" t="s">
        <v>34</v>
      </c>
      <c r="K8" s="8">
        <v>17.721983000572738</v>
      </c>
      <c r="L8" s="9">
        <f>SQRT(SUM(D3:D30)/(COUNT(D3:D30)-2))</f>
        <v>3.6027519901091849</v>
      </c>
    </row>
    <row r="9" spans="1:16" ht="17.25" thickBot="1" x14ac:dyDescent="0.35">
      <c r="A9" s="19">
        <v>7</v>
      </c>
      <c r="B9" s="58">
        <f>'0.ArdiData28Fixed'!C9</f>
        <v>39</v>
      </c>
      <c r="C9" s="27">
        <f t="shared" si="0"/>
        <v>36.793103448275872</v>
      </c>
      <c r="D9" s="20">
        <f t="shared" si="1"/>
        <v>4.8703923900118475</v>
      </c>
      <c r="E9" s="28">
        <f t="shared" si="2"/>
        <v>153.58290816326539</v>
      </c>
      <c r="F9" s="23"/>
      <c r="G9" s="23"/>
      <c r="H9" s="23"/>
      <c r="J9" s="12" t="s">
        <v>35</v>
      </c>
      <c r="K9" s="12">
        <v>50</v>
      </c>
      <c r="L9" s="9">
        <f>COUNT(B3:B30)</f>
        <v>28</v>
      </c>
    </row>
    <row r="10" spans="1:16" ht="16.5" x14ac:dyDescent="0.3">
      <c r="A10" s="19">
        <v>8</v>
      </c>
      <c r="B10" s="58">
        <f>'0.ArdiData28Fixed'!C10</f>
        <v>40</v>
      </c>
      <c r="C10" s="27">
        <f t="shared" si="0"/>
        <v>38.73973727422004</v>
      </c>
      <c r="D10" s="20">
        <f t="shared" si="1"/>
        <v>1.5882621379903339</v>
      </c>
      <c r="E10" s="28">
        <f t="shared" si="2"/>
        <v>129.79719387755108</v>
      </c>
      <c r="F10" s="23"/>
      <c r="G10" s="23"/>
      <c r="H10" s="23"/>
    </row>
    <row r="11" spans="1:16" ht="17.25" thickBot="1" x14ac:dyDescent="0.35">
      <c r="A11" s="19">
        <v>9</v>
      </c>
      <c r="B11" s="58">
        <f>'0.ArdiData28Fixed'!C11</f>
        <v>41</v>
      </c>
      <c r="C11" s="27">
        <f t="shared" si="0"/>
        <v>40.686371100164209</v>
      </c>
      <c r="D11" s="20">
        <f t="shared" si="1"/>
        <v>9.8363086812208775E-2</v>
      </c>
      <c r="E11" s="28">
        <f t="shared" si="2"/>
        <v>108.0114795918368</v>
      </c>
      <c r="F11" s="23"/>
      <c r="G11" s="23"/>
      <c r="H11" s="23"/>
      <c r="J11" t="s">
        <v>36</v>
      </c>
    </row>
    <row r="12" spans="1:16" ht="16.5" x14ac:dyDescent="0.3">
      <c r="A12" s="19">
        <v>10</v>
      </c>
      <c r="B12" s="58">
        <f>'0.ArdiData28Fixed'!C12</f>
        <v>42</v>
      </c>
      <c r="C12" s="27">
        <f t="shared" si="0"/>
        <v>42.633004926108384</v>
      </c>
      <c r="D12" s="20">
        <f t="shared" si="1"/>
        <v>0.40069523647748112</v>
      </c>
      <c r="E12" s="28">
        <f t="shared" si="2"/>
        <v>88.225765306122511</v>
      </c>
      <c r="F12" s="23"/>
      <c r="G12" s="23"/>
      <c r="H12" s="23"/>
      <c r="J12" s="13"/>
      <c r="K12" s="13" t="s">
        <v>37</v>
      </c>
      <c r="L12" s="13" t="s">
        <v>38</v>
      </c>
      <c r="M12" s="13" t="s">
        <v>39</v>
      </c>
      <c r="N12" s="13" t="s">
        <v>40</v>
      </c>
      <c r="O12" s="13" t="s">
        <v>41</v>
      </c>
    </row>
    <row r="13" spans="1:16" ht="16.5" x14ac:dyDescent="0.3">
      <c r="A13" s="19">
        <v>11</v>
      </c>
      <c r="B13" s="58">
        <f>'0.ArdiData28Fixed'!C13</f>
        <v>44</v>
      </c>
      <c r="C13" s="27">
        <f t="shared" si="0"/>
        <v>44.579638752052546</v>
      </c>
      <c r="D13" s="20">
        <f t="shared" si="1"/>
        <v>0.33598108288103251</v>
      </c>
      <c r="E13" s="28">
        <f t="shared" si="2"/>
        <v>54.654336734693921</v>
      </c>
      <c r="F13" s="23"/>
      <c r="G13" s="23"/>
      <c r="H13" s="23"/>
      <c r="J13" s="10" t="s">
        <v>42</v>
      </c>
      <c r="K13" s="25">
        <v>1</v>
      </c>
      <c r="L13" s="29">
        <v>1755.9832893157291</v>
      </c>
      <c r="M13" s="29">
        <v>1755.9832893157291</v>
      </c>
      <c r="N13" s="29">
        <v>5.5910805276169686</v>
      </c>
      <c r="O13" s="29">
        <v>2.2144150363479678E-2</v>
      </c>
    </row>
    <row r="14" spans="1:16" ht="16.5" x14ac:dyDescent="0.3">
      <c r="A14" s="19">
        <v>12</v>
      </c>
      <c r="B14" s="58">
        <f>'0.ArdiData28Fixed'!C14</f>
        <v>46</v>
      </c>
      <c r="C14" s="27">
        <f t="shared" si="0"/>
        <v>46.526272577996721</v>
      </c>
      <c r="D14" s="20">
        <f t="shared" si="1"/>
        <v>0.27696282635131503</v>
      </c>
      <c r="E14" s="28">
        <f t="shared" si="2"/>
        <v>29.082908163265341</v>
      </c>
      <c r="F14" s="23"/>
      <c r="G14" s="23"/>
      <c r="H14" s="23"/>
      <c r="J14" s="10" t="s">
        <v>43</v>
      </c>
      <c r="K14" s="25">
        <v>48</v>
      </c>
      <c r="L14" s="29">
        <v>15075.296710684277</v>
      </c>
      <c r="M14" s="29">
        <v>314.06868147258911</v>
      </c>
      <c r="N14" s="29"/>
      <c r="O14" s="29"/>
    </row>
    <row r="15" spans="1:16" ht="17.25" thickBot="1" x14ac:dyDescent="0.35">
      <c r="A15" s="19">
        <v>13</v>
      </c>
      <c r="B15" s="58">
        <f>'0.ArdiData28Fixed'!C15</f>
        <v>47</v>
      </c>
      <c r="C15" s="27">
        <f t="shared" si="0"/>
        <v>48.47290640394089</v>
      </c>
      <c r="D15" s="20">
        <f t="shared" si="1"/>
        <v>2.1694532747700834</v>
      </c>
      <c r="E15" s="28">
        <f t="shared" si="2"/>
        <v>19.297193877551049</v>
      </c>
      <c r="F15" s="23"/>
      <c r="G15" s="23"/>
      <c r="H15" s="23"/>
      <c r="J15" s="14" t="s">
        <v>44</v>
      </c>
      <c r="K15" s="30">
        <v>49</v>
      </c>
      <c r="L15" s="31">
        <v>16831.280000000006</v>
      </c>
      <c r="M15" s="31"/>
      <c r="N15" s="31"/>
      <c r="O15" s="31"/>
    </row>
    <row r="16" spans="1:16" ht="17.25" thickBot="1" x14ac:dyDescent="0.35">
      <c r="A16" s="19">
        <v>14</v>
      </c>
      <c r="B16" s="58">
        <f>'0.ArdiData28Fixed'!C16</f>
        <v>48</v>
      </c>
      <c r="C16" s="27">
        <f t="shared" si="0"/>
        <v>50.419540229885058</v>
      </c>
      <c r="D16" s="20">
        <f t="shared" si="1"/>
        <v>5.8541749240322396</v>
      </c>
      <c r="E16" s="28">
        <f t="shared" si="2"/>
        <v>11.511479591836755</v>
      </c>
      <c r="F16" s="23"/>
      <c r="G16" s="23"/>
      <c r="H16" s="23"/>
    </row>
    <row r="17" spans="1:16" ht="16.5" x14ac:dyDescent="0.3">
      <c r="A17" s="19">
        <v>15</v>
      </c>
      <c r="B17" s="58">
        <f>'0.ArdiData28Fixed'!C17</f>
        <v>50</v>
      </c>
      <c r="C17" s="27">
        <f t="shared" si="0"/>
        <v>52.366174055829234</v>
      </c>
      <c r="D17" s="20">
        <f t="shared" si="1"/>
        <v>5.5987796624793651</v>
      </c>
      <c r="E17" s="28">
        <f t="shared" si="2"/>
        <v>1.9400510204081718</v>
      </c>
      <c r="F17" s="23"/>
      <c r="G17" s="23"/>
      <c r="H17" s="23"/>
      <c r="J17" s="13"/>
      <c r="K17" s="13" t="s">
        <v>45</v>
      </c>
      <c r="L17" s="13" t="s">
        <v>34</v>
      </c>
      <c r="M17" s="13" t="s">
        <v>46</v>
      </c>
      <c r="N17" s="13" t="s">
        <v>47</v>
      </c>
      <c r="O17" s="13" t="s">
        <v>48</v>
      </c>
      <c r="P17" s="13" t="s">
        <v>49</v>
      </c>
    </row>
    <row r="18" spans="1:16" ht="16.5" x14ac:dyDescent="0.3">
      <c r="A18" s="19">
        <v>16</v>
      </c>
      <c r="B18" s="58">
        <f>'0.ArdiData28Fixed'!C18</f>
        <v>51</v>
      </c>
      <c r="C18" s="27">
        <f t="shared" si="0"/>
        <v>54.312807881773402</v>
      </c>
      <c r="D18" s="20">
        <f t="shared" si="1"/>
        <v>10.974696061539975</v>
      </c>
      <c r="E18" s="28">
        <f t="shared" si="2"/>
        <v>0.15433673469387996</v>
      </c>
      <c r="F18" s="23"/>
      <c r="G18" s="23"/>
      <c r="H18" s="23"/>
      <c r="I18" s="6" t="s">
        <v>50</v>
      </c>
      <c r="J18" s="7" t="s">
        <v>51</v>
      </c>
      <c r="K18" s="11">
        <v>19.408163265306122</v>
      </c>
      <c r="L18" s="29">
        <v>5.0886778547249945</v>
      </c>
      <c r="M18" s="29">
        <v>3.8139893739363053</v>
      </c>
      <c r="N18" s="29">
        <v>3.9045739200275012E-4</v>
      </c>
      <c r="O18" s="29">
        <v>9.1766907002433395</v>
      </c>
      <c r="P18" s="29">
        <v>29.639635830368903</v>
      </c>
    </row>
    <row r="19" spans="1:16" ht="17.25" thickBot="1" x14ac:dyDescent="0.35">
      <c r="A19" s="19">
        <v>17</v>
      </c>
      <c r="B19" s="58">
        <f>'0.ArdiData28Fixed'!C19</f>
        <v>51</v>
      </c>
      <c r="C19" s="27">
        <f t="shared" si="0"/>
        <v>56.259441707717571</v>
      </c>
      <c r="D19" s="20">
        <f t="shared" si="1"/>
        <v>27.661727076879114</v>
      </c>
      <c r="E19" s="28">
        <f t="shared" si="2"/>
        <v>0.15433673469387996</v>
      </c>
      <c r="F19" s="23"/>
      <c r="G19" s="23"/>
      <c r="H19" s="23"/>
      <c r="I19" s="6" t="s">
        <v>52</v>
      </c>
      <c r="J19" s="12" t="s">
        <v>53</v>
      </c>
      <c r="K19" s="15">
        <v>0.41066026410564221</v>
      </c>
      <c r="L19" s="31">
        <v>0.17367400060101817</v>
      </c>
      <c r="M19" s="31">
        <v>2.3645465797097249</v>
      </c>
      <c r="N19" s="33">
        <v>2.2144150363479765E-2</v>
      </c>
      <c r="O19" s="33">
        <v>6.146528200158341E-2</v>
      </c>
      <c r="P19" s="33">
        <v>0.75985524620970102</v>
      </c>
    </row>
    <row r="20" spans="1:16" ht="16.5" x14ac:dyDescent="0.3">
      <c r="A20" s="19">
        <v>18</v>
      </c>
      <c r="B20" s="58">
        <f>'0.ArdiData28Fixed'!C20</f>
        <v>53</v>
      </c>
      <c r="C20" s="27">
        <f t="shared" si="0"/>
        <v>58.206075533661746</v>
      </c>
      <c r="D20" s="20">
        <f t="shared" si="1"/>
        <v>27.103222462191436</v>
      </c>
      <c r="E20" s="28">
        <f t="shared" si="2"/>
        <v>2.5829081632652962</v>
      </c>
      <c r="F20" s="23"/>
      <c r="G20" s="23"/>
      <c r="H20" s="23"/>
      <c r="J20" s="9" t="s">
        <v>51</v>
      </c>
      <c r="K20" s="9">
        <f>INTERCEPT(B3:B30,A3:A30)</f>
        <v>23.166666666666675</v>
      </c>
    </row>
    <row r="21" spans="1:16" ht="16.5" x14ac:dyDescent="0.3">
      <c r="A21" s="19">
        <v>19</v>
      </c>
      <c r="B21" s="58">
        <f>'0.ArdiData28Fixed'!C21</f>
        <v>56</v>
      </c>
      <c r="C21" s="27">
        <f t="shared" si="0"/>
        <v>60.152709359605907</v>
      </c>
      <c r="D21" s="20">
        <f t="shared" si="1"/>
        <v>17.244995025358506</v>
      </c>
      <c r="E21" s="28">
        <f t="shared" si="2"/>
        <v>21.225765306122423</v>
      </c>
      <c r="F21" s="23"/>
      <c r="G21" s="23"/>
      <c r="H21" s="23"/>
      <c r="J21" s="9" t="s">
        <v>53</v>
      </c>
      <c r="K21" s="9">
        <f>SLOPE(B3:B30,A3:A30)</f>
        <v>1.9466338259441704</v>
      </c>
    </row>
    <row r="22" spans="1:16" ht="16.5" x14ac:dyDescent="0.3">
      <c r="A22" s="19">
        <v>20</v>
      </c>
      <c r="B22" s="58">
        <f>'0.ArdiData28Fixed'!C22</f>
        <v>61</v>
      </c>
      <c r="C22" s="27">
        <f t="shared" si="0"/>
        <v>62.099343185550083</v>
      </c>
      <c r="D22" s="20">
        <f t="shared" si="1"/>
        <v>1.2085554396154043</v>
      </c>
      <c r="E22" s="28">
        <f t="shared" si="2"/>
        <v>92.297193877550967</v>
      </c>
      <c r="F22" s="23"/>
      <c r="G22" s="23"/>
      <c r="H22" s="23"/>
      <c r="L22" s="21"/>
    </row>
    <row r="23" spans="1:16" ht="16.5" x14ac:dyDescent="0.3">
      <c r="A23" s="19">
        <v>21</v>
      </c>
      <c r="B23" s="58">
        <f>'0.ArdiData28Fixed'!C23</f>
        <v>62</v>
      </c>
      <c r="C23" s="27">
        <f t="shared" si="0"/>
        <v>64.045977011494259</v>
      </c>
      <c r="D23" s="20">
        <f t="shared" si="1"/>
        <v>4.1860219315629772</v>
      </c>
      <c r="E23" s="28">
        <f t="shared" si="2"/>
        <v>112.51147959183668</v>
      </c>
      <c r="F23" s="23"/>
      <c r="G23" s="23"/>
      <c r="H23" s="23"/>
    </row>
    <row r="24" spans="1:16" ht="16.5" x14ac:dyDescent="0.3">
      <c r="A24" s="19">
        <v>22</v>
      </c>
      <c r="B24" s="58">
        <f>'0.ArdiData28Fixed'!C24</f>
        <v>65</v>
      </c>
      <c r="C24" s="27">
        <f t="shared" si="0"/>
        <v>65.99261083743842</v>
      </c>
      <c r="D24" s="20">
        <f t="shared" si="1"/>
        <v>0.98527627460020129</v>
      </c>
      <c r="E24" s="28">
        <f t="shared" si="2"/>
        <v>185.1543367346938</v>
      </c>
      <c r="F24" s="23"/>
      <c r="G24" s="23"/>
      <c r="H24" s="23"/>
    </row>
    <row r="25" spans="1:16" ht="16.5" x14ac:dyDescent="0.3">
      <c r="A25" s="19">
        <v>23</v>
      </c>
      <c r="B25" s="58">
        <f>'0.ArdiData28Fixed'!C25</f>
        <v>67</v>
      </c>
      <c r="C25" s="27">
        <f t="shared" si="0"/>
        <v>67.939244663382595</v>
      </c>
      <c r="D25" s="20">
        <f t="shared" si="1"/>
        <v>0.88218053769268512</v>
      </c>
      <c r="E25" s="28">
        <f t="shared" si="2"/>
        <v>243.58290816326522</v>
      </c>
      <c r="F25" s="23"/>
      <c r="G25" s="23"/>
      <c r="H25" s="23"/>
    </row>
    <row r="26" spans="1:16" ht="16.5" x14ac:dyDescent="0.3">
      <c r="A26" s="19">
        <v>24</v>
      </c>
      <c r="B26" s="58">
        <f>'0.ArdiData28Fixed'!C26</f>
        <v>69</v>
      </c>
      <c r="C26" s="27">
        <f t="shared" si="0"/>
        <v>69.885878489326771</v>
      </c>
      <c r="D26" s="20">
        <f t="shared" si="1"/>
        <v>0.78478069785188198</v>
      </c>
      <c r="E26" s="28">
        <f t="shared" si="2"/>
        <v>310.01147959183663</v>
      </c>
      <c r="F26" s="23"/>
      <c r="G26" s="23"/>
      <c r="H26" s="23"/>
    </row>
    <row r="27" spans="1:16" ht="16.5" x14ac:dyDescent="0.3">
      <c r="A27" s="19">
        <v>25</v>
      </c>
      <c r="B27" s="58">
        <f>'0.ArdiData28Fixed'!C27</f>
        <v>72</v>
      </c>
      <c r="C27" s="27">
        <f t="shared" si="0"/>
        <v>71.832512315270932</v>
      </c>
      <c r="D27" s="20">
        <f t="shared" si="1"/>
        <v>2.8052124535903548E-2</v>
      </c>
      <c r="E27" s="28">
        <f t="shared" si="2"/>
        <v>424.65433673469374</v>
      </c>
      <c r="F27" s="23"/>
      <c r="G27" s="23"/>
      <c r="H27" s="23"/>
    </row>
    <row r="28" spans="1:16" ht="16.5" x14ac:dyDescent="0.3">
      <c r="A28" s="19">
        <v>26</v>
      </c>
      <c r="B28" s="58">
        <f>'0.ArdiData28Fixed'!C28</f>
        <v>72</v>
      </c>
      <c r="C28" s="27">
        <f t="shared" si="0"/>
        <v>73.779146141215108</v>
      </c>
      <c r="D28" s="20">
        <f t="shared" si="1"/>
        <v>3.1653609918006089</v>
      </c>
      <c r="E28" s="28">
        <f t="shared" si="2"/>
        <v>424.65433673469374</v>
      </c>
      <c r="F28" s="23"/>
      <c r="G28" s="23"/>
      <c r="H28" s="23"/>
    </row>
    <row r="29" spans="1:16" ht="16.5" x14ac:dyDescent="0.3">
      <c r="A29" s="19">
        <v>27</v>
      </c>
      <c r="B29" s="58">
        <f>'0.ArdiData28Fixed'!C29</f>
        <v>82</v>
      </c>
      <c r="C29" s="27">
        <f t="shared" si="0"/>
        <v>75.725779967159284</v>
      </c>
      <c r="D29" s="20">
        <f t="shared" si="1"/>
        <v>39.365837020499761</v>
      </c>
      <c r="E29" s="28">
        <f t="shared" si="2"/>
        <v>936.79719387755085</v>
      </c>
      <c r="F29" s="23"/>
      <c r="G29" s="23"/>
      <c r="H29" s="23"/>
    </row>
    <row r="30" spans="1:16" ht="16.5" x14ac:dyDescent="0.3">
      <c r="A30" s="19">
        <v>28</v>
      </c>
      <c r="B30" s="58">
        <f>'0.ArdiData28Fixed'!C30</f>
        <v>90</v>
      </c>
      <c r="C30" s="27">
        <f t="shared" si="0"/>
        <v>77.672413793103445</v>
      </c>
      <c r="D30" s="20">
        <f t="shared" si="1"/>
        <v>151.9693816884662</v>
      </c>
      <c r="E30" s="28">
        <f t="shared" si="2"/>
        <v>1490.5114795918364</v>
      </c>
      <c r="F30" s="23"/>
      <c r="G30" s="23"/>
      <c r="H30" s="23"/>
    </row>
    <row r="31" spans="1:16" x14ac:dyDescent="0.25">
      <c r="F31"/>
      <c r="G31"/>
      <c r="H31"/>
    </row>
    <row r="32" spans="1:16" x14ac:dyDescent="0.25">
      <c r="F32"/>
      <c r="G32"/>
      <c r="H32"/>
    </row>
    <row r="33" spans="6:8" x14ac:dyDescent="0.25">
      <c r="F33"/>
      <c r="G33"/>
      <c r="H33"/>
    </row>
    <row r="34" spans="6:8" x14ac:dyDescent="0.25">
      <c r="F34"/>
      <c r="G34"/>
      <c r="H34"/>
    </row>
    <row r="35" spans="6:8" x14ac:dyDescent="0.25">
      <c r="F35"/>
      <c r="G35"/>
      <c r="H35"/>
    </row>
    <row r="36" spans="6:8" x14ac:dyDescent="0.25">
      <c r="F36"/>
      <c r="G36"/>
      <c r="H36"/>
    </row>
    <row r="37" spans="6:8" x14ac:dyDescent="0.25">
      <c r="F37"/>
      <c r="G37"/>
      <c r="H37"/>
    </row>
    <row r="38" spans="6:8" x14ac:dyDescent="0.25">
      <c r="F38"/>
      <c r="G38"/>
      <c r="H38"/>
    </row>
    <row r="39" spans="6:8" x14ac:dyDescent="0.25">
      <c r="F39"/>
      <c r="G39"/>
      <c r="H39"/>
    </row>
    <row r="40" spans="6:8" x14ac:dyDescent="0.25">
      <c r="F40"/>
      <c r="G40"/>
      <c r="H40"/>
    </row>
    <row r="41" spans="6:8" x14ac:dyDescent="0.25">
      <c r="F41"/>
      <c r="G41"/>
      <c r="H41"/>
    </row>
    <row r="42" spans="6:8" x14ac:dyDescent="0.25">
      <c r="F42"/>
      <c r="G42"/>
      <c r="H42"/>
    </row>
    <row r="43" spans="6:8" x14ac:dyDescent="0.25">
      <c r="F43"/>
      <c r="G43"/>
      <c r="H43"/>
    </row>
    <row r="44" spans="6:8" x14ac:dyDescent="0.25">
      <c r="F44"/>
      <c r="G44"/>
      <c r="H44"/>
    </row>
    <row r="45" spans="6:8" x14ac:dyDescent="0.25">
      <c r="F45"/>
      <c r="G45"/>
      <c r="H45"/>
    </row>
    <row r="46" spans="6:8" x14ac:dyDescent="0.25">
      <c r="F46"/>
      <c r="G46"/>
      <c r="H46"/>
    </row>
    <row r="47" spans="6:8" x14ac:dyDescent="0.25">
      <c r="F47"/>
      <c r="G47"/>
      <c r="H47"/>
    </row>
    <row r="48" spans="6:8" x14ac:dyDescent="0.25">
      <c r="F48"/>
      <c r="G48"/>
      <c r="H48"/>
    </row>
    <row r="49" spans="6:9" x14ac:dyDescent="0.25">
      <c r="F49"/>
      <c r="G49"/>
      <c r="H49"/>
    </row>
    <row r="50" spans="6:9" x14ac:dyDescent="0.25">
      <c r="F50"/>
      <c r="G50"/>
      <c r="H50"/>
    </row>
    <row r="51" spans="6:9" x14ac:dyDescent="0.25">
      <c r="F51"/>
      <c r="G51"/>
      <c r="H51"/>
    </row>
    <row r="52" spans="6:9" x14ac:dyDescent="0.25">
      <c r="F52"/>
      <c r="G52"/>
      <c r="H52"/>
    </row>
    <row r="53" spans="6:9" ht="15.75" customHeight="1" x14ac:dyDescent="0.25">
      <c r="F53"/>
      <c r="G53"/>
      <c r="H53"/>
      <c r="I53" s="22">
        <f>1-G2/H2</f>
        <v>0.95352013367095956</v>
      </c>
    </row>
    <row r="54" spans="6:9" x14ac:dyDescent="0.25">
      <c r="F54"/>
      <c r="G54"/>
      <c r="H54"/>
    </row>
    <row r="55" spans="6:9" x14ac:dyDescent="0.25">
      <c r="F55"/>
      <c r="G55"/>
      <c r="H55"/>
    </row>
    <row r="56" spans="6:9" x14ac:dyDescent="0.25">
      <c r="F56"/>
      <c r="G56"/>
      <c r="H56"/>
    </row>
    <row r="57" spans="6:9" x14ac:dyDescent="0.25">
      <c r="F57"/>
      <c r="G57"/>
      <c r="H57"/>
    </row>
    <row r="58" spans="6:9" x14ac:dyDescent="0.25">
      <c r="F58"/>
      <c r="G58"/>
      <c r="H58"/>
    </row>
    <row r="59" spans="6:9" x14ac:dyDescent="0.25">
      <c r="F59"/>
      <c r="G59"/>
      <c r="H59"/>
    </row>
    <row r="60" spans="6:9" x14ac:dyDescent="0.25">
      <c r="F60"/>
      <c r="G60"/>
      <c r="H60"/>
    </row>
    <row r="61" spans="6:9" x14ac:dyDescent="0.25">
      <c r="F61"/>
      <c r="G61"/>
      <c r="H61"/>
    </row>
    <row r="62" spans="6:9" x14ac:dyDescent="0.25">
      <c r="F62"/>
      <c r="G62"/>
      <c r="H62"/>
    </row>
    <row r="63" spans="6:9" x14ac:dyDescent="0.25">
      <c r="F63"/>
      <c r="G63"/>
      <c r="H63"/>
    </row>
    <row r="64" spans="6:9" x14ac:dyDescent="0.25">
      <c r="F64"/>
      <c r="G64"/>
      <c r="H64"/>
    </row>
    <row r="65" spans="6:8" x14ac:dyDescent="0.25">
      <c r="F65"/>
      <c r="G65"/>
      <c r="H65"/>
    </row>
    <row r="66" spans="6:8" x14ac:dyDescent="0.25">
      <c r="F66"/>
      <c r="G66"/>
      <c r="H66"/>
    </row>
    <row r="67" spans="6:8" x14ac:dyDescent="0.25">
      <c r="F67"/>
      <c r="G67"/>
      <c r="H67"/>
    </row>
    <row r="68" spans="6:8" x14ac:dyDescent="0.25">
      <c r="F68"/>
      <c r="G68"/>
      <c r="H68"/>
    </row>
    <row r="69" spans="6:8" x14ac:dyDescent="0.25">
      <c r="F69"/>
      <c r="G69"/>
      <c r="H69"/>
    </row>
    <row r="70" spans="6:8" x14ac:dyDescent="0.25">
      <c r="F70"/>
      <c r="G70"/>
      <c r="H70"/>
    </row>
    <row r="71" spans="6:8" x14ac:dyDescent="0.25">
      <c r="F71"/>
      <c r="G71"/>
      <c r="H71"/>
    </row>
    <row r="72" spans="6:8" x14ac:dyDescent="0.25">
      <c r="F72"/>
      <c r="G72"/>
      <c r="H72"/>
    </row>
    <row r="73" spans="6:8" x14ac:dyDescent="0.25">
      <c r="F73"/>
      <c r="G73"/>
      <c r="H73"/>
    </row>
    <row r="74" spans="6:8" x14ac:dyDescent="0.25">
      <c r="F74"/>
      <c r="G74"/>
      <c r="H7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BB22-7057-4168-8308-62A03356289B}">
  <dimension ref="A1:T58"/>
  <sheetViews>
    <sheetView zoomScale="95" zoomScaleNormal="95" workbookViewId="0">
      <selection activeCell="A32" sqref="A32"/>
    </sheetView>
  </sheetViews>
  <sheetFormatPr defaultColWidth="9.140625" defaultRowHeight="15.75" x14ac:dyDescent="0.25"/>
  <cols>
    <col min="1" max="1" width="9.140625" style="141"/>
    <col min="2" max="2" width="6.7109375" style="141" bestFit="1" customWidth="1"/>
    <col min="3" max="3" width="20" style="141" bestFit="1" customWidth="1"/>
    <col min="4" max="6" width="19.5703125" style="141" customWidth="1"/>
    <col min="7" max="7" width="22.28515625" style="142" bestFit="1" customWidth="1"/>
    <col min="8" max="8" width="19.85546875" style="142" customWidth="1"/>
    <col min="9" max="9" width="14.5703125" style="142" customWidth="1"/>
    <col min="10" max="10" width="9" style="142" bestFit="1" customWidth="1"/>
    <col min="11" max="11" width="12.42578125" style="142" bestFit="1" customWidth="1"/>
    <col min="12" max="12" width="8" style="142" bestFit="1" customWidth="1"/>
    <col min="13" max="14" width="11.42578125" style="142" customWidth="1"/>
    <col min="15" max="15" width="15.42578125" style="141" bestFit="1" customWidth="1"/>
    <col min="16" max="16384" width="9.140625" style="141"/>
  </cols>
  <sheetData>
    <row r="1" spans="1:20" ht="16.5" x14ac:dyDescent="0.3">
      <c r="A1" s="142" t="s">
        <v>146</v>
      </c>
      <c r="B1" s="167" t="s">
        <v>0</v>
      </c>
      <c r="C1" s="26" t="s">
        <v>100</v>
      </c>
      <c r="D1" s="26" t="s">
        <v>193</v>
      </c>
      <c r="E1" s="26" t="s">
        <v>102</v>
      </c>
      <c r="F1" s="26" t="s">
        <v>192</v>
      </c>
      <c r="G1" s="26" t="s">
        <v>191</v>
      </c>
      <c r="H1" s="141"/>
      <c r="I1" s="141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16.5" x14ac:dyDescent="0.3">
      <c r="A2" s="147">
        <v>1</v>
      </c>
      <c r="B2" s="148">
        <f>'1.RegLineDataAnalyFormula'!B2</f>
        <v>21</v>
      </c>
      <c r="C2" s="26">
        <f t="shared" ref="C2:C31" si="0">$J$2+$J$3*A2</f>
        <v>24.450738915028023</v>
      </c>
      <c r="D2" s="26">
        <f t="shared" ref="D2:D29" si="1">(B2-C2)^2</f>
        <v>11.907599059688774</v>
      </c>
      <c r="E2" s="26">
        <f>AVERAGE(D$2:D2)</f>
        <v>11.907599059688774</v>
      </c>
      <c r="F2" s="26">
        <f t="shared" ref="F2:F29" si="2">AVERAGE($B$2:$B$29)</f>
        <v>48.642857142857146</v>
      </c>
      <c r="G2" s="26">
        <f t="shared" ref="G2:G29" si="3">(B2-$J$7)^2</f>
        <v>764.1275510204083</v>
      </c>
      <c r="H2" s="141"/>
      <c r="I2" s="26" t="s">
        <v>50</v>
      </c>
      <c r="J2" s="26">
        <v>22.658730158934503</v>
      </c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16.5" x14ac:dyDescent="0.3">
      <c r="A3" s="147">
        <v>2</v>
      </c>
      <c r="B3" s="148">
        <f>'1.RegLineDataAnalyFormula'!B3</f>
        <v>28</v>
      </c>
      <c r="C3" s="26">
        <f t="shared" si="0"/>
        <v>26.242747671121542</v>
      </c>
      <c r="D3" s="26">
        <f t="shared" si="1"/>
        <v>3.0879357473487645</v>
      </c>
      <c r="E3" s="26">
        <f>AVERAGE(D$2:D3)</f>
        <v>7.4977674035187691</v>
      </c>
      <c r="F3" s="26">
        <f t="shared" si="2"/>
        <v>48.642857142857146</v>
      </c>
      <c r="G3" s="26">
        <f t="shared" si="3"/>
        <v>426.1275510204083</v>
      </c>
      <c r="H3" s="141"/>
      <c r="I3" s="26" t="s">
        <v>52</v>
      </c>
      <c r="J3" s="26">
        <v>1.7920087560935187</v>
      </c>
      <c r="K3" s="141"/>
      <c r="L3" s="141"/>
      <c r="M3" s="26"/>
      <c r="N3" s="26"/>
      <c r="O3" s="26"/>
      <c r="P3" s="26"/>
      <c r="Q3" s="26"/>
      <c r="R3" s="26"/>
      <c r="S3" s="26"/>
      <c r="T3" s="26"/>
    </row>
    <row r="4" spans="1:20" ht="16.5" x14ac:dyDescent="0.3">
      <c r="A4" s="147">
        <v>3</v>
      </c>
      <c r="B4" s="148">
        <f>'1.RegLineDataAnalyFormula'!B4</f>
        <v>32</v>
      </c>
      <c r="C4" s="26">
        <f t="shared" si="0"/>
        <v>28.034756427215058</v>
      </c>
      <c r="D4" s="26">
        <f t="shared" si="1"/>
        <v>15.723156591512293</v>
      </c>
      <c r="E4" s="26">
        <f>AVERAGE(D$2:D4)</f>
        <v>10.23956379951661</v>
      </c>
      <c r="F4" s="26">
        <f t="shared" si="2"/>
        <v>48.642857142857146</v>
      </c>
      <c r="G4" s="26">
        <f t="shared" si="3"/>
        <v>276.98469387755114</v>
      </c>
      <c r="H4" s="141"/>
      <c r="I4" s="26" t="s">
        <v>190</v>
      </c>
      <c r="J4" s="187">
        <f>SUM(D2:D29)</f>
        <v>677.39189928845087</v>
      </c>
      <c r="K4" s="141"/>
      <c r="L4" s="141"/>
      <c r="M4" s="26"/>
      <c r="N4" s="26"/>
      <c r="O4" s="26"/>
      <c r="P4" s="26"/>
      <c r="Q4" s="26"/>
      <c r="R4" s="26"/>
      <c r="S4" s="26"/>
    </row>
    <row r="5" spans="1:20" ht="16.5" x14ac:dyDescent="0.3">
      <c r="A5" s="147">
        <v>4</v>
      </c>
      <c r="B5" s="148">
        <f>'1.RegLineDataAnalyFormula'!B5</f>
        <v>34</v>
      </c>
      <c r="C5" s="26">
        <f t="shared" si="0"/>
        <v>29.826765183308577</v>
      </c>
      <c r="D5" s="26">
        <f t="shared" si="1"/>
        <v>17.415888835245493</v>
      </c>
      <c r="E5" s="26">
        <f>AVERAGE(D$2:D5)</f>
        <v>12.03364505844883</v>
      </c>
      <c r="F5" s="26">
        <f t="shared" si="2"/>
        <v>48.642857142857146</v>
      </c>
      <c r="G5" s="26">
        <f t="shared" si="3"/>
        <v>214.41326530612253</v>
      </c>
      <c r="H5" s="141"/>
      <c r="I5" s="26" t="s">
        <v>189</v>
      </c>
      <c r="J5" s="187">
        <f>J4/(A29-2)</f>
        <v>26.053534588017342</v>
      </c>
      <c r="K5" s="141"/>
      <c r="L5" s="141"/>
      <c r="M5" s="26"/>
      <c r="N5" s="26"/>
      <c r="O5" s="26"/>
      <c r="P5" s="26"/>
      <c r="Q5" s="26"/>
      <c r="R5" s="26"/>
      <c r="S5" s="26"/>
    </row>
    <row r="6" spans="1:20" ht="16.5" x14ac:dyDescent="0.3">
      <c r="A6" s="147">
        <v>5</v>
      </c>
      <c r="B6" s="148">
        <f>'1.RegLineDataAnalyFormula'!B6</f>
        <v>36</v>
      </c>
      <c r="C6" s="26">
        <f t="shared" si="0"/>
        <v>31.618773939402097</v>
      </c>
      <c r="D6" s="26">
        <f t="shared" si="1"/>
        <v>19.195141794062224</v>
      </c>
      <c r="E6" s="26">
        <f>AVERAGE(D$2:D6)</f>
        <v>13.465944405571509</v>
      </c>
      <c r="F6" s="26">
        <f t="shared" si="2"/>
        <v>48.642857142857146</v>
      </c>
      <c r="G6" s="26">
        <f t="shared" si="3"/>
        <v>159.84183673469394</v>
      </c>
      <c r="H6" s="141"/>
      <c r="I6" s="26" t="s">
        <v>34</v>
      </c>
      <c r="J6" s="187">
        <f>SQRT(J5)</f>
        <v>5.1042663124113483</v>
      </c>
      <c r="K6" s="141"/>
      <c r="L6" s="141"/>
      <c r="M6" s="141"/>
      <c r="N6" s="26"/>
      <c r="O6" s="26"/>
      <c r="P6" s="26"/>
      <c r="Q6" s="26"/>
      <c r="R6" s="26"/>
      <c r="S6" s="26"/>
    </row>
    <row r="7" spans="1:20" ht="16.5" x14ac:dyDescent="0.3">
      <c r="A7" s="147">
        <v>6</v>
      </c>
      <c r="B7" s="148">
        <f>'1.RegLineDataAnalyFormula'!B7</f>
        <v>37</v>
      </c>
      <c r="C7" s="26">
        <f t="shared" si="0"/>
        <v>33.410782695495612</v>
      </c>
      <c r="D7" s="26">
        <f t="shared" si="1"/>
        <v>12.882480858953741</v>
      </c>
      <c r="E7" s="26">
        <f>AVERAGE(D$2:D7)</f>
        <v>13.368700481135214</v>
      </c>
      <c r="F7" s="26">
        <f t="shared" si="2"/>
        <v>48.642857142857146</v>
      </c>
      <c r="G7" s="26">
        <f t="shared" si="3"/>
        <v>135.55612244897966</v>
      </c>
      <c r="H7" s="141"/>
      <c r="I7" s="26" t="s">
        <v>55</v>
      </c>
      <c r="J7" s="26">
        <f>AVERAGE($B$2:$B$29)</f>
        <v>48.642857142857146</v>
      </c>
      <c r="K7" s="141"/>
      <c r="L7" s="26"/>
      <c r="M7" s="26"/>
      <c r="N7" s="26"/>
      <c r="O7" s="26"/>
      <c r="P7" s="26"/>
      <c r="Q7" s="26"/>
      <c r="R7" s="26"/>
      <c r="S7" s="26"/>
    </row>
    <row r="8" spans="1:20" ht="16.5" x14ac:dyDescent="0.3">
      <c r="A8" s="147">
        <v>7</v>
      </c>
      <c r="B8" s="148">
        <f>'1.RegLineDataAnalyFormula'!B8</f>
        <v>39</v>
      </c>
      <c r="C8" s="26">
        <f t="shared" si="0"/>
        <v>35.202791451589135</v>
      </c>
      <c r="D8" s="26">
        <f t="shared" si="1"/>
        <v>14.418792760124546</v>
      </c>
      <c r="E8" s="26">
        <f>AVERAGE(D$2:D8)</f>
        <v>13.518713663847976</v>
      </c>
      <c r="F8" s="26">
        <f t="shared" si="2"/>
        <v>48.642857142857146</v>
      </c>
      <c r="G8" s="26">
        <f t="shared" si="3"/>
        <v>92.984693877551081</v>
      </c>
      <c r="H8" s="141"/>
      <c r="I8" s="26" t="s">
        <v>188</v>
      </c>
      <c r="J8" s="186">
        <f>1-D30/G30</f>
        <v>0.89649334668487579</v>
      </c>
      <c r="K8" s="26"/>
      <c r="L8" s="26"/>
      <c r="M8" s="26"/>
      <c r="N8" s="26"/>
      <c r="O8" s="26"/>
      <c r="P8" s="26"/>
      <c r="Q8" s="26"/>
      <c r="R8" s="26"/>
      <c r="S8" s="26"/>
    </row>
    <row r="9" spans="1:20" ht="16.5" x14ac:dyDescent="0.3">
      <c r="A9" s="147">
        <v>8</v>
      </c>
      <c r="B9" s="148">
        <f>'1.RegLineDataAnalyFormula'!B9</f>
        <v>40</v>
      </c>
      <c r="C9" s="26">
        <f t="shared" si="0"/>
        <v>36.994800207682651</v>
      </c>
      <c r="D9" s="26">
        <f t="shared" si="1"/>
        <v>9.0312257917442356</v>
      </c>
      <c r="E9" s="26">
        <f>AVERAGE(D$2:D9)</f>
        <v>12.957777679835008</v>
      </c>
      <c r="F9" s="26">
        <f t="shared" si="2"/>
        <v>48.642857142857146</v>
      </c>
      <c r="G9" s="26">
        <f t="shared" si="3"/>
        <v>74.698979591836789</v>
      </c>
      <c r="H9" s="141"/>
      <c r="K9" s="26"/>
      <c r="L9" s="26"/>
      <c r="M9" s="26"/>
      <c r="N9" s="26"/>
      <c r="O9" s="26"/>
      <c r="P9" s="26"/>
      <c r="Q9" s="26"/>
      <c r="R9" s="26"/>
      <c r="S9" s="26"/>
    </row>
    <row r="10" spans="1:20" ht="16.5" x14ac:dyDescent="0.3">
      <c r="A10" s="147">
        <v>9</v>
      </c>
      <c r="B10" s="148">
        <f>'1.RegLineDataAnalyFormula'!B10</f>
        <v>40</v>
      </c>
      <c r="C10" s="26">
        <f t="shared" si="0"/>
        <v>38.786808963776167</v>
      </c>
      <c r="D10" s="26">
        <f t="shared" si="1"/>
        <v>1.4718324903738575</v>
      </c>
      <c r="E10" s="26">
        <f>AVERAGE(D$2:D10)</f>
        <v>11.681561547672658</v>
      </c>
      <c r="F10" s="26">
        <f t="shared" si="2"/>
        <v>48.642857142857146</v>
      </c>
      <c r="G10" s="26">
        <f t="shared" si="3"/>
        <v>74.698979591836789</v>
      </c>
      <c r="H10" s="141"/>
      <c r="K10" s="26"/>
      <c r="L10" s="26"/>
      <c r="M10" s="26"/>
      <c r="N10" s="26"/>
      <c r="O10" s="26"/>
      <c r="P10" s="26"/>
      <c r="Q10" s="26"/>
      <c r="R10" s="26"/>
      <c r="S10" s="26"/>
    </row>
    <row r="11" spans="1:20" ht="16.5" x14ac:dyDescent="0.3">
      <c r="A11" s="147">
        <v>10</v>
      </c>
      <c r="B11" s="148">
        <f>'1.RegLineDataAnalyFormula'!B11</f>
        <v>40</v>
      </c>
      <c r="C11" s="26">
        <f t="shared" si="0"/>
        <v>40.57881771986969</v>
      </c>
      <c r="D11" s="26">
        <f t="shared" si="1"/>
        <v>0.33502995283514692</v>
      </c>
      <c r="E11" s="26">
        <f>AVERAGE(D$2:D11)</f>
        <v>10.546908388188907</v>
      </c>
      <c r="F11" s="26">
        <f t="shared" si="2"/>
        <v>48.642857142857146</v>
      </c>
      <c r="G11" s="26">
        <f t="shared" si="3"/>
        <v>74.698979591836789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20" ht="16.5" x14ac:dyDescent="0.3">
      <c r="A12" s="147">
        <v>11</v>
      </c>
      <c r="B12" s="148">
        <f>'1.RegLineDataAnalyFormula'!B12</f>
        <v>41</v>
      </c>
      <c r="C12" s="26">
        <f t="shared" si="0"/>
        <v>42.370826475963213</v>
      </c>
      <c r="D12" s="26">
        <f t="shared" si="1"/>
        <v>1.8791652272017212</v>
      </c>
      <c r="E12" s="26">
        <f>AVERAGE(D$2:D12)</f>
        <v>9.7589317371900712</v>
      </c>
      <c r="F12" s="26">
        <f t="shared" si="2"/>
        <v>48.642857142857146</v>
      </c>
      <c r="G12" s="26">
        <f t="shared" si="3"/>
        <v>58.413265306122497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20" ht="16.5" x14ac:dyDescent="0.3">
      <c r="A13" s="147">
        <v>12</v>
      </c>
      <c r="B13" s="148">
        <f>'1.RegLineDataAnalyFormula'!B13</f>
        <v>43</v>
      </c>
      <c r="C13" s="26">
        <f t="shared" si="0"/>
        <v>44.162835232056729</v>
      </c>
      <c r="D13" s="26">
        <f t="shared" si="1"/>
        <v>1.3521857769124264</v>
      </c>
      <c r="E13" s="26">
        <f>AVERAGE(D$2:D13)</f>
        <v>9.0583695738336001</v>
      </c>
      <c r="F13" s="26">
        <f t="shared" si="2"/>
        <v>48.642857142857146</v>
      </c>
      <c r="G13" s="26">
        <f t="shared" si="3"/>
        <v>31.841836734693914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0" ht="16.5" x14ac:dyDescent="0.3">
      <c r="A14" s="147">
        <v>13</v>
      </c>
      <c r="B14" s="148">
        <f>'1.RegLineDataAnalyFormula'!B14</f>
        <v>44</v>
      </c>
      <c r="C14" s="26">
        <f t="shared" si="0"/>
        <v>45.954843988150245</v>
      </c>
      <c r="D14" s="26">
        <f t="shared" si="1"/>
        <v>3.8214150180071536</v>
      </c>
      <c r="E14" s="26">
        <f>AVERAGE(D$2:D14)</f>
        <v>8.6555269156931054</v>
      </c>
      <c r="F14" s="26">
        <f t="shared" si="2"/>
        <v>48.642857142857146</v>
      </c>
      <c r="G14" s="26">
        <f t="shared" si="3"/>
        <v>21.556122448979622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20" ht="16.5" x14ac:dyDescent="0.3">
      <c r="A15" s="147">
        <v>14</v>
      </c>
      <c r="B15" s="148">
        <f>'1.RegLineDataAnalyFormula'!B15</f>
        <v>44</v>
      </c>
      <c r="C15" s="26">
        <f t="shared" si="0"/>
        <v>47.746852744243768</v>
      </c>
      <c r="D15" s="26">
        <f t="shared" si="1"/>
        <v>14.038905487047051</v>
      </c>
      <c r="E15" s="26">
        <f>AVERAGE(D$2:D15)</f>
        <v>9.0400539565041012</v>
      </c>
      <c r="F15" s="26">
        <f t="shared" si="2"/>
        <v>48.642857142857146</v>
      </c>
      <c r="G15" s="26">
        <f t="shared" si="3"/>
        <v>21.556122448979622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20" ht="16.5" x14ac:dyDescent="0.3">
      <c r="A16" s="147">
        <v>15</v>
      </c>
      <c r="B16" s="148">
        <f>'1.RegLineDataAnalyFormula'!B16</f>
        <v>45</v>
      </c>
      <c r="C16" s="26">
        <f t="shared" si="0"/>
        <v>49.538861500337283</v>
      </c>
      <c r="D16" s="26">
        <f t="shared" si="1"/>
        <v>20.601263719244017</v>
      </c>
      <c r="E16" s="26">
        <f>AVERAGE(D$2:D16)</f>
        <v>9.8108012740200952</v>
      </c>
      <c r="F16" s="26">
        <f t="shared" si="2"/>
        <v>48.642857142857146</v>
      </c>
      <c r="G16" s="26">
        <f t="shared" si="3"/>
        <v>13.270408163265328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16.5" x14ac:dyDescent="0.3">
      <c r="A17" s="147">
        <v>16</v>
      </c>
      <c r="B17" s="148">
        <f>'1.RegLineDataAnalyFormula'!B17</f>
        <v>46</v>
      </c>
      <c r="C17" s="26">
        <f t="shared" si="0"/>
        <v>51.330870256430799</v>
      </c>
      <c r="D17" s="26">
        <f t="shared" si="1"/>
        <v>28.418177690898574</v>
      </c>
      <c r="E17" s="26">
        <f>AVERAGE(D$2:D17)</f>
        <v>10.973762300075</v>
      </c>
      <c r="F17" s="26">
        <f t="shared" si="2"/>
        <v>48.642857142857146</v>
      </c>
      <c r="G17" s="26">
        <f t="shared" si="3"/>
        <v>6.9846938775510363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6.5" x14ac:dyDescent="0.3">
      <c r="A18" s="147">
        <v>17</v>
      </c>
      <c r="B18" s="148">
        <f>'1.RegLineDataAnalyFormula'!B18</f>
        <v>48</v>
      </c>
      <c r="C18" s="26">
        <f t="shared" si="0"/>
        <v>53.122879012524322</v>
      </c>
      <c r="D18" s="26">
        <f t="shared" si="1"/>
        <v>26.243889376962173</v>
      </c>
      <c r="E18" s="26">
        <f>AVERAGE(D$2:D18)</f>
        <v>11.872005069303658</v>
      </c>
      <c r="F18" s="26">
        <f t="shared" si="2"/>
        <v>48.642857142857146</v>
      </c>
      <c r="G18" s="26">
        <f t="shared" si="3"/>
        <v>0.41326530612245288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16.5" x14ac:dyDescent="0.3">
      <c r="A19" s="147">
        <v>18</v>
      </c>
      <c r="B19" s="148">
        <f>'1.RegLineDataAnalyFormula'!B19</f>
        <v>50</v>
      </c>
      <c r="C19" s="26">
        <f t="shared" si="0"/>
        <v>54.914887768617838</v>
      </c>
      <c r="D19" s="26">
        <f t="shared" si="1"/>
        <v>24.156121778109231</v>
      </c>
      <c r="E19" s="26">
        <f>AVERAGE(D$2:D19)</f>
        <v>12.554455997570635</v>
      </c>
      <c r="F19" s="26">
        <f t="shared" si="2"/>
        <v>48.642857142857146</v>
      </c>
      <c r="G19" s="26">
        <f t="shared" si="3"/>
        <v>1.8418367346938693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16.5" x14ac:dyDescent="0.3">
      <c r="A20" s="147">
        <v>19</v>
      </c>
      <c r="B20" s="148">
        <f>'1.RegLineDataAnalyFormula'!B20</f>
        <v>54</v>
      </c>
      <c r="C20" s="26">
        <f t="shared" si="0"/>
        <v>56.706896524711361</v>
      </c>
      <c r="D20" s="26">
        <f t="shared" si="1"/>
        <v>7.3272887954944439</v>
      </c>
      <c r="E20" s="26">
        <f>AVERAGE(D$2:D20)</f>
        <v>12.279341934303465</v>
      </c>
      <c r="F20" s="26">
        <f t="shared" si="2"/>
        <v>48.642857142857146</v>
      </c>
      <c r="G20" s="26">
        <f t="shared" si="3"/>
        <v>28.698979591836704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16.5" x14ac:dyDescent="0.3">
      <c r="A21" s="147">
        <v>20</v>
      </c>
      <c r="B21" s="148">
        <f>'1.RegLineDataAnalyFormula'!B21</f>
        <v>54</v>
      </c>
      <c r="C21" s="26">
        <f t="shared" si="0"/>
        <v>58.498905280804877</v>
      </c>
      <c r="D21" s="26">
        <f t="shared" si="1"/>
        <v>20.240148725654009</v>
      </c>
      <c r="E21" s="26">
        <f>AVERAGE(D$2:D21)</f>
        <v>12.677382273870993</v>
      </c>
      <c r="F21" s="26">
        <f t="shared" si="2"/>
        <v>48.642857142857146</v>
      </c>
      <c r="G21" s="26">
        <f t="shared" si="3"/>
        <v>28.698979591836704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16.5" x14ac:dyDescent="0.3">
      <c r="A22" s="147">
        <v>21</v>
      </c>
      <c r="B22" s="148">
        <f>'1.RegLineDataAnalyFormula'!B22</f>
        <v>55</v>
      </c>
      <c r="C22" s="26">
        <f t="shared" si="0"/>
        <v>60.2909140368984</v>
      </c>
      <c r="D22" s="26">
        <f t="shared" si="1"/>
        <v>27.993771345848522</v>
      </c>
      <c r="E22" s="26">
        <f>AVERAGE(D$2:D22)</f>
        <v>13.406734134441351</v>
      </c>
      <c r="F22" s="26">
        <f t="shared" si="2"/>
        <v>48.642857142857146</v>
      </c>
      <c r="G22" s="26">
        <f t="shared" si="3"/>
        <v>40.413265306122412</v>
      </c>
      <c r="H22" s="26"/>
      <c r="I22" s="26"/>
      <c r="J22" s="26"/>
      <c r="K22" s="26"/>
      <c r="L22" s="26"/>
      <c r="M22" s="26"/>
      <c r="N22" s="26"/>
      <c r="O22" s="165"/>
    </row>
    <row r="23" spans="1:19" ht="16.5" x14ac:dyDescent="0.3">
      <c r="A23" s="147">
        <v>22</v>
      </c>
      <c r="B23" s="148">
        <f>'1.RegLineDataAnalyFormula'!B23</f>
        <v>58</v>
      </c>
      <c r="C23" s="26">
        <f t="shared" si="0"/>
        <v>62.082922792991916</v>
      </c>
      <c r="D23" s="26">
        <f t="shared" si="1"/>
        <v>16.670258533532905</v>
      </c>
      <c r="E23" s="26">
        <f>AVERAGE(D$2:D23)</f>
        <v>13.555076152581876</v>
      </c>
      <c r="F23" s="26">
        <f t="shared" si="2"/>
        <v>48.642857142857146</v>
      </c>
      <c r="G23" s="26">
        <f t="shared" si="3"/>
        <v>87.556122448979536</v>
      </c>
      <c r="H23" s="26"/>
      <c r="I23" s="26"/>
      <c r="J23" s="26"/>
      <c r="K23" s="26"/>
      <c r="L23" s="26"/>
      <c r="M23" s="26"/>
      <c r="N23" s="26"/>
      <c r="O23" s="165"/>
    </row>
    <row r="24" spans="1:19" ht="16.5" x14ac:dyDescent="0.3">
      <c r="A24" s="147">
        <v>23</v>
      </c>
      <c r="B24" s="148">
        <f>'1.RegLineDataAnalyFormula'!B24</f>
        <v>60</v>
      </c>
      <c r="C24" s="26">
        <f t="shared" si="0"/>
        <v>63.874931549085431</v>
      </c>
      <c r="D24" s="26">
        <f t="shared" si="1"/>
        <v>15.015094510097622</v>
      </c>
      <c r="E24" s="26">
        <f>AVERAGE(D$2:D24)</f>
        <v>13.618555211604301</v>
      </c>
      <c r="F24" s="26">
        <f t="shared" si="2"/>
        <v>48.642857142857146</v>
      </c>
      <c r="G24" s="26">
        <f t="shared" si="3"/>
        <v>128.98469387755094</v>
      </c>
      <c r="H24" s="26"/>
      <c r="I24" s="26"/>
      <c r="J24" s="26"/>
      <c r="K24" s="26"/>
      <c r="L24" s="26"/>
      <c r="M24" s="26"/>
      <c r="N24" s="26"/>
      <c r="O24" s="165"/>
    </row>
    <row r="25" spans="1:19" ht="16.5" x14ac:dyDescent="0.3">
      <c r="A25" s="147">
        <v>24</v>
      </c>
      <c r="B25" s="148">
        <f>'1.RegLineDataAnalyFormula'!B25</f>
        <v>63</v>
      </c>
      <c r="C25" s="26">
        <f t="shared" si="0"/>
        <v>65.666940305178954</v>
      </c>
      <c r="D25" s="26">
        <f t="shared" si="1"/>
        <v>7.1125705913880148</v>
      </c>
      <c r="E25" s="26">
        <f>AVERAGE(D$2:D25)</f>
        <v>13.347472519095289</v>
      </c>
      <c r="F25" s="26">
        <f t="shared" si="2"/>
        <v>48.642857142857146</v>
      </c>
      <c r="G25" s="26">
        <f t="shared" si="3"/>
        <v>206.12755102040808</v>
      </c>
      <c r="H25" s="26"/>
      <c r="I25" s="26"/>
      <c r="J25" s="26"/>
      <c r="K25" s="26"/>
      <c r="L25" s="26"/>
      <c r="M25" s="26"/>
      <c r="N25" s="26"/>
      <c r="O25" s="165"/>
    </row>
    <row r="26" spans="1:19" ht="16.5" x14ac:dyDescent="0.3">
      <c r="A26" s="147">
        <v>25</v>
      </c>
      <c r="B26" s="148">
        <f>'1.RegLineDataAnalyFormula'!B26</f>
        <v>70</v>
      </c>
      <c r="C26" s="26">
        <f t="shared" si="0"/>
        <v>67.458949061272477</v>
      </c>
      <c r="D26" s="26">
        <f t="shared" si="1"/>
        <v>6.4569398732080243</v>
      </c>
      <c r="E26" s="26">
        <f>AVERAGE(D$2:D26)</f>
        <v>13.071851213259798</v>
      </c>
      <c r="F26" s="26">
        <f t="shared" si="2"/>
        <v>48.642857142857146</v>
      </c>
      <c r="G26" s="26">
        <f t="shared" si="3"/>
        <v>456.12755102040802</v>
      </c>
      <c r="H26" s="26"/>
      <c r="I26" s="26"/>
      <c r="J26" s="26"/>
      <c r="K26" s="26"/>
      <c r="L26" s="26"/>
      <c r="M26" s="26"/>
      <c r="N26" s="26"/>
      <c r="O26" s="165"/>
    </row>
    <row r="27" spans="1:19" ht="16.5" x14ac:dyDescent="0.3">
      <c r="A27" s="147">
        <v>26</v>
      </c>
      <c r="B27" s="148">
        <f>'1.RegLineDataAnalyFormula'!B27</f>
        <v>70</v>
      </c>
      <c r="C27" s="26">
        <f t="shared" si="0"/>
        <v>69.250957817365986</v>
      </c>
      <c r="D27" s="26">
        <f t="shared" si="1"/>
        <v>0.56106419136512742</v>
      </c>
      <c r="E27" s="26">
        <f>AVERAGE(D$2:D27)</f>
        <v>12.590667097033078</v>
      </c>
      <c r="F27" s="26">
        <f t="shared" si="2"/>
        <v>48.642857142857146</v>
      </c>
      <c r="G27" s="26">
        <f t="shared" si="3"/>
        <v>456.12755102040802</v>
      </c>
      <c r="H27" s="26"/>
      <c r="I27" s="26"/>
      <c r="J27" s="26"/>
      <c r="K27" s="26"/>
      <c r="L27" s="26"/>
      <c r="M27" s="26"/>
      <c r="N27" s="26"/>
      <c r="O27" s="26"/>
    </row>
    <row r="28" spans="1:19" s="26" customFormat="1" ht="17.25" thickBot="1" x14ac:dyDescent="0.35">
      <c r="A28" s="147">
        <v>27</v>
      </c>
      <c r="B28" s="148">
        <f>'1.RegLineDataAnalyFormula'!B28</f>
        <v>82</v>
      </c>
      <c r="C28" s="26">
        <f t="shared" si="0"/>
        <v>71.042966573459509</v>
      </c>
      <c r="D28" s="26">
        <f t="shared" si="1"/>
        <v>120.05658151032566</v>
      </c>
      <c r="E28" s="26">
        <f>AVERAGE(D$2:D28)</f>
        <v>16.570886149377248</v>
      </c>
      <c r="F28" s="26">
        <f t="shared" si="2"/>
        <v>48.642857142857146</v>
      </c>
      <c r="G28" s="26">
        <f t="shared" si="3"/>
        <v>1112.6989795918366</v>
      </c>
    </row>
    <row r="29" spans="1:19" s="26" customFormat="1" ht="17.25" thickBot="1" x14ac:dyDescent="0.35">
      <c r="A29" s="147">
        <v>28</v>
      </c>
      <c r="B29" s="148">
        <f>'1.RegLineDataAnalyFormula'!B29</f>
        <v>88</v>
      </c>
      <c r="C29" s="26">
        <f t="shared" si="0"/>
        <v>72.834975329553032</v>
      </c>
      <c r="D29" s="26">
        <f t="shared" si="1"/>
        <v>229.97797325526517</v>
      </c>
      <c r="E29" s="185">
        <f>AVERAGE(D$2:D29)</f>
        <v>24.19256783173039</v>
      </c>
      <c r="F29" s="26">
        <f t="shared" si="2"/>
        <v>48.642857142857146</v>
      </c>
      <c r="G29" s="26">
        <f t="shared" si="3"/>
        <v>1548.9846938775509</v>
      </c>
    </row>
    <row r="30" spans="1:19" s="26" customFormat="1" ht="16.5" x14ac:dyDescent="0.3">
      <c r="A30" s="147">
        <v>29</v>
      </c>
      <c r="C30" s="26">
        <f t="shared" si="0"/>
        <v>74.626984085646541</v>
      </c>
      <c r="D30" s="26">
        <f>SUM(D2:D29)</f>
        <v>677.39189928845087</v>
      </c>
      <c r="G30" s="26">
        <f>SUM(G2:G29)</f>
        <v>6544.4285714285716</v>
      </c>
    </row>
    <row r="31" spans="1:19" s="26" customFormat="1" ht="16.5" x14ac:dyDescent="0.3">
      <c r="A31" s="147">
        <v>30</v>
      </c>
      <c r="C31" s="26">
        <f t="shared" si="0"/>
        <v>76.418992841740064</v>
      </c>
      <c r="D31" s="26" t="s">
        <v>56</v>
      </c>
      <c r="G31" s="26" t="s">
        <v>57</v>
      </c>
    </row>
    <row r="32" spans="1:19" s="26" customFormat="1" ht="16.5" x14ac:dyDescent="0.3"/>
    <row r="33" s="26" customFormat="1" ht="16.5" x14ac:dyDescent="0.3"/>
    <row r="34" s="26" customFormat="1" ht="16.5" x14ac:dyDescent="0.3"/>
    <row r="35" s="26" customFormat="1" ht="16.5" x14ac:dyDescent="0.3"/>
    <row r="36" s="26" customFormat="1" ht="16.5" x14ac:dyDescent="0.3"/>
    <row r="37" s="26" customFormat="1" ht="16.5" x14ac:dyDescent="0.3"/>
    <row r="38" s="26" customFormat="1" ht="16.5" x14ac:dyDescent="0.3"/>
    <row r="39" s="26" customFormat="1" ht="16.5" x14ac:dyDescent="0.3"/>
    <row r="40" s="26" customFormat="1" ht="16.5" x14ac:dyDescent="0.3"/>
    <row r="41" s="26" customFormat="1" ht="16.5" x14ac:dyDescent="0.3"/>
    <row r="42" s="26" customFormat="1" ht="16.5" x14ac:dyDescent="0.3"/>
    <row r="43" s="26" customFormat="1" ht="16.5" x14ac:dyDescent="0.3"/>
    <row r="44" s="26" customFormat="1" ht="16.5" x14ac:dyDescent="0.3"/>
    <row r="45" s="26" customFormat="1" ht="16.5" x14ac:dyDescent="0.3"/>
    <row r="46" s="26" customFormat="1" ht="16.5" x14ac:dyDescent="0.3"/>
    <row r="47" s="26" customFormat="1" ht="15.75" customHeight="1" x14ac:dyDescent="0.3"/>
    <row r="48" s="26" customFormat="1" ht="16.5" x14ac:dyDescent="0.3"/>
    <row r="49" s="26" customFormat="1" ht="16.5" x14ac:dyDescent="0.3"/>
    <row r="50" s="26" customFormat="1" ht="16.5" x14ac:dyDescent="0.3"/>
    <row r="51" s="26" customFormat="1" ht="16.5" x14ac:dyDescent="0.3"/>
    <row r="52" s="26" customFormat="1" ht="16.5" x14ac:dyDescent="0.3"/>
    <row r="53" s="26" customFormat="1" ht="16.5" x14ac:dyDescent="0.3"/>
    <row r="54" s="26" customFormat="1" ht="16.5" x14ac:dyDescent="0.3"/>
    <row r="55" s="26" customFormat="1" ht="16.5" x14ac:dyDescent="0.3"/>
    <row r="56" s="26" customFormat="1" ht="16.5" x14ac:dyDescent="0.3"/>
    <row r="57" s="26" customFormat="1" ht="16.5" x14ac:dyDescent="0.3"/>
    <row r="58" s="26" customFormat="1" ht="16.5" x14ac:dyDescent="0.3"/>
  </sheetData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BCFC8-7602-4BC3-B29D-919DDA9D776E}">
  <sheetPr>
    <tabColor rgb="FFFFFF00"/>
  </sheetPr>
  <dimension ref="A1:BB83"/>
  <sheetViews>
    <sheetView zoomScaleNormal="100" workbookViewId="0">
      <selection activeCell="J14" sqref="J14"/>
    </sheetView>
  </sheetViews>
  <sheetFormatPr defaultColWidth="9.140625" defaultRowHeight="13.5" x14ac:dyDescent="0.25"/>
  <cols>
    <col min="1" max="1" width="6.7109375" style="42" bestFit="1" customWidth="1"/>
    <col min="2" max="2" width="6.7109375" style="42" customWidth="1"/>
    <col min="3" max="3" width="8.140625" style="74" bestFit="1" customWidth="1"/>
    <col min="4" max="4" width="12.140625" style="74" bestFit="1" customWidth="1"/>
    <col min="5" max="5" width="11.5703125" style="74" bestFit="1" customWidth="1"/>
    <col min="6" max="6" width="11.5703125" style="42" bestFit="1" customWidth="1"/>
    <col min="7" max="7" width="9.5703125" style="42" bestFit="1" customWidth="1"/>
    <col min="8" max="8" width="9.7109375" style="42" bestFit="1" customWidth="1"/>
    <col min="9" max="10" width="9.140625" style="42"/>
    <col min="11" max="11" width="9.140625" style="42" customWidth="1"/>
    <col min="12" max="12" width="14.5703125" style="42" bestFit="1" customWidth="1"/>
    <col min="13" max="16384" width="9.140625" style="42"/>
  </cols>
  <sheetData>
    <row r="1" spans="1:54" ht="18.75" x14ac:dyDescent="0.3">
      <c r="A1" s="199" t="s">
        <v>206</v>
      </c>
      <c r="B1" s="42" t="s">
        <v>205</v>
      </c>
      <c r="E1" s="82" t="s">
        <v>50</v>
      </c>
      <c r="F1" s="82" t="s">
        <v>52</v>
      </c>
      <c r="G1" s="82" t="s">
        <v>66</v>
      </c>
      <c r="H1" s="82" t="s">
        <v>26</v>
      </c>
      <c r="J1" s="97" t="s">
        <v>80</v>
      </c>
      <c r="K1" s="96"/>
      <c r="L1" s="202" t="s">
        <v>81</v>
      </c>
      <c r="M1" s="200"/>
      <c r="N1" s="200"/>
      <c r="O1" s="200"/>
      <c r="P1" s="200"/>
      <c r="Q1" s="201"/>
      <c r="R1" s="200"/>
      <c r="S1" s="200"/>
      <c r="T1" s="200"/>
      <c r="BB1" s="199" t="s">
        <v>205</v>
      </c>
    </row>
    <row r="2" spans="1:54" ht="15" x14ac:dyDescent="0.25">
      <c r="E2" s="83">
        <f>INTERCEPT($D$6:$D$76,$A$6:$A$76)</f>
        <v>1202.9091213950378</v>
      </c>
      <c r="F2" s="83">
        <f>SLOPE($D$6:$D$76,$A$6:$A$76)</f>
        <v>79.488900067069082</v>
      </c>
      <c r="G2" s="84">
        <f>RSQ($D$6:$D$76,$A$6:$A$76)</f>
        <v>0.9955872023184833</v>
      </c>
      <c r="H2" s="83">
        <f>STEYX($D$6:$D$76,$A$6:$A$76)</f>
        <v>110.01530753264936</v>
      </c>
      <c r="J2" s="74" t="s">
        <v>69</v>
      </c>
      <c r="K2" s="74" t="s">
        <v>68</v>
      </c>
      <c r="L2" s="74" t="s">
        <v>70</v>
      </c>
    </row>
    <row r="3" spans="1:54" ht="15" x14ac:dyDescent="0.3">
      <c r="A3" s="85" t="str">
        <f>[1]ArdiData!A2</f>
        <v>Per.</v>
      </c>
      <c r="B3" s="85"/>
      <c r="C3" s="198" t="str">
        <f>[1]ArdiData!D2</f>
        <v>Trend&amp;S</v>
      </c>
      <c r="D3" s="74" t="s">
        <v>65</v>
      </c>
      <c r="E3" s="42" t="s">
        <v>67</v>
      </c>
      <c r="F3" s="42" t="s">
        <v>68</v>
      </c>
      <c r="G3" s="42" t="s">
        <v>69</v>
      </c>
      <c r="H3" s="42" t="s">
        <v>71</v>
      </c>
      <c r="J3" s="74">
        <v>1</v>
      </c>
      <c r="K3" s="86">
        <f>AVERAGEIF($G$4:$G$78,J3,$F$4:$F$78)</f>
        <v>0.86746989053010926</v>
      </c>
      <c r="L3" s="74">
        <f>K3/$K$8</f>
        <v>0.86605413131488107</v>
      </c>
      <c r="M3" s="197" t="s">
        <v>204</v>
      </c>
    </row>
    <row r="4" spans="1:54" ht="15" x14ac:dyDescent="0.3">
      <c r="A4" s="85">
        <f>[1]ArdiData!A3</f>
        <v>1</v>
      </c>
      <c r="B4" s="196">
        <f>'[2]0.ArdiData'!D3</f>
        <v>1208</v>
      </c>
      <c r="C4" s="195">
        <f t="shared" ref="C4:C35" si="0">Y4</f>
        <v>1120</v>
      </c>
      <c r="E4" s="88">
        <f t="shared" ref="E4:E35" si="1">$E$2+$F$2*A4</f>
        <v>1282.398021462107</v>
      </c>
      <c r="F4" s="92">
        <f t="shared" ref="F4:F35" si="2">C4/E4</f>
        <v>0.87336379287535759</v>
      </c>
      <c r="G4" s="92">
        <f t="shared" ref="G4:G35" si="3">IF(MOD(A4,5)&lt;&gt;0,MOD(A4,5),5)</f>
        <v>1</v>
      </c>
      <c r="H4" s="89">
        <f t="shared" ref="H4:H35" si="4">VLOOKUP(G4,$J$3:$L$7,3)*E4</f>
        <v>1110.6261044772873</v>
      </c>
      <c r="J4" s="74">
        <v>2</v>
      </c>
      <c r="K4" s="86">
        <f>AVERAGEIF($G$4:$G$78,J4,$F$4:$F$78)</f>
        <v>1.0364031052216591</v>
      </c>
      <c r="L4" s="74">
        <f>K4/$K$8</f>
        <v>1.0347116375835006</v>
      </c>
      <c r="M4" s="197" t="s">
        <v>203</v>
      </c>
      <c r="Y4" s="195">
        <v>1120</v>
      </c>
    </row>
    <row r="5" spans="1:54" ht="15" x14ac:dyDescent="0.3">
      <c r="A5" s="85">
        <f>[1]ArdiData!A4</f>
        <v>2</v>
      </c>
      <c r="B5" s="196">
        <f>'[2]0.ArdiData'!D4</f>
        <v>1442</v>
      </c>
      <c r="C5" s="195">
        <f t="shared" si="0"/>
        <v>1461</v>
      </c>
      <c r="E5" s="88">
        <f t="shared" si="1"/>
        <v>1361.8869215291759</v>
      </c>
      <c r="F5" s="92">
        <f t="shared" si="2"/>
        <v>1.0727762906773026</v>
      </c>
      <c r="G5" s="92">
        <f t="shared" si="3"/>
        <v>2</v>
      </c>
      <c r="H5" s="89">
        <f t="shared" si="4"/>
        <v>1409.160246779006</v>
      </c>
      <c r="J5" s="74">
        <v>3</v>
      </c>
      <c r="K5" s="86">
        <f>AVERAGEIF($G$4:$G$78,J5,$F$4:$F$78)</f>
        <v>1.1830137498486875</v>
      </c>
      <c r="L5" s="74">
        <f>K5/$K$8</f>
        <v>1.1810830054662325</v>
      </c>
      <c r="M5" s="197" t="s">
        <v>202</v>
      </c>
      <c r="Y5" s="195">
        <v>1461</v>
      </c>
    </row>
    <row r="6" spans="1:54" ht="15" x14ac:dyDescent="0.3">
      <c r="A6" s="85">
        <f>[1]ArdiData!A5</f>
        <v>3</v>
      </c>
      <c r="B6" s="196">
        <f>'[2]0.ArdiData'!D5</f>
        <v>2063</v>
      </c>
      <c r="C6" s="195">
        <f t="shared" si="0"/>
        <v>1719</v>
      </c>
      <c r="D6" s="90">
        <f t="shared" ref="D6:D37" si="5">AVERAGE(C4:C8)</f>
        <v>1470.8</v>
      </c>
      <c r="E6" s="88">
        <f t="shared" si="1"/>
        <v>1441.375821596245</v>
      </c>
      <c r="F6" s="92">
        <f t="shared" si="2"/>
        <v>1.1926105421251629</v>
      </c>
      <c r="G6" s="92">
        <f t="shared" si="3"/>
        <v>3</v>
      </c>
      <c r="H6" s="89">
        <f t="shared" si="4"/>
        <v>1702.3844873772532</v>
      </c>
      <c r="J6" s="74">
        <v>4</v>
      </c>
      <c r="K6" s="86">
        <f>AVERAGEIF($G$4:$G$78,J6,$F$4:$F$78)</f>
        <v>1.0429691526104796</v>
      </c>
      <c r="L6" s="74">
        <f>K6/$K$8</f>
        <v>1.0412669688169827</v>
      </c>
      <c r="Y6" s="195">
        <v>1719</v>
      </c>
    </row>
    <row r="7" spans="1:54" ht="15" x14ac:dyDescent="0.3">
      <c r="A7" s="85">
        <f>[1]ArdiData!A6</f>
        <v>4</v>
      </c>
      <c r="B7" s="196">
        <f>'[2]0.ArdiData'!D6</f>
        <v>1947</v>
      </c>
      <c r="C7" s="195">
        <f t="shared" si="0"/>
        <v>1692</v>
      </c>
      <c r="D7" s="90">
        <f t="shared" si="5"/>
        <v>1547.8</v>
      </c>
      <c r="E7" s="88">
        <f t="shared" si="1"/>
        <v>1520.8647216633142</v>
      </c>
      <c r="F7" s="92">
        <f t="shared" si="2"/>
        <v>1.1125249839114695</v>
      </c>
      <c r="G7" s="92">
        <f t="shared" si="3"/>
        <v>4</v>
      </c>
      <c r="H7" s="89">
        <f t="shared" si="4"/>
        <v>1583.6261987070432</v>
      </c>
      <c r="J7" s="74">
        <v>5</v>
      </c>
      <c r="K7" s="86">
        <f>AVERAGEIF($G$4:$G$78,J7,$F$4:$F$78)</f>
        <v>0.87831772029648225</v>
      </c>
      <c r="L7" s="74">
        <f>K7/$K$8</f>
        <v>0.87688425681840343</v>
      </c>
      <c r="Y7" s="195">
        <v>1692</v>
      </c>
    </row>
    <row r="8" spans="1:54" ht="15" x14ac:dyDescent="0.3">
      <c r="A8" s="85">
        <f>[1]ArdiData!A7</f>
        <v>5</v>
      </c>
      <c r="B8" s="196">
        <f>'[2]0.ArdiData'!D7</f>
        <v>1630</v>
      </c>
      <c r="C8" s="195">
        <f t="shared" si="0"/>
        <v>1362</v>
      </c>
      <c r="D8" s="90">
        <f t="shared" si="5"/>
        <v>1620.2</v>
      </c>
      <c r="E8" s="88">
        <f t="shared" si="1"/>
        <v>1600.3536217303831</v>
      </c>
      <c r="F8" s="92">
        <f t="shared" si="2"/>
        <v>0.85106190376058066</v>
      </c>
      <c r="G8" s="92">
        <f t="shared" si="3"/>
        <v>5</v>
      </c>
      <c r="H8" s="89">
        <f t="shared" si="4"/>
        <v>1403.3248962376874</v>
      </c>
      <c r="J8" s="74"/>
      <c r="K8" s="91">
        <f>AVERAGE(K3:K7)</f>
        <v>1.0016347237014835</v>
      </c>
      <c r="L8" s="91">
        <f>AVERAGE(L3:L7)</f>
        <v>1</v>
      </c>
      <c r="Y8" s="195">
        <v>1362</v>
      </c>
    </row>
    <row r="9" spans="1:54" ht="15" x14ac:dyDescent="0.3">
      <c r="A9" s="85">
        <f>[1]ArdiData!A8</f>
        <v>6</v>
      </c>
      <c r="B9" s="196">
        <f>'[2]0.ArdiData'!D8</f>
        <v>1617</v>
      </c>
      <c r="C9" s="195">
        <f t="shared" si="0"/>
        <v>1505</v>
      </c>
      <c r="D9" s="90">
        <f t="shared" si="5"/>
        <v>1684.6</v>
      </c>
      <c r="E9" s="88">
        <f t="shared" si="1"/>
        <v>1679.8425217974523</v>
      </c>
      <c r="F9" s="92">
        <f t="shared" si="2"/>
        <v>0.8959173139572818</v>
      </c>
      <c r="G9" s="92">
        <f t="shared" si="3"/>
        <v>1</v>
      </c>
      <c r="H9" s="89">
        <f t="shared" si="4"/>
        <v>1454.8345559610916</v>
      </c>
      <c r="Y9" s="195">
        <v>1505</v>
      </c>
    </row>
    <row r="10" spans="1:54" ht="15" x14ac:dyDescent="0.3">
      <c r="A10" s="85">
        <f>[1]ArdiData!A9</f>
        <v>7</v>
      </c>
      <c r="B10" s="196">
        <f>'[2]0.ArdiData'!D9</f>
        <v>1972</v>
      </c>
      <c r="C10" s="195">
        <f t="shared" si="0"/>
        <v>1823</v>
      </c>
      <c r="D10" s="90">
        <f t="shared" si="5"/>
        <v>1755.2</v>
      </c>
      <c r="E10" s="88">
        <f t="shared" si="1"/>
        <v>1759.3314218645214</v>
      </c>
      <c r="F10" s="92">
        <f t="shared" si="2"/>
        <v>1.0361890757728884</v>
      </c>
      <c r="G10" s="92">
        <f t="shared" si="3"/>
        <v>2</v>
      </c>
      <c r="H10" s="89">
        <f t="shared" si="4"/>
        <v>1820.4006965695476</v>
      </c>
      <c r="Y10" s="195">
        <v>1823</v>
      </c>
    </row>
    <row r="11" spans="1:54" ht="15" x14ac:dyDescent="0.3">
      <c r="A11" s="85">
        <f>[1]ArdiData!A10</f>
        <v>8</v>
      </c>
      <c r="B11" s="196">
        <f>'[2]0.ArdiData'!D10</f>
        <v>2639</v>
      </c>
      <c r="C11" s="195">
        <f t="shared" si="0"/>
        <v>2041</v>
      </c>
      <c r="D11" s="90">
        <f t="shared" si="5"/>
        <v>1838.8</v>
      </c>
      <c r="E11" s="88">
        <f t="shared" si="1"/>
        <v>1838.8203219315906</v>
      </c>
      <c r="F11" s="92">
        <f t="shared" si="2"/>
        <v>1.1099507524781049</v>
      </c>
      <c r="G11" s="92">
        <f t="shared" si="3"/>
        <v>3</v>
      </c>
      <c r="H11" s="89">
        <f t="shared" si="4"/>
        <v>2171.7994323393482</v>
      </c>
      <c r="Y11" s="195">
        <v>2041</v>
      </c>
    </row>
    <row r="12" spans="1:54" ht="15" x14ac:dyDescent="0.3">
      <c r="A12" s="85">
        <f>[1]ArdiData!A11</f>
        <v>9</v>
      </c>
      <c r="B12" s="196">
        <f>'[2]0.ArdiData'!D11</f>
        <v>2309</v>
      </c>
      <c r="C12" s="195">
        <f t="shared" si="0"/>
        <v>2045</v>
      </c>
      <c r="D12" s="90">
        <f t="shared" si="5"/>
        <v>1911</v>
      </c>
      <c r="E12" s="88">
        <f t="shared" si="1"/>
        <v>1918.3092219986595</v>
      </c>
      <c r="F12" s="92">
        <f t="shared" si="2"/>
        <v>1.0660429385150654</v>
      </c>
      <c r="G12" s="92">
        <f t="shared" si="3"/>
        <v>4</v>
      </c>
      <c r="H12" s="89">
        <f t="shared" si="4"/>
        <v>1997.4720288442084</v>
      </c>
      <c r="Y12" s="195">
        <v>2045</v>
      </c>
    </row>
    <row r="13" spans="1:54" ht="15" x14ac:dyDescent="0.3">
      <c r="A13" s="85">
        <f>[1]ArdiData!A12</f>
        <v>10</v>
      </c>
      <c r="B13" s="196">
        <f>'[2]0.ArdiData'!D12</f>
        <v>2233</v>
      </c>
      <c r="C13" s="195">
        <f t="shared" si="0"/>
        <v>1780</v>
      </c>
      <c r="D13" s="90">
        <f t="shared" si="5"/>
        <v>1962.2</v>
      </c>
      <c r="E13" s="88">
        <f t="shared" si="1"/>
        <v>1997.7981220657286</v>
      </c>
      <c r="F13" s="92">
        <f t="shared" si="2"/>
        <v>0.89098091560896808</v>
      </c>
      <c r="G13" s="92">
        <f t="shared" si="3"/>
        <v>5</v>
      </c>
      <c r="H13" s="89">
        <f t="shared" si="4"/>
        <v>1751.8377215408084</v>
      </c>
      <c r="Y13" s="195">
        <v>1780</v>
      </c>
    </row>
    <row r="14" spans="1:54" ht="15" x14ac:dyDescent="0.3">
      <c r="A14" s="85">
        <f>[1]ArdiData!A13</f>
        <v>11</v>
      </c>
      <c r="B14" s="196">
        <f>'[2]0.ArdiData'!D13</f>
        <v>2245</v>
      </c>
      <c r="C14" s="195">
        <f t="shared" si="0"/>
        <v>1866</v>
      </c>
      <c r="D14" s="90">
        <f t="shared" si="5"/>
        <v>2149.4</v>
      </c>
      <c r="E14" s="88">
        <f t="shared" si="1"/>
        <v>2077.2870221327976</v>
      </c>
      <c r="F14" s="92">
        <f t="shared" si="2"/>
        <v>0.89828703502134988</v>
      </c>
      <c r="G14" s="92">
        <f t="shared" si="3"/>
        <v>1</v>
      </c>
      <c r="H14" s="89">
        <f t="shared" si="4"/>
        <v>1799.0430074448961</v>
      </c>
      <c r="Y14" s="195">
        <v>1866</v>
      </c>
    </row>
    <row r="15" spans="1:54" ht="15" x14ac:dyDescent="0.3">
      <c r="A15" s="85">
        <f>[1]ArdiData!A14</f>
        <v>12</v>
      </c>
      <c r="B15" s="196">
        <f>'[2]0.ArdiData'!D14</f>
        <v>2566</v>
      </c>
      <c r="C15" s="195">
        <f t="shared" si="0"/>
        <v>2079</v>
      </c>
      <c r="D15" s="90">
        <f t="shared" si="5"/>
        <v>2200.4</v>
      </c>
      <c r="E15" s="88">
        <f t="shared" si="1"/>
        <v>2156.7759221998667</v>
      </c>
      <c r="F15" s="92">
        <f t="shared" si="2"/>
        <v>0.96393880263623455</v>
      </c>
      <c r="G15" s="92">
        <f t="shared" si="3"/>
        <v>2</v>
      </c>
      <c r="H15" s="89">
        <f t="shared" si="4"/>
        <v>2231.6411463600889</v>
      </c>
      <c r="Y15" s="195">
        <v>2079</v>
      </c>
    </row>
    <row r="16" spans="1:54" ht="15" x14ac:dyDescent="0.3">
      <c r="A16" s="85">
        <f>[1]ArdiData!A15</f>
        <v>13</v>
      </c>
      <c r="B16" s="196">
        <f>'[2]0.ArdiData'!D15</f>
        <v>3636</v>
      </c>
      <c r="C16" s="195">
        <f t="shared" si="0"/>
        <v>2977</v>
      </c>
      <c r="D16" s="90">
        <f t="shared" si="5"/>
        <v>2253</v>
      </c>
      <c r="E16" s="88">
        <f t="shared" si="1"/>
        <v>2236.2648222669359</v>
      </c>
      <c r="F16" s="92">
        <f t="shared" si="2"/>
        <v>1.3312376827455388</v>
      </c>
      <c r="G16" s="92">
        <f t="shared" si="3"/>
        <v>3</v>
      </c>
      <c r="H16" s="89">
        <f t="shared" si="4"/>
        <v>2641.2143773014427</v>
      </c>
      <c r="Y16" s="195">
        <v>2977</v>
      </c>
    </row>
    <row r="17" spans="1:25" ht="15" x14ac:dyDescent="0.3">
      <c r="A17" s="85">
        <f>[1]ArdiData!A16</f>
        <v>14</v>
      </c>
      <c r="B17" s="196">
        <f>'[2]0.ArdiData'!D16</f>
        <v>3053</v>
      </c>
      <c r="C17" s="195">
        <f t="shared" si="0"/>
        <v>2300</v>
      </c>
      <c r="D17" s="90">
        <f t="shared" si="5"/>
        <v>2301.4</v>
      </c>
      <c r="E17" s="88">
        <f t="shared" si="1"/>
        <v>2315.753722334005</v>
      </c>
      <c r="F17" s="92">
        <f t="shared" si="2"/>
        <v>0.99319715124191743</v>
      </c>
      <c r="G17" s="92">
        <f t="shared" si="3"/>
        <v>4</v>
      </c>
      <c r="H17" s="89">
        <f t="shared" si="4"/>
        <v>2411.3178589813738</v>
      </c>
      <c r="Y17" s="195">
        <v>2300</v>
      </c>
    </row>
    <row r="18" spans="1:25" ht="15" x14ac:dyDescent="0.3">
      <c r="A18" s="85">
        <f>[1]ArdiData!A17</f>
        <v>15</v>
      </c>
      <c r="B18" s="196">
        <f>'[2]0.ArdiData'!D17</f>
        <v>2533</v>
      </c>
      <c r="C18" s="195">
        <f t="shared" si="0"/>
        <v>2043</v>
      </c>
      <c r="D18" s="90">
        <f t="shared" si="5"/>
        <v>2383.1999999999998</v>
      </c>
      <c r="E18" s="88">
        <f t="shared" si="1"/>
        <v>2395.2426224010742</v>
      </c>
      <c r="F18" s="92">
        <f t="shared" si="2"/>
        <v>0.85294073380842983</v>
      </c>
      <c r="G18" s="92">
        <f t="shared" si="3"/>
        <v>5</v>
      </c>
      <c r="H18" s="89">
        <f t="shared" si="4"/>
        <v>2100.3505468439298</v>
      </c>
      <c r="Y18" s="195">
        <v>2043</v>
      </c>
    </row>
    <row r="19" spans="1:25" ht="15" x14ac:dyDescent="0.3">
      <c r="A19" s="85">
        <f>[1]ArdiData!A18</f>
        <v>16</v>
      </c>
      <c r="B19" s="196">
        <f>'[2]0.ArdiData'!D18</f>
        <v>2783</v>
      </c>
      <c r="C19" s="195">
        <f t="shared" si="0"/>
        <v>2108</v>
      </c>
      <c r="D19" s="90">
        <f t="shared" si="5"/>
        <v>2423</v>
      </c>
      <c r="E19" s="88">
        <f t="shared" si="1"/>
        <v>2474.7315224681433</v>
      </c>
      <c r="F19" s="92">
        <f t="shared" si="2"/>
        <v>0.85180957241681388</v>
      </c>
      <c r="G19" s="92">
        <f t="shared" si="3"/>
        <v>1</v>
      </c>
      <c r="H19" s="89">
        <f t="shared" si="4"/>
        <v>2143.2514589287011</v>
      </c>
      <c r="Y19" s="195">
        <v>2108</v>
      </c>
    </row>
    <row r="20" spans="1:25" ht="15" x14ac:dyDescent="0.3">
      <c r="A20" s="85">
        <f>[1]ArdiData!A19</f>
        <v>17</v>
      </c>
      <c r="B20" s="196">
        <f>'[2]0.ArdiData'!D19</f>
        <v>3280</v>
      </c>
      <c r="C20" s="195">
        <f t="shared" si="0"/>
        <v>2488</v>
      </c>
      <c r="D20" s="90">
        <f t="shared" si="5"/>
        <v>2469.4</v>
      </c>
      <c r="E20" s="88">
        <f t="shared" si="1"/>
        <v>2554.2204225352125</v>
      </c>
      <c r="F20" s="92">
        <f t="shared" si="2"/>
        <v>0.9740741159412214</v>
      </c>
      <c r="G20" s="92">
        <f t="shared" si="3"/>
        <v>2</v>
      </c>
      <c r="H20" s="89">
        <f t="shared" si="4"/>
        <v>2642.8815961506307</v>
      </c>
      <c r="Y20" s="195">
        <v>2488</v>
      </c>
    </row>
    <row r="21" spans="1:25" ht="15" x14ac:dyDescent="0.3">
      <c r="A21" s="85">
        <f>[1]ArdiData!A20</f>
        <v>18</v>
      </c>
      <c r="B21" s="196">
        <f>'[2]0.ArdiData'!D20</f>
        <v>4495</v>
      </c>
      <c r="C21" s="195">
        <f t="shared" si="0"/>
        <v>3176</v>
      </c>
      <c r="D21" s="90">
        <f t="shared" si="5"/>
        <v>2555.6</v>
      </c>
      <c r="E21" s="88">
        <f t="shared" si="1"/>
        <v>2633.7093226022812</v>
      </c>
      <c r="F21" s="92">
        <f t="shared" si="2"/>
        <v>1.205903769540482</v>
      </c>
      <c r="G21" s="92">
        <f t="shared" si="3"/>
        <v>3</v>
      </c>
      <c r="H21" s="89">
        <f t="shared" si="4"/>
        <v>3110.6293222635377</v>
      </c>
      <c r="Y21" s="195">
        <v>3176</v>
      </c>
    </row>
    <row r="22" spans="1:25" ht="15" x14ac:dyDescent="0.3">
      <c r="A22" s="85">
        <f>[1]ArdiData!A21</f>
        <v>19</v>
      </c>
      <c r="B22" s="196">
        <f>'[2]0.ArdiData'!D21</f>
        <v>3306</v>
      </c>
      <c r="C22" s="195">
        <f t="shared" si="0"/>
        <v>2532</v>
      </c>
      <c r="D22" s="90">
        <f t="shared" si="5"/>
        <v>2653.2</v>
      </c>
      <c r="E22" s="88">
        <f t="shared" si="1"/>
        <v>2713.1982226693503</v>
      </c>
      <c r="F22" s="92">
        <f t="shared" si="2"/>
        <v>0.93321600273971861</v>
      </c>
      <c r="G22" s="92">
        <f t="shared" si="3"/>
        <v>4</v>
      </c>
      <c r="H22" s="89">
        <f t="shared" si="4"/>
        <v>2825.1636891185394</v>
      </c>
      <c r="Y22" s="195">
        <v>2532</v>
      </c>
    </row>
    <row r="23" spans="1:25" ht="15" x14ac:dyDescent="0.3">
      <c r="A23" s="85">
        <f>[1]ArdiData!A22</f>
        <v>20</v>
      </c>
      <c r="B23" s="196">
        <f>'[2]0.ArdiData'!D22</f>
        <v>3312</v>
      </c>
      <c r="C23" s="195">
        <f t="shared" si="0"/>
        <v>2474</v>
      </c>
      <c r="D23" s="90">
        <f t="shared" si="5"/>
        <v>2763.4</v>
      </c>
      <c r="E23" s="88">
        <f t="shared" si="1"/>
        <v>2792.6871227364195</v>
      </c>
      <c r="F23" s="92">
        <f t="shared" si="2"/>
        <v>0.88588513187107287</v>
      </c>
      <c r="G23" s="92">
        <f t="shared" si="3"/>
        <v>5</v>
      </c>
      <c r="H23" s="89">
        <f t="shared" si="4"/>
        <v>2448.8633721470505</v>
      </c>
      <c r="Y23" s="195">
        <v>2474</v>
      </c>
    </row>
    <row r="24" spans="1:25" ht="15" x14ac:dyDescent="0.3">
      <c r="A24" s="85">
        <f>[1]ArdiData!A23</f>
        <v>21</v>
      </c>
      <c r="B24" s="196">
        <f>'[2]0.ArdiData'!D23</f>
        <v>3158</v>
      </c>
      <c r="C24" s="195">
        <f t="shared" si="0"/>
        <v>2596</v>
      </c>
      <c r="D24" s="90">
        <f t="shared" si="5"/>
        <v>2863</v>
      </c>
      <c r="E24" s="88">
        <f t="shared" si="1"/>
        <v>2872.1760228034882</v>
      </c>
      <c r="F24" s="92">
        <f t="shared" si="2"/>
        <v>0.90384432548325611</v>
      </c>
      <c r="G24" s="92">
        <f t="shared" si="3"/>
        <v>1</v>
      </c>
      <c r="H24" s="89">
        <f t="shared" si="4"/>
        <v>2487.459910412505</v>
      </c>
      <c r="Y24" s="195">
        <v>2596</v>
      </c>
    </row>
    <row r="25" spans="1:25" ht="15" x14ac:dyDescent="0.3">
      <c r="A25" s="85">
        <f>[1]ArdiData!A24</f>
        <v>22</v>
      </c>
      <c r="B25" s="196">
        <f>'[2]0.ArdiData'!D24</f>
        <v>4255</v>
      </c>
      <c r="C25" s="195">
        <f t="shared" si="0"/>
        <v>3039</v>
      </c>
      <c r="D25" s="90">
        <f t="shared" si="5"/>
        <v>3054.4</v>
      </c>
      <c r="E25" s="88">
        <f t="shared" si="1"/>
        <v>2951.6649228705573</v>
      </c>
      <c r="F25" s="92">
        <f t="shared" si="2"/>
        <v>1.0295884117647431</v>
      </c>
      <c r="G25" s="92">
        <f t="shared" si="3"/>
        <v>2</v>
      </c>
      <c r="H25" s="89">
        <f t="shared" si="4"/>
        <v>3054.1220459411716</v>
      </c>
      <c r="Y25" s="195">
        <v>3039</v>
      </c>
    </row>
    <row r="26" spans="1:25" ht="15" x14ac:dyDescent="0.3">
      <c r="A26" s="85">
        <f>[1]ArdiData!A25</f>
        <v>23</v>
      </c>
      <c r="B26" s="196">
        <f>'[2]0.ArdiData'!D25</f>
        <v>4913</v>
      </c>
      <c r="C26" s="195">
        <f t="shared" si="0"/>
        <v>3674</v>
      </c>
      <c r="D26" s="90">
        <f t="shared" si="5"/>
        <v>3142.4</v>
      </c>
      <c r="E26" s="88">
        <f t="shared" si="1"/>
        <v>3031.1538229376265</v>
      </c>
      <c r="F26" s="92">
        <f t="shared" si="2"/>
        <v>1.2120796946026853</v>
      </c>
      <c r="G26" s="92">
        <f t="shared" si="3"/>
        <v>3</v>
      </c>
      <c r="H26" s="89">
        <f t="shared" si="4"/>
        <v>3580.0442672256322</v>
      </c>
      <c r="Y26" s="195">
        <v>3674</v>
      </c>
    </row>
    <row r="27" spans="1:25" ht="15" x14ac:dyDescent="0.3">
      <c r="A27" s="85">
        <f>[1]ArdiData!A26</f>
        <v>24</v>
      </c>
      <c r="B27" s="196">
        <f>'[2]0.ArdiData'!D26</f>
        <v>3907</v>
      </c>
      <c r="C27" s="195">
        <f t="shared" si="0"/>
        <v>3489</v>
      </c>
      <c r="D27" s="90">
        <f t="shared" si="5"/>
        <v>3167.8</v>
      </c>
      <c r="E27" s="88">
        <f t="shared" si="1"/>
        <v>3110.6427230046957</v>
      </c>
      <c r="F27" s="92">
        <f t="shared" si="2"/>
        <v>1.1216331513089468</v>
      </c>
      <c r="G27" s="92">
        <f t="shared" si="3"/>
        <v>4</v>
      </c>
      <c r="H27" s="89">
        <f t="shared" si="4"/>
        <v>3239.0095192557046</v>
      </c>
      <c r="Y27" s="195">
        <v>3489</v>
      </c>
    </row>
    <row r="28" spans="1:25" ht="15" x14ac:dyDescent="0.3">
      <c r="A28" s="85">
        <f>[1]ArdiData!A27</f>
        <v>25</v>
      </c>
      <c r="B28" s="196">
        <f>'[2]0.ArdiData'!D27</f>
        <v>3802</v>
      </c>
      <c r="C28" s="195">
        <f t="shared" si="0"/>
        <v>2914</v>
      </c>
      <c r="D28" s="90">
        <f t="shared" si="5"/>
        <v>3248</v>
      </c>
      <c r="E28" s="88">
        <f t="shared" si="1"/>
        <v>3190.1316230717648</v>
      </c>
      <c r="F28" s="92">
        <f t="shared" si="2"/>
        <v>0.91344193415885488</v>
      </c>
      <c r="G28" s="92">
        <f t="shared" si="3"/>
        <v>5</v>
      </c>
      <c r="H28" s="89">
        <f t="shared" si="4"/>
        <v>2797.3761974501717</v>
      </c>
      <c r="Y28" s="195">
        <v>2914</v>
      </c>
    </row>
    <row r="29" spans="1:25" ht="15" x14ac:dyDescent="0.3">
      <c r="A29" s="85">
        <f>[1]ArdiData!A28</f>
        <v>26</v>
      </c>
      <c r="B29" s="196">
        <f>'[2]0.ArdiData'!D28</f>
        <v>3733</v>
      </c>
      <c r="C29" s="195">
        <f t="shared" si="0"/>
        <v>2723</v>
      </c>
      <c r="D29" s="90">
        <f t="shared" si="5"/>
        <v>3330.2</v>
      </c>
      <c r="E29" s="88">
        <f t="shared" si="1"/>
        <v>3269.620523138834</v>
      </c>
      <c r="F29" s="92">
        <f t="shared" si="2"/>
        <v>0.83281835941802851</v>
      </c>
      <c r="G29" s="92">
        <f t="shared" si="3"/>
        <v>1</v>
      </c>
      <c r="H29" s="89">
        <f t="shared" si="4"/>
        <v>2831.6683618963098</v>
      </c>
      <c r="Y29" s="195">
        <v>2723</v>
      </c>
    </row>
    <row r="30" spans="1:25" ht="15" x14ac:dyDescent="0.3">
      <c r="A30" s="85">
        <f>[1]ArdiData!A29</f>
        <v>27</v>
      </c>
      <c r="B30" s="196">
        <f>'[2]0.ArdiData'!D29</f>
        <v>4789</v>
      </c>
      <c r="C30" s="195">
        <f t="shared" si="0"/>
        <v>3440</v>
      </c>
      <c r="D30" s="90">
        <f t="shared" si="5"/>
        <v>3354</v>
      </c>
      <c r="E30" s="88">
        <f t="shared" si="1"/>
        <v>3349.1094232059031</v>
      </c>
      <c r="F30" s="92">
        <f t="shared" si="2"/>
        <v>1.0271387301245871</v>
      </c>
      <c r="G30" s="92">
        <f t="shared" si="3"/>
        <v>2</v>
      </c>
      <c r="H30" s="89">
        <f t="shared" si="4"/>
        <v>3465.3624957317134</v>
      </c>
      <c r="Y30" s="195">
        <v>3440</v>
      </c>
    </row>
    <row r="31" spans="1:25" ht="15" x14ac:dyDescent="0.3">
      <c r="A31" s="85">
        <f>[1]ArdiData!A30</f>
        <v>28</v>
      </c>
      <c r="B31" s="196">
        <f>'[2]0.ArdiData'!D30</f>
        <v>5811</v>
      </c>
      <c r="C31" s="195">
        <f t="shared" si="0"/>
        <v>4085</v>
      </c>
      <c r="D31" s="90">
        <f t="shared" si="5"/>
        <v>3382.6</v>
      </c>
      <c r="E31" s="88">
        <f t="shared" si="1"/>
        <v>3428.5983232729723</v>
      </c>
      <c r="F31" s="92">
        <f t="shared" si="2"/>
        <v>1.1914489872643992</v>
      </c>
      <c r="G31" s="92">
        <f t="shared" si="3"/>
        <v>3</v>
      </c>
      <c r="H31" s="89">
        <f t="shared" si="4"/>
        <v>4049.4592121877272</v>
      </c>
      <c r="Y31" s="195">
        <v>4085</v>
      </c>
    </row>
    <row r="32" spans="1:25" ht="15" x14ac:dyDescent="0.3">
      <c r="A32" s="85">
        <f>[1]ArdiData!A31</f>
        <v>29</v>
      </c>
      <c r="B32" s="196">
        <f>'[2]0.ArdiData'!D31</f>
        <v>4964</v>
      </c>
      <c r="C32" s="195">
        <f t="shared" si="0"/>
        <v>3608</v>
      </c>
      <c r="D32" s="90">
        <f t="shared" si="5"/>
        <v>3468.4</v>
      </c>
      <c r="E32" s="88">
        <f t="shared" si="1"/>
        <v>3508.087223340041</v>
      </c>
      <c r="F32" s="92">
        <f t="shared" si="2"/>
        <v>1.0284806991101072</v>
      </c>
      <c r="G32" s="92">
        <f t="shared" si="3"/>
        <v>4</v>
      </c>
      <c r="H32" s="89">
        <f t="shared" si="4"/>
        <v>3652.8553493928698</v>
      </c>
      <c r="Y32" s="195">
        <v>3608</v>
      </c>
    </row>
    <row r="33" spans="1:25" ht="15" x14ac:dyDescent="0.3">
      <c r="A33" s="85">
        <f>[1]ArdiData!A32</f>
        <v>30</v>
      </c>
      <c r="B33" s="196">
        <f>'[2]0.ArdiData'!D32</f>
        <v>4148</v>
      </c>
      <c r="C33" s="195">
        <f t="shared" si="0"/>
        <v>3057</v>
      </c>
      <c r="D33" s="90">
        <f t="shared" si="5"/>
        <v>3608</v>
      </c>
      <c r="E33" s="88">
        <f t="shared" si="1"/>
        <v>3587.5761234071101</v>
      </c>
      <c r="F33" s="92">
        <f t="shared" si="2"/>
        <v>0.85210735461601195</v>
      </c>
      <c r="G33" s="92">
        <f t="shared" si="3"/>
        <v>5</v>
      </c>
      <c r="H33" s="89">
        <f t="shared" si="4"/>
        <v>3145.8890227532925</v>
      </c>
      <c r="Y33" s="195">
        <v>3057</v>
      </c>
    </row>
    <row r="34" spans="1:25" ht="15" x14ac:dyDescent="0.3">
      <c r="A34" s="85">
        <f>[1]ArdiData!A33</f>
        <v>31</v>
      </c>
      <c r="B34" s="196">
        <f>'[2]0.ArdiData'!D33</f>
        <v>4462</v>
      </c>
      <c r="C34" s="195">
        <f t="shared" si="0"/>
        <v>3152</v>
      </c>
      <c r="D34" s="90">
        <f t="shared" si="5"/>
        <v>3704.8</v>
      </c>
      <c r="E34" s="88">
        <f t="shared" si="1"/>
        <v>3667.0650234741793</v>
      </c>
      <c r="F34" s="92">
        <f t="shared" si="2"/>
        <v>0.85954298050973577</v>
      </c>
      <c r="G34" s="92">
        <f t="shared" si="3"/>
        <v>1</v>
      </c>
      <c r="H34" s="89">
        <f t="shared" si="4"/>
        <v>3175.8768133801141</v>
      </c>
      <c r="Y34" s="195">
        <v>3152</v>
      </c>
    </row>
    <row r="35" spans="1:25" ht="15" x14ac:dyDescent="0.3">
      <c r="A35" s="85">
        <f>[1]ArdiData!A34</f>
        <v>32</v>
      </c>
      <c r="B35" s="196">
        <f>'[2]0.ArdiData'!D34</f>
        <v>4860</v>
      </c>
      <c r="C35" s="195">
        <f t="shared" si="0"/>
        <v>4138</v>
      </c>
      <c r="D35" s="90">
        <f t="shared" si="5"/>
        <v>3758.2</v>
      </c>
      <c r="E35" s="88">
        <f t="shared" si="1"/>
        <v>3746.5539235412484</v>
      </c>
      <c r="F35" s="92">
        <f t="shared" si="2"/>
        <v>1.1044816341756416</v>
      </c>
      <c r="G35" s="92">
        <f t="shared" si="3"/>
        <v>2</v>
      </c>
      <c r="H35" s="89">
        <f t="shared" si="4"/>
        <v>3876.6029455222542</v>
      </c>
      <c r="Y35" s="195">
        <v>4138</v>
      </c>
    </row>
    <row r="36" spans="1:25" ht="15" x14ac:dyDescent="0.3">
      <c r="A36" s="85">
        <f>[1]ArdiData!A35</f>
        <v>33</v>
      </c>
      <c r="B36" s="196">
        <f>'[2]0.ArdiData'!D35</f>
        <v>5664</v>
      </c>
      <c r="C36" s="195">
        <f t="shared" ref="C36:C67" si="6">Y36</f>
        <v>4569</v>
      </c>
      <c r="D36" s="90">
        <f t="shared" si="5"/>
        <v>3836</v>
      </c>
      <c r="E36" s="88">
        <f t="shared" ref="E36:E67" si="7">$E$2+$F$2*A36</f>
        <v>3826.0428236083176</v>
      </c>
      <c r="F36" s="92">
        <f t="shared" ref="F36:F67" si="8">C36/E36</f>
        <v>1.1941842291485394</v>
      </c>
      <c r="G36" s="92">
        <f t="shared" ref="G36:G67" si="9">IF(MOD(A36,5)&lt;&gt;0,MOD(A36,5),5)</f>
        <v>3</v>
      </c>
      <c r="H36" s="89">
        <f t="shared" ref="H36:H67" si="10">VLOOKUP(G36,$J$3:$L$7,3)*E36</f>
        <v>4518.8741571498222</v>
      </c>
      <c r="Y36" s="195">
        <v>4569</v>
      </c>
    </row>
    <row r="37" spans="1:25" ht="15" x14ac:dyDescent="0.3">
      <c r="A37" s="85">
        <f>[1]ArdiData!A36</f>
        <v>34</v>
      </c>
      <c r="B37" s="196">
        <f>'[2]0.ArdiData'!D36</f>
        <v>5201</v>
      </c>
      <c r="C37" s="195">
        <f t="shared" si="6"/>
        <v>3875</v>
      </c>
      <c r="D37" s="90">
        <f t="shared" si="5"/>
        <v>3879.8</v>
      </c>
      <c r="E37" s="88">
        <f t="shared" si="7"/>
        <v>3905.5317236753867</v>
      </c>
      <c r="F37" s="92">
        <f t="shared" si="8"/>
        <v>0.99218244125625632</v>
      </c>
      <c r="G37" s="92">
        <f t="shared" si="9"/>
        <v>4</v>
      </c>
      <c r="H37" s="89">
        <f t="shared" si="10"/>
        <v>4066.7011795300355</v>
      </c>
      <c r="Y37" s="195">
        <v>3875</v>
      </c>
    </row>
    <row r="38" spans="1:25" ht="15" x14ac:dyDescent="0.3">
      <c r="A38" s="85">
        <f>[1]ArdiData!A37</f>
        <v>35</v>
      </c>
      <c r="B38" s="196">
        <f>'[2]0.ArdiData'!D37</f>
        <v>4631</v>
      </c>
      <c r="C38" s="195">
        <f t="shared" si="6"/>
        <v>3446</v>
      </c>
      <c r="D38" s="90">
        <f t="shared" ref="D38:D69" si="11">AVERAGE(C36:C40)</f>
        <v>3841.8</v>
      </c>
      <c r="E38" s="88">
        <f t="shared" si="7"/>
        <v>3985.0206237424559</v>
      </c>
      <c r="F38" s="92">
        <f t="shared" si="8"/>
        <v>0.86473831012792979</v>
      </c>
      <c r="G38" s="92">
        <f t="shared" si="9"/>
        <v>5</v>
      </c>
      <c r="H38" s="89">
        <f t="shared" si="10"/>
        <v>3494.4018480564141</v>
      </c>
      <c r="Y38" s="195">
        <v>3446</v>
      </c>
    </row>
    <row r="39" spans="1:25" ht="15" x14ac:dyDescent="0.3">
      <c r="A39" s="85">
        <f>[1]ArdiData!A38</f>
        <v>36</v>
      </c>
      <c r="B39" s="196">
        <f>'[2]0.ArdiData'!D38</f>
        <v>5034</v>
      </c>
      <c r="C39" s="195">
        <f t="shared" si="6"/>
        <v>3371</v>
      </c>
      <c r="D39" s="90">
        <f t="shared" si="11"/>
        <v>3914.4</v>
      </c>
      <c r="E39" s="88">
        <f t="shared" si="7"/>
        <v>4064.5095238095246</v>
      </c>
      <c r="F39" s="92">
        <f t="shared" si="8"/>
        <v>0.82937436368471784</v>
      </c>
      <c r="G39" s="92">
        <f t="shared" si="9"/>
        <v>1</v>
      </c>
      <c r="H39" s="89">
        <f t="shared" si="10"/>
        <v>3520.0852648639188</v>
      </c>
      <c r="Y39" s="195">
        <v>3371</v>
      </c>
    </row>
    <row r="40" spans="1:25" ht="15" x14ac:dyDescent="0.3">
      <c r="A40" s="85">
        <f>[1]ArdiData!A39</f>
        <v>37</v>
      </c>
      <c r="B40" s="196">
        <f>'[2]0.ArdiData'!D39</f>
        <v>5322</v>
      </c>
      <c r="C40" s="195">
        <f t="shared" si="6"/>
        <v>3948</v>
      </c>
      <c r="D40" s="90">
        <f t="shared" si="11"/>
        <v>4047.6</v>
      </c>
      <c r="E40" s="88">
        <f t="shared" si="7"/>
        <v>4143.9984238765937</v>
      </c>
      <c r="F40" s="92">
        <f t="shared" si="8"/>
        <v>0.95270306505250968</v>
      </c>
      <c r="G40" s="92">
        <f t="shared" si="9"/>
        <v>2</v>
      </c>
      <c r="H40" s="89">
        <f t="shared" si="10"/>
        <v>4287.843395312796</v>
      </c>
      <c r="Y40" s="195">
        <v>3948</v>
      </c>
    </row>
    <row r="41" spans="1:25" ht="15" x14ac:dyDescent="0.3">
      <c r="A41" s="85">
        <f>[1]ArdiData!A40</f>
        <v>38</v>
      </c>
      <c r="B41" s="196">
        <f>'[2]0.ArdiData'!D40</f>
        <v>6367</v>
      </c>
      <c r="C41" s="195">
        <f t="shared" si="6"/>
        <v>4932</v>
      </c>
      <c r="D41" s="90">
        <f t="shared" si="11"/>
        <v>4123.3999999999996</v>
      </c>
      <c r="E41" s="88">
        <f t="shared" si="7"/>
        <v>4223.4873239436629</v>
      </c>
      <c r="F41" s="92">
        <f t="shared" si="8"/>
        <v>1.1677553693696816</v>
      </c>
      <c r="G41" s="92">
        <f t="shared" si="9"/>
        <v>3</v>
      </c>
      <c r="H41" s="89">
        <f t="shared" si="10"/>
        <v>4988.2891021119167</v>
      </c>
      <c r="Y41" s="195">
        <v>4932</v>
      </c>
    </row>
    <row r="42" spans="1:25" ht="15" x14ac:dyDescent="0.3">
      <c r="A42" s="85">
        <f>[1]ArdiData!A41</f>
        <v>39</v>
      </c>
      <c r="B42" s="196">
        <f>'[2]0.ArdiData'!D41</f>
        <v>5398</v>
      </c>
      <c r="C42" s="195">
        <f t="shared" si="6"/>
        <v>4541</v>
      </c>
      <c r="D42" s="90">
        <f t="shared" si="11"/>
        <v>4199.6000000000004</v>
      </c>
      <c r="E42" s="88">
        <f t="shared" si="7"/>
        <v>4302.976224010732</v>
      </c>
      <c r="F42" s="92">
        <f t="shared" si="8"/>
        <v>1.0553160797545402</v>
      </c>
      <c r="G42" s="92">
        <f t="shared" si="9"/>
        <v>4</v>
      </c>
      <c r="H42" s="89">
        <f t="shared" si="10"/>
        <v>4480.5470096672007</v>
      </c>
      <c r="Y42" s="195">
        <v>4541</v>
      </c>
    </row>
    <row r="43" spans="1:25" ht="15" x14ac:dyDescent="0.3">
      <c r="A43" s="85">
        <f>[1]ArdiData!A42</f>
        <v>40</v>
      </c>
      <c r="B43" s="196">
        <f>'[2]0.ArdiData'!D42</f>
        <v>5012</v>
      </c>
      <c r="C43" s="195">
        <f t="shared" si="6"/>
        <v>3825</v>
      </c>
      <c r="D43" s="90">
        <f t="shared" si="11"/>
        <v>4346.8</v>
      </c>
      <c r="E43" s="88">
        <f t="shared" si="7"/>
        <v>4382.4651240778012</v>
      </c>
      <c r="F43" s="92">
        <f t="shared" si="8"/>
        <v>0.87279644941952428</v>
      </c>
      <c r="G43" s="92">
        <f t="shared" si="9"/>
        <v>5</v>
      </c>
      <c r="H43" s="89">
        <f t="shared" si="10"/>
        <v>3842.9146733595348</v>
      </c>
      <c r="Y43" s="195">
        <v>3825</v>
      </c>
    </row>
    <row r="44" spans="1:25" ht="15" x14ac:dyDescent="0.3">
      <c r="A44" s="85">
        <f>[1]ArdiData!A43</f>
        <v>41</v>
      </c>
      <c r="B44" s="196">
        <f>'[2]0.ArdiData'!D43</f>
        <v>5546</v>
      </c>
      <c r="C44" s="195">
        <f t="shared" si="6"/>
        <v>3752</v>
      </c>
      <c r="D44" s="90">
        <f t="shared" si="11"/>
        <v>4453.2</v>
      </c>
      <c r="E44" s="88">
        <f t="shared" si="7"/>
        <v>4461.9540241448703</v>
      </c>
      <c r="F44" s="92">
        <f t="shared" si="8"/>
        <v>0.84088719419718083</v>
      </c>
      <c r="G44" s="92">
        <f t="shared" si="9"/>
        <v>1</v>
      </c>
      <c r="H44" s="89">
        <f t="shared" si="10"/>
        <v>3864.2937163477236</v>
      </c>
      <c r="Y44" s="195">
        <v>3752</v>
      </c>
    </row>
    <row r="45" spans="1:25" ht="15" x14ac:dyDescent="0.3">
      <c r="A45" s="85">
        <f>[1]ArdiData!A44</f>
        <v>42</v>
      </c>
      <c r="B45" s="196">
        <f>'[2]0.ArdiData'!D44</f>
        <v>5955</v>
      </c>
      <c r="C45" s="195">
        <f t="shared" si="6"/>
        <v>4684</v>
      </c>
      <c r="D45" s="90">
        <f t="shared" si="11"/>
        <v>4507.6000000000004</v>
      </c>
      <c r="E45" s="88">
        <f t="shared" si="7"/>
        <v>4541.4429242119386</v>
      </c>
      <c r="F45" s="92">
        <f t="shared" si="8"/>
        <v>1.0313902603571306</v>
      </c>
      <c r="G45" s="92">
        <f t="shared" si="9"/>
        <v>2</v>
      </c>
      <c r="H45" s="89">
        <f t="shared" si="10"/>
        <v>4699.0838451033369</v>
      </c>
      <c r="Y45" s="195">
        <v>4684</v>
      </c>
    </row>
    <row r="46" spans="1:25" ht="15" x14ac:dyDescent="0.3">
      <c r="A46" s="85">
        <f>[1]ArdiData!A45</f>
        <v>43</v>
      </c>
      <c r="B46" s="196">
        <f>'[2]0.ArdiData'!D45</f>
        <v>7094</v>
      </c>
      <c r="C46" s="195">
        <f t="shared" si="6"/>
        <v>5464</v>
      </c>
      <c r="D46" s="90">
        <f t="shared" si="11"/>
        <v>4592.8</v>
      </c>
      <c r="E46" s="88">
        <f t="shared" si="7"/>
        <v>4620.9318242790087</v>
      </c>
      <c r="F46" s="92">
        <f t="shared" si="8"/>
        <v>1.1824454910352487</v>
      </c>
      <c r="G46" s="92">
        <f t="shared" si="9"/>
        <v>3</v>
      </c>
      <c r="H46" s="89">
        <f t="shared" si="10"/>
        <v>5457.7040470740121</v>
      </c>
      <c r="Y46" s="195">
        <v>5464</v>
      </c>
    </row>
    <row r="47" spans="1:25" ht="15" x14ac:dyDescent="0.3">
      <c r="A47" s="85">
        <f>[1]ArdiData!A46</f>
        <v>44</v>
      </c>
      <c r="B47" s="196">
        <f>'[2]0.ArdiData'!D46</f>
        <v>6046</v>
      </c>
      <c r="C47" s="195">
        <f t="shared" si="6"/>
        <v>4813</v>
      </c>
      <c r="D47" s="90">
        <f t="shared" si="11"/>
        <v>4684.2</v>
      </c>
      <c r="E47" s="88">
        <f t="shared" si="7"/>
        <v>4700.4207243460769</v>
      </c>
      <c r="F47" s="92">
        <f t="shared" si="8"/>
        <v>1.023950893389354</v>
      </c>
      <c r="G47" s="92">
        <f t="shared" si="9"/>
        <v>4</v>
      </c>
      <c r="H47" s="89">
        <f t="shared" si="10"/>
        <v>4894.3928398043654</v>
      </c>
      <c r="Y47" s="195">
        <v>4813</v>
      </c>
    </row>
    <row r="48" spans="1:25" ht="15" x14ac:dyDescent="0.3">
      <c r="A48" s="85">
        <f>[1]ArdiData!A47</f>
        <v>45</v>
      </c>
      <c r="B48" s="196">
        <f>'[2]0.ArdiData'!D47</f>
        <v>5745</v>
      </c>
      <c r="C48" s="195">
        <f t="shared" si="6"/>
        <v>4251</v>
      </c>
      <c r="D48" s="90">
        <f t="shared" si="11"/>
        <v>4740</v>
      </c>
      <c r="E48" s="88">
        <f t="shared" si="7"/>
        <v>4779.909624413147</v>
      </c>
      <c r="F48" s="92">
        <f t="shared" si="8"/>
        <v>0.88934735884716987</v>
      </c>
      <c r="G48" s="92">
        <f t="shared" si="9"/>
        <v>5</v>
      </c>
      <c r="H48" s="89">
        <f t="shared" si="10"/>
        <v>4191.427498662656</v>
      </c>
      <c r="Y48" s="195">
        <v>4251</v>
      </c>
    </row>
    <row r="49" spans="1:25" ht="15" x14ac:dyDescent="0.3">
      <c r="A49" s="85">
        <f>[1]ArdiData!A48</f>
        <v>46</v>
      </c>
      <c r="B49" s="196">
        <f>'[2]0.ArdiData'!D48</f>
        <v>6008</v>
      </c>
      <c r="C49" s="195">
        <f t="shared" si="6"/>
        <v>4209</v>
      </c>
      <c r="D49" s="90">
        <f t="shared" si="11"/>
        <v>4915.2</v>
      </c>
      <c r="E49" s="88">
        <f t="shared" si="7"/>
        <v>4859.3985244802152</v>
      </c>
      <c r="F49" s="92">
        <f t="shared" si="8"/>
        <v>0.86615657859636341</v>
      </c>
      <c r="G49" s="92">
        <f t="shared" si="9"/>
        <v>1</v>
      </c>
      <c r="H49" s="89">
        <f t="shared" si="10"/>
        <v>4208.5021678315279</v>
      </c>
      <c r="Y49" s="195">
        <v>4209</v>
      </c>
    </row>
    <row r="50" spans="1:25" ht="15" x14ac:dyDescent="0.3">
      <c r="A50" s="85">
        <f>[1]ArdiData!A49</f>
        <v>47</v>
      </c>
      <c r="B50" s="196">
        <f>'[2]0.ArdiData'!D49</f>
        <v>6702</v>
      </c>
      <c r="C50" s="195">
        <f t="shared" si="6"/>
        <v>4963</v>
      </c>
      <c r="D50" s="90">
        <f t="shared" si="11"/>
        <v>5088.2</v>
      </c>
      <c r="E50" s="88">
        <f t="shared" si="7"/>
        <v>4938.8874245472853</v>
      </c>
      <c r="F50" s="92">
        <f t="shared" si="8"/>
        <v>1.0048821877034229</v>
      </c>
      <c r="G50" s="92">
        <f t="shared" si="9"/>
        <v>2</v>
      </c>
      <c r="H50" s="89">
        <f t="shared" si="10"/>
        <v>5110.3242948938796</v>
      </c>
      <c r="Y50" s="195">
        <v>4963</v>
      </c>
    </row>
    <row r="51" spans="1:25" ht="15" x14ac:dyDescent="0.3">
      <c r="A51" s="85">
        <f>[1]ArdiData!A50</f>
        <v>48</v>
      </c>
      <c r="B51" s="196">
        <f>'[2]0.ArdiData'!D50</f>
        <v>8261</v>
      </c>
      <c r="C51" s="195">
        <f t="shared" si="6"/>
        <v>6340</v>
      </c>
      <c r="D51" s="90">
        <f t="shared" si="11"/>
        <v>5134.6000000000004</v>
      </c>
      <c r="E51" s="88">
        <f t="shared" si="7"/>
        <v>5018.3763246143535</v>
      </c>
      <c r="F51" s="92">
        <f t="shared" si="8"/>
        <v>1.2633568289614487</v>
      </c>
      <c r="G51" s="92">
        <f t="shared" si="9"/>
        <v>3</v>
      </c>
      <c r="H51" s="89">
        <f t="shared" si="10"/>
        <v>5927.1189920361057</v>
      </c>
      <c r="Y51" s="195">
        <v>6340</v>
      </c>
    </row>
    <row r="52" spans="1:25" ht="15" x14ac:dyDescent="0.3">
      <c r="A52" s="85">
        <f>[1]ArdiData!A51</f>
        <v>49</v>
      </c>
      <c r="B52" s="196">
        <f>'[2]0.ArdiData'!D51</f>
        <v>6673</v>
      </c>
      <c r="C52" s="195">
        <f t="shared" si="6"/>
        <v>5678</v>
      </c>
      <c r="D52" s="90">
        <f t="shared" si="11"/>
        <v>5252.4</v>
      </c>
      <c r="E52" s="88">
        <f t="shared" si="7"/>
        <v>5097.8652246814227</v>
      </c>
      <c r="F52" s="92">
        <f t="shared" si="8"/>
        <v>1.1137995513317698</v>
      </c>
      <c r="G52" s="92">
        <f t="shared" si="9"/>
        <v>4</v>
      </c>
      <c r="H52" s="89">
        <f t="shared" si="10"/>
        <v>5308.238669941531</v>
      </c>
      <c r="Y52" s="195">
        <v>5678</v>
      </c>
    </row>
    <row r="53" spans="1:25" ht="15" x14ac:dyDescent="0.3">
      <c r="A53" s="85">
        <f>[1]ArdiData!A52</f>
        <v>50</v>
      </c>
      <c r="B53" s="196">
        <f>'[2]0.ArdiData'!D52</f>
        <v>5949</v>
      </c>
      <c r="C53" s="195">
        <f t="shared" si="6"/>
        <v>4483</v>
      </c>
      <c r="D53" s="90">
        <f t="shared" si="11"/>
        <v>5355.6</v>
      </c>
      <c r="E53" s="88">
        <f t="shared" si="7"/>
        <v>5177.3541247484918</v>
      </c>
      <c r="F53" s="92">
        <f t="shared" si="8"/>
        <v>0.86588629867341316</v>
      </c>
      <c r="G53" s="92">
        <f t="shared" si="9"/>
        <v>5</v>
      </c>
      <c r="H53" s="89">
        <f t="shared" si="10"/>
        <v>4539.9403239657768</v>
      </c>
      <c r="Y53" s="195">
        <v>4483</v>
      </c>
    </row>
    <row r="54" spans="1:25" ht="15" x14ac:dyDescent="0.3">
      <c r="A54" s="85">
        <f>[1]ArdiData!A53</f>
        <v>51</v>
      </c>
      <c r="B54" s="196">
        <f>'[2]0.ArdiData'!D53</f>
        <v>6085</v>
      </c>
      <c r="C54" s="195">
        <f t="shared" si="6"/>
        <v>4798</v>
      </c>
      <c r="D54" s="90">
        <f t="shared" si="11"/>
        <v>5210.8</v>
      </c>
      <c r="E54" s="88">
        <f t="shared" si="7"/>
        <v>5256.843024815561</v>
      </c>
      <c r="F54" s="92">
        <f t="shared" si="8"/>
        <v>0.91271509865340528</v>
      </c>
      <c r="G54" s="92">
        <f t="shared" si="9"/>
        <v>1</v>
      </c>
      <c r="H54" s="89">
        <f t="shared" si="10"/>
        <v>4552.7106193153322</v>
      </c>
      <c r="Y54" s="195">
        <v>4798</v>
      </c>
    </row>
    <row r="55" spans="1:25" ht="15" x14ac:dyDescent="0.3">
      <c r="A55" s="85">
        <f>[1]ArdiData!A54</f>
        <v>52</v>
      </c>
      <c r="B55" s="196">
        <f>'[2]0.ArdiData'!D54</f>
        <v>7293</v>
      </c>
      <c r="C55" s="195">
        <f t="shared" si="6"/>
        <v>5479</v>
      </c>
      <c r="D55" s="90">
        <f t="shared" si="11"/>
        <v>5227.6000000000004</v>
      </c>
      <c r="E55" s="88">
        <f t="shared" si="7"/>
        <v>5336.3319248826301</v>
      </c>
      <c r="F55" s="92">
        <f t="shared" si="8"/>
        <v>1.0267352325765433</v>
      </c>
      <c r="G55" s="92">
        <f t="shared" si="9"/>
        <v>2</v>
      </c>
      <c r="H55" s="89">
        <f t="shared" si="10"/>
        <v>5521.5647446844205</v>
      </c>
      <c r="Y55" s="195">
        <v>5479</v>
      </c>
    </row>
    <row r="56" spans="1:25" ht="15" x14ac:dyDescent="0.3">
      <c r="A56" s="85">
        <f>[1]ArdiData!A55</f>
        <v>53</v>
      </c>
      <c r="B56" s="196">
        <f>'[2]0.ArdiData'!D55</f>
        <v>9251</v>
      </c>
      <c r="C56" s="195">
        <f t="shared" si="6"/>
        <v>5616</v>
      </c>
      <c r="D56" s="90">
        <f t="shared" si="11"/>
        <v>5279</v>
      </c>
      <c r="E56" s="88">
        <f t="shared" si="7"/>
        <v>5415.8208249496993</v>
      </c>
      <c r="F56" s="92">
        <f t="shared" si="8"/>
        <v>1.0369619271982027</v>
      </c>
      <c r="G56" s="92">
        <f t="shared" si="9"/>
        <v>3</v>
      </c>
      <c r="H56" s="89">
        <f t="shared" si="10"/>
        <v>6396.5339369982012</v>
      </c>
      <c r="Y56" s="195">
        <v>5616</v>
      </c>
    </row>
    <row r="57" spans="1:25" ht="15" x14ac:dyDescent="0.3">
      <c r="A57" s="85">
        <f>[1]ArdiData!A56</f>
        <v>54</v>
      </c>
      <c r="B57" s="196">
        <f>'[2]0.ArdiData'!D56</f>
        <v>8191</v>
      </c>
      <c r="C57" s="195">
        <f t="shared" si="6"/>
        <v>5762</v>
      </c>
      <c r="D57" s="90">
        <f t="shared" si="11"/>
        <v>5357.2</v>
      </c>
      <c r="E57" s="88">
        <f t="shared" si="7"/>
        <v>5495.3097250167684</v>
      </c>
      <c r="F57" s="92">
        <f t="shared" si="8"/>
        <v>1.0485305266360427</v>
      </c>
      <c r="G57" s="92">
        <f t="shared" si="9"/>
        <v>4</v>
      </c>
      <c r="H57" s="89">
        <f t="shared" si="10"/>
        <v>5722.0845000786967</v>
      </c>
      <c r="Y57" s="195">
        <v>5762</v>
      </c>
    </row>
    <row r="58" spans="1:25" ht="15" x14ac:dyDescent="0.3">
      <c r="A58" s="85">
        <f>[1]ArdiData!A57</f>
        <v>55</v>
      </c>
      <c r="B58" s="196">
        <f>'[2]0.ArdiData'!D57</f>
        <v>6452</v>
      </c>
      <c r="C58" s="195">
        <f t="shared" si="6"/>
        <v>4740</v>
      </c>
      <c r="D58" s="90">
        <f t="shared" si="11"/>
        <v>5538</v>
      </c>
      <c r="E58" s="88">
        <f t="shared" si="7"/>
        <v>5574.7986250838376</v>
      </c>
      <c r="F58" s="92">
        <f t="shared" si="8"/>
        <v>0.85025492735689923</v>
      </c>
      <c r="G58" s="92">
        <f t="shared" si="9"/>
        <v>5</v>
      </c>
      <c r="H58" s="89">
        <f t="shared" si="10"/>
        <v>4888.4531492688984</v>
      </c>
      <c r="Y58" s="195">
        <v>4740</v>
      </c>
    </row>
    <row r="59" spans="1:25" ht="15" x14ac:dyDescent="0.3">
      <c r="A59" s="85">
        <f>[1]ArdiData!A58</f>
        <v>56</v>
      </c>
      <c r="B59" s="196">
        <f>'[2]0.ArdiData'!D58</f>
        <v>6950</v>
      </c>
      <c r="C59" s="195">
        <f t="shared" si="6"/>
        <v>5189</v>
      </c>
      <c r="D59" s="90">
        <f t="shared" si="11"/>
        <v>5909.4</v>
      </c>
      <c r="E59" s="88">
        <f t="shared" si="7"/>
        <v>5654.2875251509067</v>
      </c>
      <c r="F59" s="92">
        <f t="shared" si="8"/>
        <v>0.91771067122404804</v>
      </c>
      <c r="G59" s="92">
        <f t="shared" si="9"/>
        <v>1</v>
      </c>
      <c r="H59" s="89">
        <f t="shared" si="10"/>
        <v>4896.9190707991374</v>
      </c>
      <c r="Y59" s="195">
        <v>5189</v>
      </c>
    </row>
    <row r="60" spans="1:25" ht="15" x14ac:dyDescent="0.3">
      <c r="A60" s="85">
        <f>[1]ArdiData!A59</f>
        <v>57</v>
      </c>
      <c r="B60" s="196">
        <f>'[2]0.ArdiData'!D59</f>
        <v>7887</v>
      </c>
      <c r="C60" s="195">
        <f t="shared" si="6"/>
        <v>6383</v>
      </c>
      <c r="D60" s="90">
        <f t="shared" si="11"/>
        <v>5979</v>
      </c>
      <c r="E60" s="88">
        <f t="shared" si="7"/>
        <v>5733.7764252179759</v>
      </c>
      <c r="F60" s="92">
        <f t="shared" si="8"/>
        <v>1.1132279193738084</v>
      </c>
      <c r="G60" s="92">
        <f t="shared" si="9"/>
        <v>2</v>
      </c>
      <c r="H60" s="89">
        <f t="shared" si="10"/>
        <v>5932.8051944749623</v>
      </c>
      <c r="Y60" s="195">
        <v>6383</v>
      </c>
    </row>
    <row r="61" spans="1:25" ht="15" x14ac:dyDescent="0.3">
      <c r="A61" s="85">
        <f>[1]ArdiData!A60</f>
        <v>58</v>
      </c>
      <c r="B61" s="196">
        <f>'[2]0.ArdiData'!D60</f>
        <v>8987</v>
      </c>
      <c r="C61" s="195">
        <f t="shared" si="6"/>
        <v>7473</v>
      </c>
      <c r="D61" s="90">
        <f t="shared" si="11"/>
        <v>6089.8</v>
      </c>
      <c r="E61" s="88">
        <f t="shared" si="7"/>
        <v>5813.2653252850441</v>
      </c>
      <c r="F61" s="92">
        <f t="shared" si="8"/>
        <v>1.2855081579531333</v>
      </c>
      <c r="G61" s="92">
        <f t="shared" si="9"/>
        <v>3</v>
      </c>
      <c r="H61" s="89">
        <f t="shared" si="10"/>
        <v>6865.9488819602957</v>
      </c>
      <c r="Y61" s="195">
        <v>7473</v>
      </c>
    </row>
    <row r="62" spans="1:25" ht="15" x14ac:dyDescent="0.3">
      <c r="A62" s="85">
        <f>[1]ArdiData!A61</f>
        <v>59</v>
      </c>
      <c r="B62" s="196">
        <f>'[2]0.ArdiData'!D61</f>
        <v>8329</v>
      </c>
      <c r="C62" s="195">
        <f t="shared" si="6"/>
        <v>6110</v>
      </c>
      <c r="D62" s="90">
        <f t="shared" si="11"/>
        <v>6069.4</v>
      </c>
      <c r="E62" s="88">
        <f t="shared" si="7"/>
        <v>5892.7542253521133</v>
      </c>
      <c r="F62" s="92">
        <f t="shared" si="8"/>
        <v>1.0368665935044841</v>
      </c>
      <c r="G62" s="92">
        <f t="shared" si="9"/>
        <v>4</v>
      </c>
      <c r="H62" s="89">
        <f t="shared" si="10"/>
        <v>6135.9303302158614</v>
      </c>
      <c r="Y62" s="195">
        <v>6110</v>
      </c>
    </row>
    <row r="63" spans="1:25" ht="15" x14ac:dyDescent="0.3">
      <c r="A63" s="85">
        <f>[1]ArdiData!A62</f>
        <v>60</v>
      </c>
      <c r="B63" s="196">
        <f>'[2]0.ArdiData'!D62</f>
        <v>6803</v>
      </c>
      <c r="C63" s="195">
        <f t="shared" si="6"/>
        <v>5294</v>
      </c>
      <c r="D63" s="90">
        <f t="shared" si="11"/>
        <v>6152.8</v>
      </c>
      <c r="E63" s="88">
        <f t="shared" si="7"/>
        <v>5972.2431254191824</v>
      </c>
      <c r="F63" s="92">
        <f t="shared" si="8"/>
        <v>0.88643410672073442</v>
      </c>
      <c r="G63" s="92">
        <f t="shared" si="9"/>
        <v>5</v>
      </c>
      <c r="H63" s="89">
        <f t="shared" si="10"/>
        <v>5236.9659745720191</v>
      </c>
      <c r="Y63" s="195">
        <v>5294</v>
      </c>
    </row>
    <row r="64" spans="1:25" ht="15" x14ac:dyDescent="0.3">
      <c r="A64" s="85">
        <f>[1]ArdiData!A63</f>
        <v>61</v>
      </c>
      <c r="B64" s="196">
        <f>'[2]0.ArdiData'!D63</f>
        <v>7074</v>
      </c>
      <c r="C64" s="195">
        <f t="shared" si="6"/>
        <v>5087</v>
      </c>
      <c r="D64" s="90">
        <f t="shared" si="11"/>
        <v>5965</v>
      </c>
      <c r="E64" s="88">
        <f t="shared" si="7"/>
        <v>6051.7320254862516</v>
      </c>
      <c r="F64" s="92">
        <f t="shared" si="8"/>
        <v>0.8405857990037594</v>
      </c>
      <c r="G64" s="92">
        <f t="shared" si="9"/>
        <v>1</v>
      </c>
      <c r="H64" s="89">
        <f t="shared" si="10"/>
        <v>5241.1275222829418</v>
      </c>
      <c r="Y64" s="195">
        <v>5087</v>
      </c>
    </row>
    <row r="65" spans="1:25" ht="15" x14ac:dyDescent="0.3">
      <c r="A65" s="85">
        <f>[1]ArdiData!A64</f>
        <v>62</v>
      </c>
      <c r="B65" s="196">
        <f>'[2]0.ArdiData'!D64</f>
        <v>8395</v>
      </c>
      <c r="C65" s="195">
        <f t="shared" si="6"/>
        <v>6800</v>
      </c>
      <c r="D65" s="90">
        <f t="shared" si="11"/>
        <v>6084.6</v>
      </c>
      <c r="E65" s="88">
        <f t="shared" si="7"/>
        <v>6131.2209255533207</v>
      </c>
      <c r="F65" s="92">
        <f t="shared" si="8"/>
        <v>1.1090776343842681</v>
      </c>
      <c r="G65" s="92">
        <f t="shared" si="9"/>
        <v>2</v>
      </c>
      <c r="H65" s="89">
        <f t="shared" si="10"/>
        <v>6344.0456442655031</v>
      </c>
      <c r="Y65" s="195">
        <v>6800</v>
      </c>
    </row>
    <row r="66" spans="1:25" ht="15" x14ac:dyDescent="0.3">
      <c r="A66" s="85">
        <f>[1]ArdiData!A65</f>
        <v>63</v>
      </c>
      <c r="B66" s="196">
        <f>'[2]0.ArdiData'!D65</f>
        <v>11034</v>
      </c>
      <c r="C66" s="195">
        <f t="shared" si="6"/>
        <v>6534</v>
      </c>
      <c r="D66" s="90">
        <f t="shared" si="11"/>
        <v>6172.6</v>
      </c>
      <c r="E66" s="88">
        <f t="shared" si="7"/>
        <v>6210.7098256203899</v>
      </c>
      <c r="F66" s="92">
        <f t="shared" si="8"/>
        <v>1.0520536594780157</v>
      </c>
      <c r="G66" s="92">
        <f t="shared" si="9"/>
        <v>3</v>
      </c>
      <c r="H66" s="89">
        <f t="shared" si="10"/>
        <v>7335.3638269223902</v>
      </c>
      <c r="Y66" s="195">
        <v>6534</v>
      </c>
    </row>
    <row r="67" spans="1:25" ht="15" x14ac:dyDescent="0.3">
      <c r="A67" s="85">
        <f>[1]ArdiData!A66</f>
        <v>64</v>
      </c>
      <c r="B67" s="196">
        <f>'[2]0.ArdiData'!D66</f>
        <v>9075</v>
      </c>
      <c r="C67" s="195">
        <f t="shared" si="6"/>
        <v>6708</v>
      </c>
      <c r="D67" s="90">
        <f t="shared" si="11"/>
        <v>6230</v>
      </c>
      <c r="E67" s="88">
        <f t="shared" si="7"/>
        <v>6290.198725687459</v>
      </c>
      <c r="F67" s="92">
        <f t="shared" si="8"/>
        <v>1.0664209975761743</v>
      </c>
      <c r="G67" s="92">
        <f t="shared" si="9"/>
        <v>4</v>
      </c>
      <c r="H67" s="89">
        <f t="shared" si="10"/>
        <v>6549.7761603530271</v>
      </c>
      <c r="Y67" s="195">
        <v>6708</v>
      </c>
    </row>
    <row r="68" spans="1:25" ht="15" x14ac:dyDescent="0.3">
      <c r="A68" s="85">
        <f>[1]ArdiData!A67</f>
        <v>65</v>
      </c>
      <c r="B68" s="196">
        <f>'[2]0.ArdiData'!D67</f>
        <v>7839</v>
      </c>
      <c r="C68" s="195">
        <f t="shared" ref="C68:C78" si="12">Y68</f>
        <v>5734</v>
      </c>
      <c r="D68" s="90">
        <f t="shared" si="11"/>
        <v>6226</v>
      </c>
      <c r="E68" s="88">
        <f t="shared" ref="E68:E78" si="13">$E$2+$F$2*A68</f>
        <v>6369.6876257545282</v>
      </c>
      <c r="F68" s="92">
        <f t="shared" ref="F68:F99" si="14">C68/E68</f>
        <v>0.90020113024314485</v>
      </c>
      <c r="G68" s="92">
        <f t="shared" ref="G68:G78" si="15">IF(MOD(A68,5)&lt;&gt;0,MOD(A68,5),5)</f>
        <v>5</v>
      </c>
      <c r="H68" s="89">
        <f t="shared" ref="H68:H99" si="16">VLOOKUP(G68,$J$3:$L$7,3)*E68</f>
        <v>5585.4787998751399</v>
      </c>
      <c r="Y68" s="195">
        <v>5734</v>
      </c>
    </row>
    <row r="69" spans="1:25" ht="15" x14ac:dyDescent="0.3">
      <c r="A69" s="85">
        <f>[1]ArdiData!A68</f>
        <v>66</v>
      </c>
      <c r="B69" s="196">
        <f>'[2]0.ArdiData'!D68</f>
        <v>7864</v>
      </c>
      <c r="C69" s="195">
        <f t="shared" si="12"/>
        <v>5374</v>
      </c>
      <c r="D69" s="90">
        <f t="shared" si="11"/>
        <v>6319</v>
      </c>
      <c r="E69" s="88">
        <f t="shared" si="13"/>
        <v>6449.1765258215974</v>
      </c>
      <c r="F69" s="92">
        <f t="shared" si="14"/>
        <v>0.83328468037481351</v>
      </c>
      <c r="G69" s="92">
        <f t="shared" si="15"/>
        <v>1</v>
      </c>
      <c r="H69" s="89">
        <f t="shared" si="16"/>
        <v>5585.3359737667461</v>
      </c>
      <c r="Y69" s="195">
        <v>5374</v>
      </c>
    </row>
    <row r="70" spans="1:25" ht="15" x14ac:dyDescent="0.3">
      <c r="A70" s="85">
        <f>[1]ArdiData!A69</f>
        <v>67</v>
      </c>
      <c r="B70" s="196">
        <f>'[2]0.ArdiData'!D69</f>
        <v>8711</v>
      </c>
      <c r="C70" s="195">
        <f t="shared" si="12"/>
        <v>6780</v>
      </c>
      <c r="D70" s="90">
        <f t="shared" ref="D70:D101" si="17">AVERAGE(C68:C72)</f>
        <v>6324.4</v>
      </c>
      <c r="E70" s="88">
        <f t="shared" si="13"/>
        <v>6528.6654258886665</v>
      </c>
      <c r="F70" s="92">
        <f t="shared" si="14"/>
        <v>1.038497082897631</v>
      </c>
      <c r="G70" s="92">
        <f t="shared" si="15"/>
        <v>2</v>
      </c>
      <c r="H70" s="89">
        <f t="shared" si="16"/>
        <v>6755.2860940560449</v>
      </c>
      <c r="Y70" s="195">
        <v>6780</v>
      </c>
    </row>
    <row r="71" spans="1:25" ht="15" x14ac:dyDescent="0.3">
      <c r="A71" s="85">
        <f>[1]ArdiData!A70</f>
        <v>68</v>
      </c>
      <c r="B71" s="196">
        <f>'[2]0.ArdiData'!D70</f>
        <v>12167</v>
      </c>
      <c r="C71" s="195">
        <f t="shared" si="12"/>
        <v>6999</v>
      </c>
      <c r="D71" s="90">
        <f t="shared" si="17"/>
        <v>6406.4</v>
      </c>
      <c r="E71" s="88">
        <f t="shared" si="13"/>
        <v>6608.1543259557357</v>
      </c>
      <c r="F71" s="92">
        <f t="shared" si="14"/>
        <v>1.0591459664477094</v>
      </c>
      <c r="G71" s="92">
        <f t="shared" si="15"/>
        <v>3</v>
      </c>
      <c r="H71" s="89">
        <f t="shared" si="16"/>
        <v>7804.7787718844856</v>
      </c>
      <c r="Y71" s="195">
        <v>6999</v>
      </c>
    </row>
    <row r="72" spans="1:25" ht="15" x14ac:dyDescent="0.3">
      <c r="A72" s="85">
        <f>[1]ArdiData!A71</f>
        <v>69</v>
      </c>
      <c r="B72" s="196">
        <f>'[2]0.ArdiData'!D71</f>
        <v>9084</v>
      </c>
      <c r="C72" s="195">
        <f t="shared" si="12"/>
        <v>6735</v>
      </c>
      <c r="D72" s="90">
        <f t="shared" si="17"/>
        <v>6503.4</v>
      </c>
      <c r="E72" s="88">
        <f t="shared" si="13"/>
        <v>6687.6432260228048</v>
      </c>
      <c r="F72" s="92">
        <f t="shared" si="14"/>
        <v>1.0070812351043072</v>
      </c>
      <c r="G72" s="92">
        <f t="shared" si="15"/>
        <v>4</v>
      </c>
      <c r="H72" s="89">
        <f t="shared" si="16"/>
        <v>6963.6219904901936</v>
      </c>
      <c r="Y72" s="195">
        <v>6735</v>
      </c>
    </row>
    <row r="73" spans="1:25" ht="15" x14ac:dyDescent="0.3">
      <c r="A73" s="85">
        <f>[1]ArdiData!A72</f>
        <v>70</v>
      </c>
      <c r="B73" s="196">
        <f>'[2]0.ArdiData'!D72</f>
        <v>8083</v>
      </c>
      <c r="C73" s="195">
        <f t="shared" si="12"/>
        <v>6144</v>
      </c>
      <c r="D73" s="90">
        <f t="shared" si="17"/>
        <v>6617.6</v>
      </c>
      <c r="E73" s="88">
        <f t="shared" si="13"/>
        <v>6767.132126089874</v>
      </c>
      <c r="F73" s="92">
        <f t="shared" si="14"/>
        <v>0.90791784252483232</v>
      </c>
      <c r="G73" s="92">
        <f t="shared" si="15"/>
        <v>5</v>
      </c>
      <c r="H73" s="89">
        <f t="shared" si="16"/>
        <v>5933.9916251782615</v>
      </c>
      <c r="Y73" s="195">
        <v>6144</v>
      </c>
    </row>
    <row r="74" spans="1:25" ht="15" x14ac:dyDescent="0.3">
      <c r="A74" s="85">
        <f>[1]ArdiData!A73</f>
        <v>71</v>
      </c>
      <c r="B74" s="196">
        <f>'[2]0.ArdiData'!D73</f>
        <v>8184</v>
      </c>
      <c r="C74" s="195">
        <f t="shared" si="12"/>
        <v>5859</v>
      </c>
      <c r="D74" s="90">
        <f t="shared" si="17"/>
        <v>6984</v>
      </c>
      <c r="E74" s="88">
        <f t="shared" si="13"/>
        <v>6846.6210261569422</v>
      </c>
      <c r="F74" s="92">
        <f t="shared" si="14"/>
        <v>0.85575059253552688</v>
      </c>
      <c r="G74" s="92">
        <f t="shared" si="15"/>
        <v>1</v>
      </c>
      <c r="H74" s="89">
        <f t="shared" si="16"/>
        <v>5929.5444252505504</v>
      </c>
      <c r="Y74" s="195">
        <v>5859</v>
      </c>
    </row>
    <row r="75" spans="1:25" ht="15" x14ac:dyDescent="0.3">
      <c r="A75" s="85">
        <f>[1]ArdiData!A74</f>
        <v>72</v>
      </c>
      <c r="B75" s="196">
        <f>'[2]0.ArdiData'!D74</f>
        <v>10203</v>
      </c>
      <c r="C75" s="195">
        <f t="shared" si="12"/>
        <v>7351</v>
      </c>
      <c r="D75" s="90">
        <f t="shared" si="17"/>
        <v>7118.2</v>
      </c>
      <c r="E75" s="88">
        <f t="shared" si="13"/>
        <v>6926.1099262240114</v>
      </c>
      <c r="F75" s="92">
        <f t="shared" si="14"/>
        <v>1.0613461348869511</v>
      </c>
      <c r="G75" s="92">
        <f t="shared" si="15"/>
        <v>2</v>
      </c>
      <c r="H75" s="89">
        <f t="shared" si="16"/>
        <v>7166.5265438465849</v>
      </c>
      <c r="Y75" s="195">
        <v>7351</v>
      </c>
    </row>
    <row r="76" spans="1:25" ht="15" x14ac:dyDescent="0.3">
      <c r="A76" s="85">
        <f>[1]ArdiData!A75</f>
        <v>73</v>
      </c>
      <c r="B76" s="196">
        <f>'[2]0.ArdiData'!D75</f>
        <v>11492</v>
      </c>
      <c r="C76" s="195">
        <f t="shared" si="12"/>
        <v>8831</v>
      </c>
      <c r="D76" s="90">
        <f t="shared" si="17"/>
        <v>7165.8</v>
      </c>
      <c r="E76" s="88">
        <f t="shared" si="13"/>
        <v>7005.5988262910805</v>
      </c>
      <c r="F76" s="92">
        <f t="shared" si="14"/>
        <v>1.26056318938196</v>
      </c>
      <c r="G76" s="92">
        <f t="shared" si="15"/>
        <v>3</v>
      </c>
      <c r="H76" s="89">
        <f t="shared" si="16"/>
        <v>8274.1937168465793</v>
      </c>
      <c r="Y76" s="195">
        <v>8831</v>
      </c>
    </row>
    <row r="77" spans="1:25" ht="15" x14ac:dyDescent="0.3">
      <c r="A77" s="85">
        <f>[1]ArdiData!A76</f>
        <v>74</v>
      </c>
      <c r="B77" s="196">
        <f>'[2]0.ArdiData'!D76</f>
        <v>10511</v>
      </c>
      <c r="C77" s="195">
        <f t="shared" si="12"/>
        <v>7406</v>
      </c>
      <c r="D77" s="90"/>
      <c r="E77" s="88">
        <f t="shared" si="13"/>
        <v>7085.0877263581497</v>
      </c>
      <c r="F77" s="92">
        <f t="shared" si="14"/>
        <v>1.0452940437770422</v>
      </c>
      <c r="G77" s="92">
        <f t="shared" si="15"/>
        <v>4</v>
      </c>
      <c r="H77" s="89">
        <f t="shared" si="16"/>
        <v>7377.4678206273584</v>
      </c>
      <c r="Y77" s="195">
        <v>7406</v>
      </c>
    </row>
    <row r="78" spans="1:25" ht="15" x14ac:dyDescent="0.3">
      <c r="A78" s="85">
        <f>[1]ArdiData!A77</f>
        <v>75</v>
      </c>
      <c r="B78" s="196">
        <f>'[2]0.ArdiData'!D77</f>
        <v>8584</v>
      </c>
      <c r="C78" s="195">
        <f t="shared" si="12"/>
        <v>6382</v>
      </c>
      <c r="D78" s="90"/>
      <c r="E78" s="88">
        <f t="shared" si="13"/>
        <v>7164.5766264252188</v>
      </c>
      <c r="F78" s="92">
        <f t="shared" si="14"/>
        <v>0.89077140670966803</v>
      </c>
      <c r="G78" s="92">
        <f t="shared" si="15"/>
        <v>5</v>
      </c>
      <c r="H78" s="89">
        <f t="shared" si="16"/>
        <v>6282.5044504813823</v>
      </c>
      <c r="Y78" s="195">
        <v>6382</v>
      </c>
    </row>
    <row r="79" spans="1:25" ht="15" x14ac:dyDescent="0.3">
      <c r="A79" s="85">
        <v>76</v>
      </c>
      <c r="B79" s="196"/>
      <c r="C79" s="195"/>
      <c r="D79" s="90"/>
      <c r="E79" s="88"/>
      <c r="F79" s="92"/>
      <c r="G79" s="92"/>
      <c r="H79" s="89"/>
    </row>
    <row r="80" spans="1:25" ht="15" x14ac:dyDescent="0.3">
      <c r="A80" s="85">
        <v>77</v>
      </c>
      <c r="B80" s="196"/>
      <c r="C80" s="195"/>
      <c r="D80" s="90"/>
      <c r="E80" s="88"/>
      <c r="F80" s="92"/>
      <c r="G80" s="92"/>
      <c r="H80" s="89"/>
    </row>
    <row r="81" spans="1:8" ht="15" x14ac:dyDescent="0.3">
      <c r="A81" s="85">
        <v>78</v>
      </c>
      <c r="B81" s="196"/>
      <c r="C81" s="195"/>
      <c r="D81" s="90"/>
      <c r="E81" s="88"/>
      <c r="F81" s="92"/>
      <c r="G81" s="92"/>
      <c r="H81" s="89"/>
    </row>
    <row r="82" spans="1:8" ht="15" x14ac:dyDescent="0.3">
      <c r="A82" s="85">
        <v>79</v>
      </c>
      <c r="B82" s="196"/>
      <c r="C82" s="195"/>
      <c r="D82" s="90"/>
      <c r="E82" s="88"/>
      <c r="F82" s="92"/>
      <c r="G82" s="92"/>
      <c r="H82" s="89"/>
    </row>
    <row r="83" spans="1:8" ht="15" x14ac:dyDescent="0.3">
      <c r="A83" s="85">
        <v>80</v>
      </c>
      <c r="B83" s="196"/>
      <c r="C83" s="195"/>
      <c r="D83" s="90"/>
      <c r="E83" s="88"/>
      <c r="F83" s="92"/>
      <c r="G83" s="92"/>
      <c r="H83" s="89"/>
    </row>
  </sheetData>
  <conditionalFormatting sqref="G4:G8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8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:F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" r:id="rId1" xr:uid="{A2471232-405B-4AFB-BADA-191A49157DEB}"/>
  </hyperlinks>
  <pageMargins left="0.75" right="0.75" top="1" bottom="1" header="0.5" footer="0.5"/>
  <pageSetup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4F1C-7CE8-44E4-BF26-9686538F2288}">
  <dimension ref="A1:X36"/>
  <sheetViews>
    <sheetView workbookViewId="0">
      <selection activeCell="D38" sqref="D38"/>
    </sheetView>
  </sheetViews>
  <sheetFormatPr defaultRowHeight="15" x14ac:dyDescent="0.25"/>
  <sheetData>
    <row r="1" spans="1:24" x14ac:dyDescent="0.25">
      <c r="A1" t="s">
        <v>146</v>
      </c>
      <c r="B1" t="s">
        <v>209</v>
      </c>
      <c r="C1" t="s">
        <v>0</v>
      </c>
      <c r="E1" t="s">
        <v>0</v>
      </c>
      <c r="F1" t="s">
        <v>208</v>
      </c>
      <c r="G1" t="s">
        <v>207</v>
      </c>
      <c r="H1" t="s">
        <v>133</v>
      </c>
      <c r="S1">
        <v>0.2</v>
      </c>
      <c r="W1" t="s">
        <v>51</v>
      </c>
      <c r="X1" t="s">
        <v>184</v>
      </c>
    </row>
    <row r="2" spans="1:24" x14ac:dyDescent="0.25">
      <c r="A2">
        <v>1</v>
      </c>
      <c r="B2">
        <f t="shared" ref="B2:B36" si="0">IF(MOD(A2,$P$2)&gt;0,MOD(A2,$P$2),$P$2)</f>
        <v>1</v>
      </c>
      <c r="C2">
        <f t="shared" ref="C2:C36" si="1">($N$2+$O$2*A2)</f>
        <v>100</v>
      </c>
      <c r="D2">
        <f t="shared" ref="D2:D36" ca="1" si="2">VLOOKUP(B2,$R$2:$T$8,2,0)*RAND()*$Q$2</f>
        <v>1.4937239867924117</v>
      </c>
      <c r="E2">
        <f t="shared" ref="E2:E36" ca="1" si="3">ROUND(C2+D2,0)</f>
        <v>101</v>
      </c>
      <c r="G2">
        <f t="shared" ref="G2:G36" ca="1" si="4">$W$2+$X$2*A2</f>
        <v>199.40344827586199</v>
      </c>
      <c r="H2">
        <f t="shared" ref="H2:H36" ca="1" si="5">E2/G2</f>
        <v>0.50651079945354271</v>
      </c>
      <c r="I2">
        <f t="shared" ref="I2:I36" si="6">IF(MOD(A2,$P$2)&gt;0, MOD(A2,$P$2),$P$2)</f>
        <v>1</v>
      </c>
      <c r="J2">
        <f t="shared" ref="J2:J36" ca="1" si="7">VLOOKUP(B2,$R$2:$T$8,3)*G2</f>
        <v>144.17195998193779</v>
      </c>
      <c r="N2">
        <v>90</v>
      </c>
      <c r="O2">
        <v>10</v>
      </c>
      <c r="P2">
        <v>7</v>
      </c>
      <c r="Q2">
        <f>AVERAGE($C$2:$C$36)</f>
        <v>270</v>
      </c>
      <c r="R2">
        <v>1</v>
      </c>
      <c r="S2">
        <v>0.1</v>
      </c>
      <c r="T2">
        <f t="shared" ref="T2:T8" ca="1" si="8">AVERAGEIF($I$2:$I$36,R2,$H$2:$H$36)</f>
        <v>0.72301638325975714</v>
      </c>
      <c r="U2">
        <f t="shared" ref="U2:U8" ca="1" si="9">T2/$T$9</f>
        <v>0.7251915702508519</v>
      </c>
      <c r="W2">
        <f ca="1">INTERCEPT($F$5:$F$33,$A$5:$A$33)</f>
        <v>190.07192118226592</v>
      </c>
      <c r="X2">
        <f ca="1">SLOPE($F$5:$F$33,$A$5:$A$33)</f>
        <v>9.3315270935960601</v>
      </c>
    </row>
    <row r="3" spans="1:24" x14ac:dyDescent="0.25">
      <c r="A3">
        <v>2</v>
      </c>
      <c r="B3">
        <f t="shared" si="0"/>
        <v>2</v>
      </c>
      <c r="C3">
        <f t="shared" si="1"/>
        <v>110</v>
      </c>
      <c r="D3">
        <f t="shared" ca="1" si="2"/>
        <v>127.63972243171509</v>
      </c>
      <c r="E3">
        <f t="shared" ca="1" si="3"/>
        <v>238</v>
      </c>
      <c r="G3">
        <f t="shared" ca="1" si="4"/>
        <v>208.73497536945806</v>
      </c>
      <c r="H3">
        <f t="shared" ca="1" si="5"/>
        <v>1.1402018256822712</v>
      </c>
      <c r="I3">
        <f t="shared" si="6"/>
        <v>2</v>
      </c>
      <c r="J3">
        <f t="shared" ca="1" si="7"/>
        <v>214.16051041994311</v>
      </c>
      <c r="R3">
        <v>2</v>
      </c>
      <c r="S3">
        <v>0.5</v>
      </c>
      <c r="T3">
        <f t="shared" ca="1" si="8"/>
        <v>1.0259924578565807</v>
      </c>
      <c r="U3">
        <f t="shared" ca="1" si="9"/>
        <v>1.0290791451004149</v>
      </c>
    </row>
    <row r="4" spans="1:24" x14ac:dyDescent="0.25">
      <c r="A4">
        <v>3</v>
      </c>
      <c r="B4">
        <f t="shared" si="0"/>
        <v>3</v>
      </c>
      <c r="C4">
        <f t="shared" si="1"/>
        <v>120</v>
      </c>
      <c r="D4">
        <f t="shared" ca="1" si="2"/>
        <v>154.07984094162711</v>
      </c>
      <c r="E4">
        <f t="shared" ca="1" si="3"/>
        <v>274</v>
      </c>
      <c r="G4">
        <f t="shared" ca="1" si="4"/>
        <v>218.06650246305412</v>
      </c>
      <c r="H4">
        <f t="shared" ca="1" si="5"/>
        <v>1.2564974303947596</v>
      </c>
      <c r="I4">
        <f t="shared" si="6"/>
        <v>3</v>
      </c>
      <c r="J4">
        <f t="shared" ca="1" si="7"/>
        <v>225.42551436450805</v>
      </c>
      <c r="R4">
        <v>3</v>
      </c>
      <c r="S4">
        <v>0.9</v>
      </c>
      <c r="T4">
        <f t="shared" ca="1" si="8"/>
        <v>1.0337466406730704</v>
      </c>
      <c r="U4">
        <f t="shared" ca="1" si="9"/>
        <v>1.036856656292277</v>
      </c>
    </row>
    <row r="5" spans="1:24" x14ac:dyDescent="0.25">
      <c r="A5">
        <v>4</v>
      </c>
      <c r="B5">
        <f t="shared" si="0"/>
        <v>4</v>
      </c>
      <c r="C5">
        <f t="shared" si="1"/>
        <v>130</v>
      </c>
      <c r="D5">
        <f t="shared" ca="1" si="2"/>
        <v>205.05241025184026</v>
      </c>
      <c r="E5">
        <f t="shared" ca="1" si="3"/>
        <v>335</v>
      </c>
      <c r="F5">
        <f t="shared" ref="F5:F33" ca="1" si="10">AVERAGE(E2:E8)</f>
        <v>227.57142857142858</v>
      </c>
      <c r="G5">
        <f t="shared" ca="1" si="4"/>
        <v>227.39802955665016</v>
      </c>
      <c r="H5">
        <f t="shared" ca="1" si="5"/>
        <v>1.473187787304655</v>
      </c>
      <c r="I5">
        <f t="shared" si="6"/>
        <v>4</v>
      </c>
      <c r="J5">
        <f t="shared" ca="1" si="7"/>
        <v>321.90804842781961</v>
      </c>
      <c r="R5">
        <v>4</v>
      </c>
      <c r="S5">
        <v>1.4</v>
      </c>
      <c r="T5">
        <f t="shared" ca="1" si="8"/>
        <v>1.4156149420266846</v>
      </c>
      <c r="U5">
        <f t="shared" ca="1" si="9"/>
        <v>1.4198738043119525</v>
      </c>
    </row>
    <row r="6" spans="1:24" x14ac:dyDescent="0.25">
      <c r="A6">
        <v>5</v>
      </c>
      <c r="B6">
        <f t="shared" si="0"/>
        <v>5</v>
      </c>
      <c r="C6">
        <f t="shared" si="1"/>
        <v>140</v>
      </c>
      <c r="D6">
        <f t="shared" ca="1" si="2"/>
        <v>77.514368810179121</v>
      </c>
      <c r="E6">
        <f t="shared" ca="1" si="3"/>
        <v>218</v>
      </c>
      <c r="F6">
        <f t="shared" ca="1" si="10"/>
        <v>238.57142857142858</v>
      </c>
      <c r="G6">
        <f t="shared" ca="1" si="4"/>
        <v>236.72955665024622</v>
      </c>
      <c r="H6">
        <f t="shared" ca="1" si="5"/>
        <v>0.92088205243455079</v>
      </c>
      <c r="I6">
        <f t="shared" si="6"/>
        <v>5</v>
      </c>
      <c r="J6">
        <f t="shared" ca="1" si="7"/>
        <v>236.7252560357781</v>
      </c>
      <c r="R6">
        <v>5</v>
      </c>
      <c r="S6">
        <v>0.9</v>
      </c>
      <c r="T6">
        <f t="shared" ca="1" si="8"/>
        <v>0.99998183321707279</v>
      </c>
      <c r="U6">
        <f t="shared" ca="1" si="9"/>
        <v>1.0029902677772111</v>
      </c>
    </row>
    <row r="7" spans="1:24" x14ac:dyDescent="0.25">
      <c r="A7">
        <v>6</v>
      </c>
      <c r="B7">
        <f t="shared" si="0"/>
        <v>6</v>
      </c>
      <c r="C7">
        <f t="shared" si="1"/>
        <v>150</v>
      </c>
      <c r="D7">
        <f t="shared" ca="1" si="2"/>
        <v>102.62793777723405</v>
      </c>
      <c r="E7">
        <f t="shared" ca="1" si="3"/>
        <v>253</v>
      </c>
      <c r="F7">
        <f t="shared" ca="1" si="10"/>
        <v>249.28571428571428</v>
      </c>
      <c r="G7">
        <f t="shared" ca="1" si="4"/>
        <v>246.06108374384229</v>
      </c>
      <c r="H7">
        <f t="shared" ca="1" si="5"/>
        <v>1.02819997437458</v>
      </c>
      <c r="I7">
        <f t="shared" si="6"/>
        <v>6</v>
      </c>
      <c r="J7">
        <f t="shared" ca="1" si="7"/>
        <v>239.14729493830302</v>
      </c>
      <c r="R7">
        <v>6</v>
      </c>
      <c r="S7">
        <v>0.5</v>
      </c>
      <c r="T7">
        <f t="shared" ca="1" si="8"/>
        <v>0.97190214437673228</v>
      </c>
      <c r="U7">
        <f t="shared" ca="1" si="9"/>
        <v>0.97482610149584215</v>
      </c>
    </row>
    <row r="8" spans="1:24" x14ac:dyDescent="0.25">
      <c r="A8">
        <v>7</v>
      </c>
      <c r="B8">
        <f t="shared" si="0"/>
        <v>7</v>
      </c>
      <c r="C8">
        <f t="shared" si="1"/>
        <v>160</v>
      </c>
      <c r="D8">
        <f t="shared" ca="1" si="2"/>
        <v>14.200217209146201</v>
      </c>
      <c r="E8">
        <f t="shared" ca="1" si="3"/>
        <v>174</v>
      </c>
      <c r="F8">
        <f t="shared" ca="1" si="10"/>
        <v>246.57142857142858</v>
      </c>
      <c r="G8">
        <f t="shared" ca="1" si="4"/>
        <v>255.39261083743833</v>
      </c>
      <c r="H8">
        <f t="shared" ca="1" si="5"/>
        <v>0.68130397128346798</v>
      </c>
      <c r="I8">
        <f t="shared" si="6"/>
        <v>7</v>
      </c>
      <c r="J8">
        <f t="shared" ca="1" si="7"/>
        <v>206.54860573693034</v>
      </c>
      <c r="R8">
        <v>7</v>
      </c>
      <c r="S8">
        <v>0.1</v>
      </c>
      <c r="T8">
        <f t="shared" ca="1" si="8"/>
        <v>0.80874934110134455</v>
      </c>
      <c r="U8">
        <f t="shared" ca="1" si="9"/>
        <v>0.8111824547714509</v>
      </c>
    </row>
    <row r="9" spans="1:24" x14ac:dyDescent="0.25">
      <c r="A9">
        <v>8</v>
      </c>
      <c r="B9">
        <f t="shared" si="0"/>
        <v>1</v>
      </c>
      <c r="C9">
        <f t="shared" si="1"/>
        <v>170</v>
      </c>
      <c r="D9">
        <f t="shared" ca="1" si="2"/>
        <v>7.5960519194759266</v>
      </c>
      <c r="E9">
        <f t="shared" ca="1" si="3"/>
        <v>178</v>
      </c>
      <c r="F9">
        <f t="shared" ca="1" si="10"/>
        <v>267</v>
      </c>
      <c r="G9">
        <f t="shared" ca="1" si="4"/>
        <v>264.72413793103442</v>
      </c>
      <c r="H9">
        <f t="shared" ca="1" si="5"/>
        <v>0.6723980721636057</v>
      </c>
      <c r="I9">
        <f t="shared" si="6"/>
        <v>1</v>
      </c>
      <c r="J9">
        <f t="shared" ca="1" si="7"/>
        <v>191.39988876845359</v>
      </c>
      <c r="T9">
        <f ca="1">AVERAGE(T2:T8)</f>
        <v>0.99700053464446314</v>
      </c>
      <c r="U9">
        <f ca="1">AVERAGE(U2:U8)</f>
        <v>1.0000000000000002</v>
      </c>
    </row>
    <row r="10" spans="1:24" x14ac:dyDescent="0.25">
      <c r="A10">
        <v>9</v>
      </c>
      <c r="B10">
        <f t="shared" si="0"/>
        <v>2</v>
      </c>
      <c r="C10">
        <f t="shared" si="1"/>
        <v>180</v>
      </c>
      <c r="D10">
        <f t="shared" ca="1" si="2"/>
        <v>133.13210370778521</v>
      </c>
      <c r="E10">
        <f t="shared" ca="1" si="3"/>
        <v>313</v>
      </c>
      <c r="F10">
        <f t="shared" ca="1" si="10"/>
        <v>283.28571428571428</v>
      </c>
      <c r="G10">
        <f t="shared" ca="1" si="4"/>
        <v>274.05566502463046</v>
      </c>
      <c r="H10">
        <f t="shared" ca="1" si="5"/>
        <v>1.1421037400262077</v>
      </c>
      <c r="I10">
        <f t="shared" si="6"/>
        <v>2</v>
      </c>
      <c r="J10">
        <f t="shared" ca="1" si="7"/>
        <v>281.17904534814033</v>
      </c>
    </row>
    <row r="11" spans="1:24" x14ac:dyDescent="0.25">
      <c r="A11">
        <v>10</v>
      </c>
      <c r="B11">
        <f t="shared" si="0"/>
        <v>3</v>
      </c>
      <c r="C11">
        <f t="shared" si="1"/>
        <v>190</v>
      </c>
      <c r="D11">
        <f t="shared" ca="1" si="2"/>
        <v>64.860435470772998</v>
      </c>
      <c r="E11">
        <f t="shared" ca="1" si="3"/>
        <v>255</v>
      </c>
      <c r="F11">
        <f t="shared" ca="1" si="10"/>
        <v>285.28571428571428</v>
      </c>
      <c r="G11">
        <f t="shared" ca="1" si="4"/>
        <v>283.38719211822649</v>
      </c>
      <c r="H11">
        <f t="shared" ca="1" si="5"/>
        <v>0.89982895166841692</v>
      </c>
      <c r="I11">
        <f t="shared" si="6"/>
        <v>3</v>
      </c>
      <c r="J11">
        <f t="shared" ca="1" si="7"/>
        <v>292.95055786199066</v>
      </c>
    </row>
    <row r="12" spans="1:24" x14ac:dyDescent="0.25">
      <c r="A12">
        <v>11</v>
      </c>
      <c r="B12">
        <f t="shared" si="0"/>
        <v>4</v>
      </c>
      <c r="C12">
        <f t="shared" si="1"/>
        <v>200</v>
      </c>
      <c r="D12">
        <f t="shared" ca="1" si="2"/>
        <v>278.29467674434289</v>
      </c>
      <c r="E12">
        <f t="shared" ca="1" si="3"/>
        <v>478</v>
      </c>
      <c r="F12">
        <f t="shared" ca="1" si="10"/>
        <v>296.42857142857144</v>
      </c>
      <c r="G12">
        <f t="shared" ca="1" si="4"/>
        <v>292.71871921182259</v>
      </c>
      <c r="H12">
        <f t="shared" ca="1" si="5"/>
        <v>1.6329669700901523</v>
      </c>
      <c r="I12">
        <f t="shared" si="6"/>
        <v>4</v>
      </c>
      <c r="J12">
        <f t="shared" ca="1" si="7"/>
        <v>414.37699272716958</v>
      </c>
    </row>
    <row r="13" spans="1:24" x14ac:dyDescent="0.25">
      <c r="A13">
        <v>12</v>
      </c>
      <c r="B13">
        <f t="shared" si="0"/>
        <v>5</v>
      </c>
      <c r="C13">
        <f t="shared" si="1"/>
        <v>210</v>
      </c>
      <c r="D13">
        <f t="shared" ca="1" si="2"/>
        <v>122.25020284631583</v>
      </c>
      <c r="E13">
        <f t="shared" ca="1" si="3"/>
        <v>332</v>
      </c>
      <c r="F13">
        <f t="shared" ca="1" si="10"/>
        <v>308.57142857142856</v>
      </c>
      <c r="G13">
        <f t="shared" ca="1" si="4"/>
        <v>302.05024630541868</v>
      </c>
      <c r="H13">
        <f t="shared" ca="1" si="5"/>
        <v>1.0991548726111535</v>
      </c>
      <c r="I13">
        <f t="shared" si="6"/>
        <v>5</v>
      </c>
      <c r="J13">
        <f t="shared" ca="1" si="7"/>
        <v>302.04475902416095</v>
      </c>
    </row>
    <row r="14" spans="1:24" x14ac:dyDescent="0.25">
      <c r="A14">
        <v>13</v>
      </c>
      <c r="B14">
        <f t="shared" si="0"/>
        <v>6</v>
      </c>
      <c r="C14">
        <f t="shared" si="1"/>
        <v>220</v>
      </c>
      <c r="D14">
        <f t="shared" ca="1" si="2"/>
        <v>46.694305581254355</v>
      </c>
      <c r="E14">
        <f t="shared" ca="1" si="3"/>
        <v>267</v>
      </c>
      <c r="F14">
        <f t="shared" ca="1" si="10"/>
        <v>303.85714285714283</v>
      </c>
      <c r="G14">
        <f t="shared" ca="1" si="4"/>
        <v>311.38177339901472</v>
      </c>
      <c r="H14">
        <f t="shared" ca="1" si="5"/>
        <v>0.85746830036149069</v>
      </c>
      <c r="I14">
        <f t="shared" si="6"/>
        <v>6</v>
      </c>
      <c r="J14">
        <f t="shared" ca="1" si="7"/>
        <v>302.63261328633212</v>
      </c>
    </row>
    <row r="15" spans="1:24" x14ac:dyDescent="0.25">
      <c r="A15">
        <v>14</v>
      </c>
      <c r="B15">
        <f t="shared" si="0"/>
        <v>7</v>
      </c>
      <c r="C15">
        <f t="shared" si="1"/>
        <v>230</v>
      </c>
      <c r="D15">
        <f t="shared" ca="1" si="2"/>
        <v>21.522539066146308</v>
      </c>
      <c r="E15">
        <f t="shared" ca="1" si="3"/>
        <v>252</v>
      </c>
      <c r="F15">
        <f t="shared" ca="1" si="10"/>
        <v>317</v>
      </c>
      <c r="G15">
        <f t="shared" ca="1" si="4"/>
        <v>320.71330049261076</v>
      </c>
      <c r="H15">
        <f t="shared" ca="1" si="5"/>
        <v>0.78574851623843422</v>
      </c>
      <c r="I15">
        <f t="shared" si="6"/>
        <v>7</v>
      </c>
      <c r="J15">
        <f t="shared" ca="1" si="7"/>
        <v>259.37667045583646</v>
      </c>
    </row>
    <row r="16" spans="1:24" x14ac:dyDescent="0.25">
      <c r="A16">
        <v>15</v>
      </c>
      <c r="B16">
        <f t="shared" si="0"/>
        <v>1</v>
      </c>
      <c r="C16">
        <f t="shared" si="1"/>
        <v>240</v>
      </c>
      <c r="D16">
        <f t="shared" ca="1" si="2"/>
        <v>23.350364172725616</v>
      </c>
      <c r="E16">
        <f t="shared" ca="1" si="3"/>
        <v>263</v>
      </c>
      <c r="F16">
        <f t="shared" ca="1" si="10"/>
        <v>313.71428571428572</v>
      </c>
      <c r="G16">
        <f t="shared" ca="1" si="4"/>
        <v>330.04482758620679</v>
      </c>
      <c r="H16">
        <f t="shared" ca="1" si="5"/>
        <v>0.79686145037769185</v>
      </c>
      <c r="I16">
        <f t="shared" si="6"/>
        <v>1</v>
      </c>
      <c r="J16">
        <f t="shared" ca="1" si="7"/>
        <v>238.62781755496937</v>
      </c>
    </row>
    <row r="17" spans="1:10" x14ac:dyDescent="0.25">
      <c r="A17">
        <v>16</v>
      </c>
      <c r="B17">
        <f t="shared" si="0"/>
        <v>2</v>
      </c>
      <c r="C17">
        <f t="shared" si="1"/>
        <v>250</v>
      </c>
      <c r="D17">
        <f t="shared" ca="1" si="2"/>
        <v>29.79990806809213</v>
      </c>
      <c r="E17">
        <f t="shared" ca="1" si="3"/>
        <v>280</v>
      </c>
      <c r="F17">
        <f t="shared" ca="1" si="10"/>
        <v>312</v>
      </c>
      <c r="G17">
        <f t="shared" ca="1" si="4"/>
        <v>339.37635467980289</v>
      </c>
      <c r="H17">
        <f t="shared" ca="1" si="5"/>
        <v>0.82504274720074799</v>
      </c>
      <c r="I17">
        <f t="shared" si="6"/>
        <v>2</v>
      </c>
      <c r="J17">
        <f t="shared" ca="1" si="7"/>
        <v>348.19758027633765</v>
      </c>
    </row>
    <row r="18" spans="1:10" x14ac:dyDescent="0.25">
      <c r="A18">
        <v>17</v>
      </c>
      <c r="B18">
        <f t="shared" si="0"/>
        <v>3</v>
      </c>
      <c r="C18">
        <f t="shared" si="1"/>
        <v>260</v>
      </c>
      <c r="D18">
        <f t="shared" ca="1" si="2"/>
        <v>87.268769066246335</v>
      </c>
      <c r="E18">
        <f t="shared" ca="1" si="3"/>
        <v>347</v>
      </c>
      <c r="F18">
        <f t="shared" ca="1" si="10"/>
        <v>332.28571428571428</v>
      </c>
      <c r="G18">
        <f t="shared" ca="1" si="4"/>
        <v>348.70788177339898</v>
      </c>
      <c r="H18">
        <f t="shared" ca="1" si="5"/>
        <v>0.99510225646545947</v>
      </c>
      <c r="I18">
        <f t="shared" si="6"/>
        <v>3</v>
      </c>
      <c r="J18">
        <f t="shared" ca="1" si="7"/>
        <v>360.47560135947339</v>
      </c>
    </row>
    <row r="19" spans="1:10" x14ac:dyDescent="0.25">
      <c r="A19">
        <v>18</v>
      </c>
      <c r="B19">
        <f t="shared" si="0"/>
        <v>4</v>
      </c>
      <c r="C19">
        <f t="shared" si="1"/>
        <v>270</v>
      </c>
      <c r="D19">
        <f t="shared" ca="1" si="2"/>
        <v>185.49397187710699</v>
      </c>
      <c r="E19">
        <f t="shared" ca="1" si="3"/>
        <v>455</v>
      </c>
      <c r="F19">
        <f t="shared" ca="1" si="10"/>
        <v>342</v>
      </c>
      <c r="G19">
        <f t="shared" ca="1" si="4"/>
        <v>358.03940886699502</v>
      </c>
      <c r="H19">
        <f t="shared" ca="1" si="5"/>
        <v>1.2708098291186265</v>
      </c>
      <c r="I19">
        <f t="shared" si="6"/>
        <v>4</v>
      </c>
      <c r="J19">
        <f t="shared" ca="1" si="7"/>
        <v>506.84593702651955</v>
      </c>
    </row>
    <row r="20" spans="1:10" x14ac:dyDescent="0.25">
      <c r="A20">
        <v>19</v>
      </c>
      <c r="B20">
        <f t="shared" si="0"/>
        <v>5</v>
      </c>
      <c r="C20">
        <f t="shared" si="1"/>
        <v>280</v>
      </c>
      <c r="D20">
        <f t="shared" ca="1" si="2"/>
        <v>39.904522724161076</v>
      </c>
      <c r="E20">
        <f t="shared" ca="1" si="3"/>
        <v>320</v>
      </c>
      <c r="F20">
        <f t="shared" ca="1" si="10"/>
        <v>349.57142857142856</v>
      </c>
      <c r="G20">
        <f t="shared" ca="1" si="4"/>
        <v>367.37093596059105</v>
      </c>
      <c r="H20">
        <f t="shared" ca="1" si="5"/>
        <v>0.87105420891087404</v>
      </c>
      <c r="I20">
        <f t="shared" si="6"/>
        <v>5</v>
      </c>
      <c r="J20">
        <f t="shared" ca="1" si="7"/>
        <v>367.36426201254369</v>
      </c>
    </row>
    <row r="21" spans="1:10" x14ac:dyDescent="0.25">
      <c r="A21">
        <v>20</v>
      </c>
      <c r="B21">
        <f t="shared" si="0"/>
        <v>6</v>
      </c>
      <c r="C21">
        <f t="shared" si="1"/>
        <v>290</v>
      </c>
      <c r="D21">
        <f t="shared" ca="1" si="2"/>
        <v>119.13246511362409</v>
      </c>
      <c r="E21">
        <f t="shared" ca="1" si="3"/>
        <v>409</v>
      </c>
      <c r="F21">
        <f t="shared" ca="1" si="10"/>
        <v>373</v>
      </c>
      <c r="G21">
        <f t="shared" ca="1" si="4"/>
        <v>376.70246305418709</v>
      </c>
      <c r="H21">
        <f t="shared" ca="1" si="5"/>
        <v>1.0857375252711503</v>
      </c>
      <c r="I21">
        <f t="shared" si="6"/>
        <v>6</v>
      </c>
      <c r="J21">
        <f t="shared" ca="1" si="7"/>
        <v>366.11793163436118</v>
      </c>
    </row>
    <row r="22" spans="1:10" x14ac:dyDescent="0.25">
      <c r="A22">
        <v>21</v>
      </c>
      <c r="B22">
        <f t="shared" si="0"/>
        <v>7</v>
      </c>
      <c r="C22">
        <f t="shared" si="1"/>
        <v>300</v>
      </c>
      <c r="D22">
        <f t="shared" ca="1" si="2"/>
        <v>19.763242121503275</v>
      </c>
      <c r="E22">
        <f t="shared" ca="1" si="3"/>
        <v>320</v>
      </c>
      <c r="F22">
        <f t="shared" ca="1" si="10"/>
        <v>390.42857142857144</v>
      </c>
      <c r="G22">
        <f t="shared" ca="1" si="4"/>
        <v>386.03399014778319</v>
      </c>
      <c r="H22">
        <f t="shared" ca="1" si="5"/>
        <v>0.82894254953429414</v>
      </c>
      <c r="I22">
        <f t="shared" si="6"/>
        <v>7</v>
      </c>
      <c r="J22">
        <f t="shared" ca="1" si="7"/>
        <v>312.20473517474261</v>
      </c>
    </row>
    <row r="23" spans="1:10" x14ac:dyDescent="0.25">
      <c r="A23">
        <v>22</v>
      </c>
      <c r="B23">
        <f t="shared" si="0"/>
        <v>1</v>
      </c>
      <c r="C23">
        <f t="shared" si="1"/>
        <v>310</v>
      </c>
      <c r="D23">
        <f t="shared" ca="1" si="2"/>
        <v>6.3370746497962527</v>
      </c>
      <c r="E23">
        <f t="shared" ca="1" si="3"/>
        <v>316</v>
      </c>
      <c r="F23">
        <f t="shared" ca="1" si="10"/>
        <v>418</v>
      </c>
      <c r="G23">
        <f t="shared" ca="1" si="4"/>
        <v>395.36551724137928</v>
      </c>
      <c r="H23">
        <f t="shared" ca="1" si="5"/>
        <v>0.79926039631593648</v>
      </c>
      <c r="I23">
        <f t="shared" si="6"/>
        <v>1</v>
      </c>
      <c r="J23">
        <f t="shared" ca="1" si="7"/>
        <v>285.8557463414852</v>
      </c>
    </row>
    <row r="24" spans="1:10" x14ac:dyDescent="0.25">
      <c r="A24">
        <v>23</v>
      </c>
      <c r="B24">
        <f t="shared" si="0"/>
        <v>2</v>
      </c>
      <c r="C24">
        <f t="shared" si="1"/>
        <v>320</v>
      </c>
      <c r="D24">
        <f t="shared" ca="1" si="2"/>
        <v>123.89523966173297</v>
      </c>
      <c r="E24">
        <f t="shared" ca="1" si="3"/>
        <v>444</v>
      </c>
      <c r="F24">
        <f t="shared" ca="1" si="10"/>
        <v>441.57142857142856</v>
      </c>
      <c r="G24">
        <f t="shared" ca="1" si="4"/>
        <v>404.69704433497532</v>
      </c>
      <c r="H24">
        <f t="shared" ca="1" si="5"/>
        <v>1.097116982234476</v>
      </c>
      <c r="I24">
        <f t="shared" si="6"/>
        <v>2</v>
      </c>
      <c r="J24">
        <f t="shared" ca="1" si="7"/>
        <v>415.2161152045349</v>
      </c>
    </row>
    <row r="25" spans="1:10" x14ac:dyDescent="0.25">
      <c r="A25">
        <v>24</v>
      </c>
      <c r="B25">
        <f t="shared" si="0"/>
        <v>3</v>
      </c>
      <c r="C25">
        <f t="shared" si="1"/>
        <v>330</v>
      </c>
      <c r="D25">
        <f t="shared" ca="1" si="2"/>
        <v>138.78393299001311</v>
      </c>
      <c r="E25">
        <f t="shared" ca="1" si="3"/>
        <v>469</v>
      </c>
      <c r="F25">
        <f t="shared" ca="1" si="10"/>
        <v>443</v>
      </c>
      <c r="G25">
        <f t="shared" ca="1" si="4"/>
        <v>414.02857142857135</v>
      </c>
      <c r="H25">
        <f t="shared" ca="1" si="5"/>
        <v>1.132772065419916</v>
      </c>
      <c r="I25">
        <f t="shared" si="6"/>
        <v>3</v>
      </c>
      <c r="J25">
        <f t="shared" ca="1" si="7"/>
        <v>428.000644856956</v>
      </c>
    </row>
    <row r="26" spans="1:10" x14ac:dyDescent="0.25">
      <c r="A26">
        <v>25</v>
      </c>
      <c r="B26">
        <f t="shared" si="0"/>
        <v>4</v>
      </c>
      <c r="C26">
        <f t="shared" si="1"/>
        <v>340</v>
      </c>
      <c r="D26">
        <f t="shared" ca="1" si="2"/>
        <v>308.3403901370944</v>
      </c>
      <c r="E26">
        <f t="shared" ca="1" si="3"/>
        <v>648</v>
      </c>
      <c r="F26">
        <f t="shared" ca="1" si="10"/>
        <v>453.57142857142856</v>
      </c>
      <c r="G26">
        <f t="shared" ca="1" si="4"/>
        <v>423.36009852216739</v>
      </c>
      <c r="H26">
        <f t="shared" ca="1" si="5"/>
        <v>1.5306118887018123</v>
      </c>
      <c r="I26">
        <f t="shared" si="6"/>
        <v>4</v>
      </c>
      <c r="J26">
        <f t="shared" ca="1" si="7"/>
        <v>599.31488132586946</v>
      </c>
    </row>
    <row r="27" spans="1:10" x14ac:dyDescent="0.25">
      <c r="A27">
        <v>26</v>
      </c>
      <c r="B27">
        <f t="shared" si="0"/>
        <v>5</v>
      </c>
      <c r="C27">
        <f t="shared" si="1"/>
        <v>350</v>
      </c>
      <c r="D27">
        <f t="shared" ca="1" si="2"/>
        <v>134.82733369090653</v>
      </c>
      <c r="E27">
        <f t="shared" ca="1" si="3"/>
        <v>485</v>
      </c>
      <c r="F27">
        <f t="shared" ca="1" si="10"/>
        <v>463.71428571428572</v>
      </c>
      <c r="G27">
        <f t="shared" ca="1" si="4"/>
        <v>432.69162561576348</v>
      </c>
      <c r="H27">
        <f t="shared" ca="1" si="5"/>
        <v>1.1208906558101199</v>
      </c>
      <c r="I27">
        <f t="shared" si="6"/>
        <v>5</v>
      </c>
      <c r="J27">
        <f t="shared" ca="1" si="7"/>
        <v>432.68376500092648</v>
      </c>
    </row>
    <row r="28" spans="1:10" x14ac:dyDescent="0.25">
      <c r="A28">
        <v>27</v>
      </c>
      <c r="B28">
        <f t="shared" si="0"/>
        <v>6</v>
      </c>
      <c r="C28">
        <f t="shared" si="1"/>
        <v>360</v>
      </c>
      <c r="D28">
        <f t="shared" ca="1" si="2"/>
        <v>59.207100595396398</v>
      </c>
      <c r="E28">
        <f t="shared" ca="1" si="3"/>
        <v>419</v>
      </c>
      <c r="F28">
        <f t="shared" ca="1" si="10"/>
        <v>462.42857142857144</v>
      </c>
      <c r="G28">
        <f t="shared" ca="1" si="4"/>
        <v>442.02315270935958</v>
      </c>
      <c r="H28">
        <f t="shared" ca="1" si="5"/>
        <v>0.94791414755485026</v>
      </c>
      <c r="I28">
        <f t="shared" si="6"/>
        <v>6</v>
      </c>
      <c r="J28">
        <f t="shared" ca="1" si="7"/>
        <v>429.60324998239037</v>
      </c>
    </row>
    <row r="29" spans="1:10" x14ac:dyDescent="0.25">
      <c r="A29">
        <v>28</v>
      </c>
      <c r="B29">
        <f t="shared" si="0"/>
        <v>7</v>
      </c>
      <c r="C29">
        <f t="shared" si="1"/>
        <v>370</v>
      </c>
      <c r="D29">
        <f t="shared" ca="1" si="2"/>
        <v>23.776239322783635</v>
      </c>
      <c r="E29">
        <f t="shared" ca="1" si="3"/>
        <v>394</v>
      </c>
      <c r="F29">
        <f t="shared" ca="1" si="10"/>
        <v>456</v>
      </c>
      <c r="G29">
        <f t="shared" ca="1" si="4"/>
        <v>451.35467980295562</v>
      </c>
      <c r="H29">
        <f t="shared" ca="1" si="5"/>
        <v>0.87292769440654849</v>
      </c>
      <c r="I29">
        <f t="shared" si="6"/>
        <v>7</v>
      </c>
      <c r="J29">
        <f t="shared" ca="1" si="7"/>
        <v>365.0327998936487</v>
      </c>
    </row>
    <row r="30" spans="1:10" x14ac:dyDescent="0.25">
      <c r="A30">
        <v>29</v>
      </c>
      <c r="B30">
        <f t="shared" si="0"/>
        <v>1</v>
      </c>
      <c r="C30">
        <f t="shared" si="1"/>
        <v>380</v>
      </c>
      <c r="D30">
        <f t="shared" ca="1" si="2"/>
        <v>6.8060156229444084</v>
      </c>
      <c r="E30">
        <f t="shared" ca="1" si="3"/>
        <v>387</v>
      </c>
      <c r="F30">
        <f t="shared" ca="1" si="10"/>
        <v>445.14285714285717</v>
      </c>
      <c r="G30">
        <f t="shared" ca="1" si="4"/>
        <v>460.68620689655165</v>
      </c>
      <c r="H30">
        <f t="shared" ca="1" si="5"/>
        <v>0.84005119798800898</v>
      </c>
      <c r="I30">
        <f t="shared" si="6"/>
        <v>1</v>
      </c>
      <c r="J30">
        <f t="shared" ca="1" si="7"/>
        <v>333.08367512800095</v>
      </c>
    </row>
    <row r="31" spans="1:10" x14ac:dyDescent="0.25">
      <c r="A31">
        <v>30</v>
      </c>
      <c r="B31">
        <f t="shared" si="0"/>
        <v>2</v>
      </c>
      <c r="C31">
        <f t="shared" si="1"/>
        <v>390</v>
      </c>
      <c r="D31">
        <f t="shared" ca="1" si="2"/>
        <v>45.153942547064126</v>
      </c>
      <c r="E31">
        <f t="shared" ca="1" si="3"/>
        <v>435</v>
      </c>
      <c r="F31">
        <f t="shared" ca="1" si="10"/>
        <v>446.14285714285717</v>
      </c>
      <c r="G31">
        <f t="shared" ca="1" si="4"/>
        <v>470.01773399014769</v>
      </c>
      <c r="H31">
        <f t="shared" ca="1" si="5"/>
        <v>0.9254969941392005</v>
      </c>
      <c r="I31">
        <f t="shared" si="6"/>
        <v>2</v>
      </c>
      <c r="J31">
        <f t="shared" ca="1" si="7"/>
        <v>482.23465013273216</v>
      </c>
    </row>
    <row r="32" spans="1:10" x14ac:dyDescent="0.25">
      <c r="A32">
        <v>31</v>
      </c>
      <c r="B32">
        <f t="shared" si="0"/>
        <v>3</v>
      </c>
      <c r="C32">
        <f t="shared" si="1"/>
        <v>400</v>
      </c>
      <c r="D32">
        <f t="shared" ca="1" si="2"/>
        <v>24.10159991605537</v>
      </c>
      <c r="E32">
        <f t="shared" ca="1" si="3"/>
        <v>424</v>
      </c>
      <c r="F32">
        <f t="shared" ca="1" si="10"/>
        <v>454.42857142857144</v>
      </c>
      <c r="G32">
        <f t="shared" ca="1" si="4"/>
        <v>479.34926108374384</v>
      </c>
      <c r="H32">
        <f t="shared" ca="1" si="5"/>
        <v>0.88453249941679968</v>
      </c>
      <c r="I32">
        <f t="shared" si="6"/>
        <v>3</v>
      </c>
      <c r="J32">
        <f t="shared" ca="1" si="7"/>
        <v>495.52568835443878</v>
      </c>
    </row>
    <row r="33" spans="1:10" x14ac:dyDescent="0.25">
      <c r="A33">
        <v>32</v>
      </c>
      <c r="B33">
        <f t="shared" si="0"/>
        <v>4</v>
      </c>
      <c r="C33">
        <f t="shared" si="1"/>
        <v>410</v>
      </c>
      <c r="D33">
        <f t="shared" ca="1" si="2"/>
        <v>161.77843880623337</v>
      </c>
      <c r="E33">
        <f t="shared" ca="1" si="3"/>
        <v>572</v>
      </c>
      <c r="F33">
        <f t="shared" ca="1" si="10"/>
        <v>462.71428571428572</v>
      </c>
      <c r="G33">
        <f t="shared" ca="1" si="4"/>
        <v>488.68078817733988</v>
      </c>
      <c r="H33">
        <f t="shared" ca="1" si="5"/>
        <v>1.1704982349181772</v>
      </c>
      <c r="I33">
        <f t="shared" si="6"/>
        <v>4</v>
      </c>
      <c r="J33">
        <f t="shared" ca="1" si="7"/>
        <v>691.78382562521949</v>
      </c>
    </row>
    <row r="34" spans="1:10" x14ac:dyDescent="0.25">
      <c r="A34">
        <v>33</v>
      </c>
      <c r="B34">
        <f t="shared" si="0"/>
        <v>5</v>
      </c>
      <c r="C34">
        <f t="shared" si="1"/>
        <v>420</v>
      </c>
      <c r="D34">
        <f t="shared" ca="1" si="2"/>
        <v>72.187082217849337</v>
      </c>
      <c r="E34">
        <f t="shared" ca="1" si="3"/>
        <v>492</v>
      </c>
      <c r="G34">
        <f t="shared" ca="1" si="4"/>
        <v>498.01231527093591</v>
      </c>
      <c r="H34">
        <f t="shared" ca="1" si="5"/>
        <v>0.9879273763186659</v>
      </c>
      <c r="I34">
        <f t="shared" si="6"/>
        <v>5</v>
      </c>
      <c r="J34">
        <f t="shared" ca="1" si="7"/>
        <v>498.00326798930934</v>
      </c>
    </row>
    <row r="35" spans="1:10" x14ac:dyDescent="0.25">
      <c r="A35">
        <v>34</v>
      </c>
      <c r="B35">
        <f t="shared" si="0"/>
        <v>6</v>
      </c>
      <c r="C35">
        <f t="shared" si="1"/>
        <v>430</v>
      </c>
      <c r="D35">
        <f t="shared" ca="1" si="2"/>
        <v>46.941667783575454</v>
      </c>
      <c r="E35">
        <f t="shared" ca="1" si="3"/>
        <v>477</v>
      </c>
      <c r="G35">
        <f t="shared" ca="1" si="4"/>
        <v>507.34384236453195</v>
      </c>
      <c r="H35">
        <f t="shared" ca="1" si="5"/>
        <v>0.94019077432159004</v>
      </c>
      <c r="I35">
        <f t="shared" si="6"/>
        <v>6</v>
      </c>
      <c r="J35">
        <f t="shared" ca="1" si="7"/>
        <v>493.08856833041943</v>
      </c>
    </row>
    <row r="36" spans="1:10" x14ac:dyDescent="0.25">
      <c r="A36">
        <v>35</v>
      </c>
      <c r="B36">
        <f t="shared" si="0"/>
        <v>7</v>
      </c>
      <c r="C36">
        <f t="shared" si="1"/>
        <v>440</v>
      </c>
      <c r="D36">
        <f t="shared" ca="1" si="2"/>
        <v>11.703052109194882</v>
      </c>
      <c r="E36">
        <f t="shared" ca="1" si="3"/>
        <v>452</v>
      </c>
      <c r="G36">
        <f t="shared" ca="1" si="4"/>
        <v>516.67536945812799</v>
      </c>
      <c r="H36">
        <f t="shared" ca="1" si="5"/>
        <v>0.87482397404397783</v>
      </c>
      <c r="I36">
        <f t="shared" si="6"/>
        <v>7</v>
      </c>
      <c r="J36">
        <f t="shared" ca="1" si="7"/>
        <v>417.86086461255479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0.ArdiData28Fixed</vt:lpstr>
      <vt:lpstr>1.RegLineDataAnalyFormula</vt:lpstr>
      <vt:lpstr>2.R2&amp;R</vt:lpstr>
      <vt:lpstr>3.RegForAssociation</vt:lpstr>
      <vt:lpstr>4.MaxTrMaxTP</vt:lpstr>
      <vt:lpstr>5.RegreSSE&amp;SST</vt:lpstr>
      <vt:lpstr>6.AllRegFormula&amp;Solver</vt:lpstr>
      <vt:lpstr>1.Trend&amp;Season5P</vt:lpstr>
      <vt:lpstr>7pBase</vt:lpstr>
      <vt:lpstr>7.TrendAndSeasChopraMine4p</vt:lpstr>
      <vt:lpstr>7b.TrendAndSeasChopraBook</vt:lpstr>
      <vt:lpstr>7c.Trend&amp;Season</vt:lpstr>
      <vt:lpstr>9.MultiRefSeas</vt:lpstr>
      <vt:lpstr>'2.R2&amp;R'!Page1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2021-07-23T17:30:17Z</dcterms:modified>
</cp:coreProperties>
</file>