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ink/ink1.xml" ContentType="application/inkml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1DB6FACF-2B5B-4FAB-9C3A-D353860B93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.ArdiData28Fixed" sheetId="24" r:id="rId1"/>
    <sheet name="Stationary" sheetId="31" r:id="rId2"/>
    <sheet name="Trend" sheetId="33" r:id="rId3"/>
    <sheet name="0.Regression" sheetId="11" r:id="rId4"/>
    <sheet name="TrendAdj" sheetId="32" r:id="rId5"/>
    <sheet name="TrendAndSeasIravaniMine" sheetId="34" r:id="rId6"/>
    <sheet name="TrendAndSeasChopraMine" sheetId="37" r:id="rId7"/>
    <sheet name="TrendAndSeasSocic" sheetId="38" r:id="rId8"/>
    <sheet name="TrendAndSeasChopraBook" sheetId="39" r:id="rId9"/>
    <sheet name="1.Trend&amp;Season" sheetId="17" r:id="rId10"/>
    <sheet name="MultiRefSeas" sheetId="35" r:id="rId11"/>
    <sheet name="TrAdES" sheetId="14" r:id="rId12"/>
  </sheets>
  <externalReferences>
    <externalReference r:id="rId13"/>
    <externalReference r:id="rId14"/>
  </externalReferences>
  <definedNames>
    <definedName name="solver_adj" localSheetId="3" hidden="1">'0.Regression'!$L$20:$L$21</definedName>
    <definedName name="solver_adj" localSheetId="10" hidden="1">MultiRefSeas!$L$1,MultiRefSeas!$N$1,MultiRefSeas!$P$1</definedName>
    <definedName name="solver_adj" localSheetId="1" hidden="1">Stationary!$K$1</definedName>
    <definedName name="solver_adj" localSheetId="11" hidden="1">TrAdES!$M$1:$M$2</definedName>
    <definedName name="solver_adj" localSheetId="2" hidden="1">Trend!$K$1</definedName>
    <definedName name="solver_adj" localSheetId="4" hidden="1">TrendAdj!$H$1,TrendAdj!$J$1</definedName>
    <definedName name="solver_adj" localSheetId="8" hidden="1">TrendAndSeasChopraBook!$C$38:$C$40</definedName>
    <definedName name="solver_adj" localSheetId="6" hidden="1">TrendAndSeasChopraMine!$C$38:$C$40</definedName>
    <definedName name="solver_adj" localSheetId="5" hidden="1">TrendAndSeasIravaniMine!$S$2,TrendAndSeasIravaniMine!$S$3,TrendAndSeasIravaniMine!$S$4</definedName>
    <definedName name="solver_adj" localSheetId="7" hidden="1">TrendAndSeasSocic!#REF!</definedName>
    <definedName name="solver_cvg" localSheetId="3" hidden="1">0.0001</definedName>
    <definedName name="solver_cvg" localSheetId="10" hidden="1">0.0001</definedName>
    <definedName name="solver_cvg" localSheetId="1" hidden="1">0.0001</definedName>
    <definedName name="solver_cvg" localSheetId="11" hidden="1">0.0001</definedName>
    <definedName name="solver_cvg" localSheetId="2" hidden="1">0.0001</definedName>
    <definedName name="solver_cvg" localSheetId="4" hidden="1">0.0001</definedName>
    <definedName name="solver_cvg" localSheetId="8" hidden="1">0.0001</definedName>
    <definedName name="solver_cvg" localSheetId="6" hidden="1">0.0001</definedName>
    <definedName name="solver_cvg" localSheetId="5" hidden="1">0.0001</definedName>
    <definedName name="solver_cvg" localSheetId="7" hidden="1">0.0001</definedName>
    <definedName name="solver_drv" localSheetId="3" hidden="1">2</definedName>
    <definedName name="solver_drv" localSheetId="10" hidden="1">1</definedName>
    <definedName name="solver_drv" localSheetId="1" hidden="1">1</definedName>
    <definedName name="solver_drv" localSheetId="11" hidden="1">1</definedName>
    <definedName name="solver_drv" localSheetId="2" hidden="1">1</definedName>
    <definedName name="solver_drv" localSheetId="4" hidden="1">1</definedName>
    <definedName name="solver_drv" localSheetId="8" hidden="1">1</definedName>
    <definedName name="solver_drv" localSheetId="6" hidden="1">1</definedName>
    <definedName name="solver_drv" localSheetId="5" hidden="1">1</definedName>
    <definedName name="solver_drv" localSheetId="7" hidden="1">1</definedName>
    <definedName name="solver_eng" localSheetId="3" hidden="1">1</definedName>
    <definedName name="solver_eng" localSheetId="10" hidden="1">1</definedName>
    <definedName name="solver_eng" localSheetId="1" hidden="1">1</definedName>
    <definedName name="solver_eng" localSheetId="11" hidden="1">1</definedName>
    <definedName name="solver_eng" localSheetId="2" hidden="1">1</definedName>
    <definedName name="solver_eng" localSheetId="4" hidden="1">1</definedName>
    <definedName name="solver_eng" localSheetId="8" hidden="1">1</definedName>
    <definedName name="solver_eng" localSheetId="6" hidden="1">1</definedName>
    <definedName name="solver_eng" localSheetId="5" hidden="1">1</definedName>
    <definedName name="solver_eng" localSheetId="7" hidden="1">1</definedName>
    <definedName name="solver_est" localSheetId="3" hidden="1">1</definedName>
    <definedName name="solver_est" localSheetId="10" hidden="1">1</definedName>
    <definedName name="solver_est" localSheetId="1" hidden="1">1</definedName>
    <definedName name="solver_est" localSheetId="11" hidden="1">1</definedName>
    <definedName name="solver_est" localSheetId="2" hidden="1">1</definedName>
    <definedName name="solver_est" localSheetId="4" hidden="1">1</definedName>
    <definedName name="solver_est" localSheetId="8" hidden="1">1</definedName>
    <definedName name="solver_est" localSheetId="6" hidden="1">1</definedName>
    <definedName name="solver_est" localSheetId="5" hidden="1">1</definedName>
    <definedName name="solver_est" localSheetId="7" hidden="1">1</definedName>
    <definedName name="solver_itr" localSheetId="3" hidden="1">2147483647</definedName>
    <definedName name="solver_itr" localSheetId="10" hidden="1">2147483647</definedName>
    <definedName name="solver_itr" localSheetId="1" hidden="1">2147483647</definedName>
    <definedName name="solver_itr" localSheetId="11" hidden="1">2147483647</definedName>
    <definedName name="solver_itr" localSheetId="2" hidden="1">2147483647</definedName>
    <definedName name="solver_itr" localSheetId="4" hidden="1">2147483647</definedName>
    <definedName name="solver_itr" localSheetId="8" hidden="1">2147483647</definedName>
    <definedName name="solver_itr" localSheetId="6" hidden="1">2147483647</definedName>
    <definedName name="solver_itr" localSheetId="5" hidden="1">2147483647</definedName>
    <definedName name="solver_itr" localSheetId="7" hidden="1">2147483647</definedName>
    <definedName name="solver_lhs1" localSheetId="10" hidden="1">MultiRefSeas!$L$1</definedName>
    <definedName name="solver_lhs1" localSheetId="11" hidden="1">TrAdES!$M$1</definedName>
    <definedName name="solver_lhs1" localSheetId="4" hidden="1">TrendAdj!$H$1</definedName>
    <definedName name="solver_lhs1" localSheetId="8" hidden="1">TrendAndSeasChopraBook!$C$38:$C$40</definedName>
    <definedName name="solver_lhs1" localSheetId="6" hidden="1">TrendAndSeasChopraMine!$C$38:$C$40</definedName>
    <definedName name="solver_lhs1" localSheetId="5" hidden="1">TrendAndSeasIravaniMine!$S$2</definedName>
    <definedName name="solver_lhs1" localSheetId="7" hidden="1">TrendAndSeasSocic!#REF!</definedName>
    <definedName name="solver_lhs2" localSheetId="10" hidden="1">MultiRefSeas!$L$1</definedName>
    <definedName name="solver_lhs2" localSheetId="11" hidden="1">TrAdES!$M$1</definedName>
    <definedName name="solver_lhs2" localSheetId="4" hidden="1">TrendAdj!$H$1</definedName>
    <definedName name="solver_lhs2" localSheetId="8" hidden="1">TrendAndSeasChopraBook!$C$38:$C$40</definedName>
    <definedName name="solver_lhs2" localSheetId="6" hidden="1">TrendAndSeasChopraMine!$C$38:$C$40</definedName>
    <definedName name="solver_lhs2" localSheetId="5" hidden="1">TrendAndSeasIravaniMine!$S$2</definedName>
    <definedName name="solver_lhs2" localSheetId="7" hidden="1">TrendAndSeasSocic!#REF!</definedName>
    <definedName name="solver_lhs3" localSheetId="10" hidden="1">MultiRefSeas!$N$1</definedName>
    <definedName name="solver_lhs3" localSheetId="4" hidden="1">TrendAdj!$J$1</definedName>
    <definedName name="solver_lhs3" localSheetId="8" hidden="1">TrendAndSeasChopraBook!$C$40</definedName>
    <definedName name="solver_lhs3" localSheetId="6" hidden="1">TrendAndSeasChopraMine!$C$40</definedName>
    <definedName name="solver_lhs3" localSheetId="5" hidden="1">TrendAndSeasIravaniMine!$S$3</definedName>
    <definedName name="solver_lhs3" localSheetId="7" hidden="1">TrendAndSeasSocic!#REF!</definedName>
    <definedName name="solver_lhs4" localSheetId="10" hidden="1">MultiRefSeas!$N$1</definedName>
    <definedName name="solver_lhs4" localSheetId="4" hidden="1">TrendAdj!$J$1</definedName>
    <definedName name="solver_lhs4" localSheetId="8" hidden="1">TrendAndSeasChopraBook!$C$40</definedName>
    <definedName name="solver_lhs4" localSheetId="6" hidden="1">TrendAndSeasChopraMine!$C$40</definedName>
    <definedName name="solver_lhs4" localSheetId="5" hidden="1">TrendAndSeasIravaniMine!$S$3</definedName>
    <definedName name="solver_lhs4" localSheetId="7" hidden="1">TrendAndSeasSocic!#REF!</definedName>
    <definedName name="solver_lhs5" localSheetId="10" hidden="1">MultiRefSeas!$P$1</definedName>
    <definedName name="solver_lhs5" localSheetId="8" hidden="1">TrendAndSeasChopraBook!$C$40</definedName>
    <definedName name="solver_lhs5" localSheetId="6" hidden="1">TrendAndSeasChopraMine!$C$40</definedName>
    <definedName name="solver_lhs5" localSheetId="5" hidden="1">TrendAndSeasIravaniMine!$S$4</definedName>
    <definedName name="solver_lhs5" localSheetId="7" hidden="1">TrendAndSeasSocic!#REF!</definedName>
    <definedName name="solver_lhs6" localSheetId="10" hidden="1">MultiRefSeas!$P$1</definedName>
    <definedName name="solver_lhs6" localSheetId="8" hidden="1">TrendAndSeasChopraBook!$C$40</definedName>
    <definedName name="solver_lhs6" localSheetId="6" hidden="1">TrendAndSeasChopraMine!$C$40</definedName>
    <definedName name="solver_lhs6" localSheetId="5" hidden="1">TrendAndSeasIravaniMine!$S$4</definedName>
    <definedName name="solver_lhs6" localSheetId="7" hidden="1">TrendAndSeasSocic!#REF!</definedName>
    <definedName name="solver_mip" localSheetId="3" hidden="1">2147483647</definedName>
    <definedName name="solver_mip" localSheetId="10" hidden="1">2147483647</definedName>
    <definedName name="solver_mip" localSheetId="1" hidden="1">2147483647</definedName>
    <definedName name="solver_mip" localSheetId="11" hidden="1">2147483647</definedName>
    <definedName name="solver_mip" localSheetId="2" hidden="1">2147483647</definedName>
    <definedName name="solver_mip" localSheetId="4" hidden="1">2147483647</definedName>
    <definedName name="solver_mip" localSheetId="8" hidden="1">2147483647</definedName>
    <definedName name="solver_mip" localSheetId="6" hidden="1">2147483647</definedName>
    <definedName name="solver_mip" localSheetId="5" hidden="1">2147483647</definedName>
    <definedName name="solver_mip" localSheetId="7" hidden="1">2147483647</definedName>
    <definedName name="solver_mni" localSheetId="3" hidden="1">30</definedName>
    <definedName name="solver_mni" localSheetId="10" hidden="1">30</definedName>
    <definedName name="solver_mni" localSheetId="1" hidden="1">30</definedName>
    <definedName name="solver_mni" localSheetId="11" hidden="1">30</definedName>
    <definedName name="solver_mni" localSheetId="2" hidden="1">30</definedName>
    <definedName name="solver_mni" localSheetId="4" hidden="1">30</definedName>
    <definedName name="solver_mni" localSheetId="8" hidden="1">30</definedName>
    <definedName name="solver_mni" localSheetId="6" hidden="1">30</definedName>
    <definedName name="solver_mni" localSheetId="5" hidden="1">30</definedName>
    <definedName name="solver_mni" localSheetId="7" hidden="1">30</definedName>
    <definedName name="solver_mrt" localSheetId="3" hidden="1">0.075</definedName>
    <definedName name="solver_mrt" localSheetId="10" hidden="1">0.075</definedName>
    <definedName name="solver_mrt" localSheetId="1" hidden="1">0.075</definedName>
    <definedName name="solver_mrt" localSheetId="11" hidden="1">0.075</definedName>
    <definedName name="solver_mrt" localSheetId="2" hidden="1">0.075</definedName>
    <definedName name="solver_mrt" localSheetId="4" hidden="1">0.075</definedName>
    <definedName name="solver_mrt" localSheetId="8" hidden="1">0.075</definedName>
    <definedName name="solver_mrt" localSheetId="6" hidden="1">0.075</definedName>
    <definedName name="solver_mrt" localSheetId="5" hidden="1">0.075</definedName>
    <definedName name="solver_mrt" localSheetId="7" hidden="1">0.075</definedName>
    <definedName name="solver_msl" localSheetId="3" hidden="1">2</definedName>
    <definedName name="solver_msl" localSheetId="10" hidden="1">2</definedName>
    <definedName name="solver_msl" localSheetId="1" hidden="1">2</definedName>
    <definedName name="solver_msl" localSheetId="11" hidden="1">2</definedName>
    <definedName name="solver_msl" localSheetId="2" hidden="1">2</definedName>
    <definedName name="solver_msl" localSheetId="4" hidden="1">2</definedName>
    <definedName name="solver_msl" localSheetId="8" hidden="1">2</definedName>
    <definedName name="solver_msl" localSheetId="6" hidden="1">2</definedName>
    <definedName name="solver_msl" localSheetId="5" hidden="1">2</definedName>
    <definedName name="solver_msl" localSheetId="7" hidden="1">2</definedName>
    <definedName name="solver_neg" localSheetId="3" hidden="1">1</definedName>
    <definedName name="solver_neg" localSheetId="10" hidden="1">1</definedName>
    <definedName name="solver_neg" localSheetId="1" hidden="1">1</definedName>
    <definedName name="solver_neg" localSheetId="11" hidden="1">1</definedName>
    <definedName name="solver_neg" localSheetId="2" hidden="1">1</definedName>
    <definedName name="solver_neg" localSheetId="4" hidden="1">1</definedName>
    <definedName name="solver_neg" localSheetId="8" hidden="1">1</definedName>
    <definedName name="solver_neg" localSheetId="6" hidden="1">1</definedName>
    <definedName name="solver_neg" localSheetId="5" hidden="1">1</definedName>
    <definedName name="solver_neg" localSheetId="7" hidden="1">1</definedName>
    <definedName name="solver_nod" localSheetId="3" hidden="1">2147483647</definedName>
    <definedName name="solver_nod" localSheetId="10" hidden="1">2147483647</definedName>
    <definedName name="solver_nod" localSheetId="1" hidden="1">2147483647</definedName>
    <definedName name="solver_nod" localSheetId="11" hidden="1">2147483647</definedName>
    <definedName name="solver_nod" localSheetId="2" hidden="1">2147483647</definedName>
    <definedName name="solver_nod" localSheetId="4" hidden="1">2147483647</definedName>
    <definedName name="solver_nod" localSheetId="8" hidden="1">2147483647</definedName>
    <definedName name="solver_nod" localSheetId="6" hidden="1">2147483647</definedName>
    <definedName name="solver_nod" localSheetId="5" hidden="1">2147483647</definedName>
    <definedName name="solver_nod" localSheetId="7" hidden="1">2147483647</definedName>
    <definedName name="solver_num" localSheetId="3" hidden="1">0</definedName>
    <definedName name="solver_num" localSheetId="10" hidden="1">6</definedName>
    <definedName name="solver_num" localSheetId="1" hidden="1">0</definedName>
    <definedName name="solver_num" localSheetId="11" hidden="1">0</definedName>
    <definedName name="solver_num" localSheetId="2" hidden="1">0</definedName>
    <definedName name="solver_num" localSheetId="4" hidden="1">4</definedName>
    <definedName name="solver_num" localSheetId="8" hidden="1">2</definedName>
    <definedName name="solver_num" localSheetId="6" hidden="1">2</definedName>
    <definedName name="solver_num" localSheetId="5" hidden="1">6</definedName>
    <definedName name="solver_num" localSheetId="7" hidden="1">2</definedName>
    <definedName name="solver_nwt" localSheetId="3" hidden="1">1</definedName>
    <definedName name="solver_nwt" localSheetId="10" hidden="1">1</definedName>
    <definedName name="solver_nwt" localSheetId="1" hidden="1">1</definedName>
    <definedName name="solver_nwt" localSheetId="11" hidden="1">1</definedName>
    <definedName name="solver_nwt" localSheetId="2" hidden="1">1</definedName>
    <definedName name="solver_nwt" localSheetId="4" hidden="1">1</definedName>
    <definedName name="solver_nwt" localSheetId="8" hidden="1">1</definedName>
    <definedName name="solver_nwt" localSheetId="6" hidden="1">1</definedName>
    <definedName name="solver_nwt" localSheetId="5" hidden="1">1</definedName>
    <definedName name="solver_nwt" localSheetId="7" hidden="1">1</definedName>
    <definedName name="solver_opt" localSheetId="3" hidden="1">'0.Regression'!$L$22</definedName>
    <definedName name="solver_opt" localSheetId="10" hidden="1">MultiRefSeas!$K$31</definedName>
    <definedName name="solver_opt" localSheetId="1" hidden="1">Stationary!$J$30</definedName>
    <definedName name="solver_opt" localSheetId="11" hidden="1">TrAdES!$L$5</definedName>
    <definedName name="solver_opt" localSheetId="2" hidden="1">Trend!$J$30</definedName>
    <definedName name="solver_opt" localSheetId="4" hidden="1">TrendAdj!$G$31</definedName>
    <definedName name="solver_opt" localSheetId="8" hidden="1">TrendAndSeasChopraBook!$U$30</definedName>
    <definedName name="solver_opt" localSheetId="6" hidden="1">TrendAndSeasChopraMine!$U$30</definedName>
    <definedName name="solver_opt" localSheetId="5" hidden="1">TrendAndSeasIravaniMine!$I$31</definedName>
    <definedName name="solver_opt" localSheetId="7" hidden="1">TrendAndSeasSocic!#REF!</definedName>
    <definedName name="solver_pre" localSheetId="3" hidden="1">0.000001</definedName>
    <definedName name="solver_pre" localSheetId="10" hidden="1">0.000001</definedName>
    <definedName name="solver_pre" localSheetId="1" hidden="1">0.000001</definedName>
    <definedName name="solver_pre" localSheetId="11" hidden="1">0.000001</definedName>
    <definedName name="solver_pre" localSheetId="2" hidden="1">0.000001</definedName>
    <definedName name="solver_pre" localSheetId="4" hidden="1">0.000001</definedName>
    <definedName name="solver_pre" localSheetId="8" hidden="1">0.000001</definedName>
    <definedName name="solver_pre" localSheetId="6" hidden="1">0.000001</definedName>
    <definedName name="solver_pre" localSheetId="5" hidden="1">0.000001</definedName>
    <definedName name="solver_pre" localSheetId="7" hidden="1">0.000001</definedName>
    <definedName name="solver_rbv" localSheetId="3" hidden="1">2</definedName>
    <definedName name="solver_rbv" localSheetId="10" hidden="1">1</definedName>
    <definedName name="solver_rbv" localSheetId="1" hidden="1">1</definedName>
    <definedName name="solver_rbv" localSheetId="11" hidden="1">1</definedName>
    <definedName name="solver_rbv" localSheetId="2" hidden="1">1</definedName>
    <definedName name="solver_rbv" localSheetId="4" hidden="1">1</definedName>
    <definedName name="solver_rbv" localSheetId="8" hidden="1">1</definedName>
    <definedName name="solver_rbv" localSheetId="6" hidden="1">1</definedName>
    <definedName name="solver_rbv" localSheetId="5" hidden="1">1</definedName>
    <definedName name="solver_rbv" localSheetId="7" hidden="1">1</definedName>
    <definedName name="solver_rel1" localSheetId="10" hidden="1">1</definedName>
    <definedName name="solver_rel1" localSheetId="11" hidden="1">1</definedName>
    <definedName name="solver_rel1" localSheetId="4" hidden="1">1</definedName>
    <definedName name="solver_rel1" localSheetId="8" hidden="1">1</definedName>
    <definedName name="solver_rel1" localSheetId="6" hidden="1">1</definedName>
    <definedName name="solver_rel1" localSheetId="5" hidden="1">1</definedName>
    <definedName name="solver_rel1" localSheetId="7" hidden="1">1</definedName>
    <definedName name="solver_rel2" localSheetId="10" hidden="1">3</definedName>
    <definedName name="solver_rel2" localSheetId="11" hidden="1">3</definedName>
    <definedName name="solver_rel2" localSheetId="4" hidden="1">3</definedName>
    <definedName name="solver_rel2" localSheetId="8" hidden="1">3</definedName>
    <definedName name="solver_rel2" localSheetId="6" hidden="1">3</definedName>
    <definedName name="solver_rel2" localSheetId="5" hidden="1">3</definedName>
    <definedName name="solver_rel2" localSheetId="7" hidden="1">3</definedName>
    <definedName name="solver_rel3" localSheetId="10" hidden="1">1</definedName>
    <definedName name="solver_rel3" localSheetId="4" hidden="1">1</definedName>
    <definedName name="solver_rel3" localSheetId="8" hidden="1">3</definedName>
    <definedName name="solver_rel3" localSheetId="6" hidden="1">3</definedName>
    <definedName name="solver_rel3" localSheetId="5" hidden="1">1</definedName>
    <definedName name="solver_rel3" localSheetId="7" hidden="1">3</definedName>
    <definedName name="solver_rel4" localSheetId="10" hidden="1">3</definedName>
    <definedName name="solver_rel4" localSheetId="4" hidden="1">3</definedName>
    <definedName name="solver_rel4" localSheetId="8" hidden="1">3</definedName>
    <definedName name="solver_rel4" localSheetId="6" hidden="1">3</definedName>
    <definedName name="solver_rel4" localSheetId="5" hidden="1">3</definedName>
    <definedName name="solver_rel4" localSheetId="7" hidden="1">3</definedName>
    <definedName name="solver_rel5" localSheetId="10" hidden="1">1</definedName>
    <definedName name="solver_rel5" localSheetId="8" hidden="1">3</definedName>
    <definedName name="solver_rel5" localSheetId="6" hidden="1">3</definedName>
    <definedName name="solver_rel5" localSheetId="5" hidden="1">1</definedName>
    <definedName name="solver_rel5" localSheetId="7" hidden="1">3</definedName>
    <definedName name="solver_rel6" localSheetId="10" hidden="1">3</definedName>
    <definedName name="solver_rel6" localSheetId="8" hidden="1">3</definedName>
    <definedName name="solver_rel6" localSheetId="6" hidden="1">3</definedName>
    <definedName name="solver_rel6" localSheetId="5" hidden="1">3</definedName>
    <definedName name="solver_rel6" localSheetId="7" hidden="1">3</definedName>
    <definedName name="solver_rhs1" localSheetId="10" hidden="1">1</definedName>
    <definedName name="solver_rhs1" localSheetId="11" hidden="1">1</definedName>
    <definedName name="solver_rhs1" localSheetId="4" hidden="1">1</definedName>
    <definedName name="solver_rhs1" localSheetId="8" hidden="1">1</definedName>
    <definedName name="solver_rhs1" localSheetId="6" hidden="1">1</definedName>
    <definedName name="solver_rhs1" localSheetId="5" hidden="1">1</definedName>
    <definedName name="solver_rhs1" localSheetId="7" hidden="1">1</definedName>
    <definedName name="solver_rhs2" localSheetId="10" hidden="1">0</definedName>
    <definedName name="solver_rhs2" localSheetId="11" hidden="1">0</definedName>
    <definedName name="solver_rhs2" localSheetId="4" hidden="1">0</definedName>
    <definedName name="solver_rhs2" localSheetId="8" hidden="1">0</definedName>
    <definedName name="solver_rhs2" localSheetId="6" hidden="1">0</definedName>
    <definedName name="solver_rhs2" localSheetId="5" hidden="1">0</definedName>
    <definedName name="solver_rhs2" localSheetId="7" hidden="1">0</definedName>
    <definedName name="solver_rhs3" localSheetId="10" hidden="1">1</definedName>
    <definedName name="solver_rhs3" localSheetId="4" hidden="1">1</definedName>
    <definedName name="solver_rhs3" localSheetId="8" hidden="1">0</definedName>
    <definedName name="solver_rhs3" localSheetId="6" hidden="1">0</definedName>
    <definedName name="solver_rhs3" localSheetId="5" hidden="1">1</definedName>
    <definedName name="solver_rhs3" localSheetId="7" hidden="1">0</definedName>
    <definedName name="solver_rhs4" localSheetId="10" hidden="1">0</definedName>
    <definedName name="solver_rhs4" localSheetId="4" hidden="1">0</definedName>
    <definedName name="solver_rhs4" localSheetId="8" hidden="1">0</definedName>
    <definedName name="solver_rhs4" localSheetId="6" hidden="1">0</definedName>
    <definedName name="solver_rhs4" localSheetId="5" hidden="1">0</definedName>
    <definedName name="solver_rhs4" localSheetId="7" hidden="1">0</definedName>
    <definedName name="solver_rhs5" localSheetId="10" hidden="1">1</definedName>
    <definedName name="solver_rhs5" localSheetId="8" hidden="1">0</definedName>
    <definedName name="solver_rhs5" localSheetId="6" hidden="1">0</definedName>
    <definedName name="solver_rhs5" localSheetId="5" hidden="1">1</definedName>
    <definedName name="solver_rhs5" localSheetId="7" hidden="1">0</definedName>
    <definedName name="solver_rhs6" localSheetId="10" hidden="1">0</definedName>
    <definedName name="solver_rhs6" localSheetId="8" hidden="1">0</definedName>
    <definedName name="solver_rhs6" localSheetId="6" hidden="1">0</definedName>
    <definedName name="solver_rhs6" localSheetId="5" hidden="1">0</definedName>
    <definedName name="solver_rhs6" localSheetId="7" hidden="1">0</definedName>
    <definedName name="solver_rlx" localSheetId="3" hidden="1">2</definedName>
    <definedName name="solver_rlx" localSheetId="10" hidden="1">2</definedName>
    <definedName name="solver_rlx" localSheetId="1" hidden="1">2</definedName>
    <definedName name="solver_rlx" localSheetId="11" hidden="1">2</definedName>
    <definedName name="solver_rlx" localSheetId="2" hidden="1">2</definedName>
    <definedName name="solver_rlx" localSheetId="4" hidden="1">2</definedName>
    <definedName name="solver_rlx" localSheetId="8" hidden="1">2</definedName>
    <definedName name="solver_rlx" localSheetId="6" hidden="1">2</definedName>
    <definedName name="solver_rlx" localSheetId="5" hidden="1">2</definedName>
    <definedName name="solver_rlx" localSheetId="7" hidden="1">2</definedName>
    <definedName name="solver_rsd" localSheetId="3" hidden="1">0</definedName>
    <definedName name="solver_rsd" localSheetId="10" hidden="1">0</definedName>
    <definedName name="solver_rsd" localSheetId="1" hidden="1">0</definedName>
    <definedName name="solver_rsd" localSheetId="11" hidden="1">0</definedName>
    <definedName name="solver_rsd" localSheetId="2" hidden="1">0</definedName>
    <definedName name="solver_rsd" localSheetId="4" hidden="1">0</definedName>
    <definedName name="solver_rsd" localSheetId="8" hidden="1">0</definedName>
    <definedName name="solver_rsd" localSheetId="6" hidden="1">0</definedName>
    <definedName name="solver_rsd" localSheetId="5" hidden="1">0</definedName>
    <definedName name="solver_rsd" localSheetId="7" hidden="1">0</definedName>
    <definedName name="solver_scl" localSheetId="3" hidden="1">2</definedName>
    <definedName name="solver_scl" localSheetId="10" hidden="1">1</definedName>
    <definedName name="solver_scl" localSheetId="1" hidden="1">1</definedName>
    <definedName name="solver_scl" localSheetId="11" hidden="1">1</definedName>
    <definedName name="solver_scl" localSheetId="2" hidden="1">1</definedName>
    <definedName name="solver_scl" localSheetId="4" hidden="1">1</definedName>
    <definedName name="solver_scl" localSheetId="8" hidden="1">1</definedName>
    <definedName name="solver_scl" localSheetId="6" hidden="1">1</definedName>
    <definedName name="solver_scl" localSheetId="5" hidden="1">1</definedName>
    <definedName name="solver_scl" localSheetId="7" hidden="1">1</definedName>
    <definedName name="solver_sho" localSheetId="3" hidden="1">2</definedName>
    <definedName name="solver_sho" localSheetId="10" hidden="1">2</definedName>
    <definedName name="solver_sho" localSheetId="1" hidden="1">2</definedName>
    <definedName name="solver_sho" localSheetId="11" hidden="1">2</definedName>
    <definedName name="solver_sho" localSheetId="2" hidden="1">2</definedName>
    <definedName name="solver_sho" localSheetId="4" hidden="1">2</definedName>
    <definedName name="solver_sho" localSheetId="8" hidden="1">2</definedName>
    <definedName name="solver_sho" localSheetId="6" hidden="1">2</definedName>
    <definedName name="solver_sho" localSheetId="5" hidden="1">2</definedName>
    <definedName name="solver_sho" localSheetId="7" hidden="1">2</definedName>
    <definedName name="solver_ssz" localSheetId="3" hidden="1">100</definedName>
    <definedName name="solver_ssz" localSheetId="10" hidden="1">100</definedName>
    <definedName name="solver_ssz" localSheetId="1" hidden="1">100</definedName>
    <definedName name="solver_ssz" localSheetId="11" hidden="1">100</definedName>
    <definedName name="solver_ssz" localSheetId="2" hidden="1">100</definedName>
    <definedName name="solver_ssz" localSheetId="4" hidden="1">100</definedName>
    <definedName name="solver_ssz" localSheetId="8" hidden="1">100</definedName>
    <definedName name="solver_ssz" localSheetId="6" hidden="1">100</definedName>
    <definedName name="solver_ssz" localSheetId="5" hidden="1">100</definedName>
    <definedName name="solver_ssz" localSheetId="7" hidden="1">100</definedName>
    <definedName name="solver_tim" localSheetId="3" hidden="1">2147483647</definedName>
    <definedName name="solver_tim" localSheetId="10" hidden="1">2147483647</definedName>
    <definedName name="solver_tim" localSheetId="1" hidden="1">2147483647</definedName>
    <definedName name="solver_tim" localSheetId="11" hidden="1">2147483647</definedName>
    <definedName name="solver_tim" localSheetId="2" hidden="1">2147483647</definedName>
    <definedName name="solver_tim" localSheetId="4" hidden="1">2147483647</definedName>
    <definedName name="solver_tim" localSheetId="8" hidden="1">2147483647</definedName>
    <definedName name="solver_tim" localSheetId="6" hidden="1">2147483647</definedName>
    <definedName name="solver_tim" localSheetId="5" hidden="1">2147483647</definedName>
    <definedName name="solver_tim" localSheetId="7" hidden="1">2147483647</definedName>
    <definedName name="solver_tol" localSheetId="3" hidden="1">0.01</definedName>
    <definedName name="solver_tol" localSheetId="10" hidden="1">0.01</definedName>
    <definedName name="solver_tol" localSheetId="1" hidden="1">0.01</definedName>
    <definedName name="solver_tol" localSheetId="11" hidden="1">0.01</definedName>
    <definedName name="solver_tol" localSheetId="2" hidden="1">0.01</definedName>
    <definedName name="solver_tol" localSheetId="4" hidden="1">0.01</definedName>
    <definedName name="solver_tol" localSheetId="8" hidden="1">0.01</definedName>
    <definedName name="solver_tol" localSheetId="6" hidden="1">0.01</definedName>
    <definedName name="solver_tol" localSheetId="5" hidden="1">0.01</definedName>
    <definedName name="solver_tol" localSheetId="7" hidden="1">0.01</definedName>
    <definedName name="solver_typ" localSheetId="0" hidden="1">2</definedName>
    <definedName name="solver_typ" localSheetId="3" hidden="1">2</definedName>
    <definedName name="solver_typ" localSheetId="9" hidden="1">2</definedName>
    <definedName name="solver_typ" localSheetId="10" hidden="1">2</definedName>
    <definedName name="solver_typ" localSheetId="1" hidden="1">2</definedName>
    <definedName name="solver_typ" localSheetId="11" hidden="1">2</definedName>
    <definedName name="solver_typ" localSheetId="2" hidden="1">2</definedName>
    <definedName name="solver_typ" localSheetId="4" hidden="1">2</definedName>
    <definedName name="solver_typ" localSheetId="8" hidden="1">2</definedName>
    <definedName name="solver_typ" localSheetId="6" hidden="1">2</definedName>
    <definedName name="solver_typ" localSheetId="5" hidden="1">2</definedName>
    <definedName name="solver_typ" localSheetId="7" hidden="1">2</definedName>
    <definedName name="solver_val" localSheetId="3" hidden="1">0</definedName>
    <definedName name="solver_val" localSheetId="10" hidden="1">0</definedName>
    <definedName name="solver_val" localSheetId="1" hidden="1">0</definedName>
    <definedName name="solver_val" localSheetId="11" hidden="1">0</definedName>
    <definedName name="solver_val" localSheetId="2" hidden="1">0</definedName>
    <definedName name="solver_val" localSheetId="4" hidden="1">0</definedName>
    <definedName name="solver_val" localSheetId="8" hidden="1">0</definedName>
    <definedName name="solver_val" localSheetId="6" hidden="1">0</definedName>
    <definedName name="solver_val" localSheetId="5" hidden="1">0</definedName>
    <definedName name="solver_val" localSheetId="7" hidden="1">0</definedName>
    <definedName name="solver_ver" localSheetId="0" hidden="1">17</definedName>
    <definedName name="solver_ver" localSheetId="3" hidden="1">3</definedName>
    <definedName name="solver_ver" localSheetId="9" hidden="1">17</definedName>
    <definedName name="solver_ver" localSheetId="10" hidden="1">3</definedName>
    <definedName name="solver_ver" localSheetId="1" hidden="1">3</definedName>
    <definedName name="solver_ver" localSheetId="11" hidden="1">3</definedName>
    <definedName name="solver_ver" localSheetId="2" hidden="1">3</definedName>
    <definedName name="solver_ver" localSheetId="4" hidden="1">3</definedName>
    <definedName name="solver_ver" localSheetId="8" hidden="1">3</definedName>
    <definedName name="solver_ver" localSheetId="6" hidden="1">3</definedName>
    <definedName name="solver_ver" localSheetId="5" hidden="1">3</definedName>
    <definedName name="solver_ver" localSheetId="7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14" l="1"/>
  <c r="G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4" i="35"/>
  <c r="B5" i="35" l="1"/>
  <c r="C5" i="35"/>
  <c r="D5" i="35"/>
  <c r="E5" i="35"/>
  <c r="B6" i="35"/>
  <c r="C6" i="35"/>
  <c r="D6" i="35"/>
  <c r="E6" i="35"/>
  <c r="B7" i="35"/>
  <c r="C7" i="35"/>
  <c r="D7" i="35"/>
  <c r="E7" i="35"/>
  <c r="B8" i="35"/>
  <c r="C8" i="35"/>
  <c r="D8" i="35"/>
  <c r="E8" i="35"/>
  <c r="B9" i="35"/>
  <c r="C9" i="35"/>
  <c r="D9" i="35"/>
  <c r="E9" i="35"/>
  <c r="B10" i="35"/>
  <c r="C10" i="35"/>
  <c r="D10" i="35"/>
  <c r="E10" i="35"/>
  <c r="B11" i="35"/>
  <c r="C11" i="35"/>
  <c r="D11" i="35"/>
  <c r="E11" i="35"/>
  <c r="B12" i="35"/>
  <c r="C12" i="35"/>
  <c r="D12" i="35"/>
  <c r="E12" i="35"/>
  <c r="B13" i="35"/>
  <c r="C13" i="35"/>
  <c r="D13" i="35"/>
  <c r="E13" i="35"/>
  <c r="B14" i="35"/>
  <c r="C14" i="35"/>
  <c r="D14" i="35"/>
  <c r="E14" i="35"/>
  <c r="B15" i="35"/>
  <c r="C15" i="35"/>
  <c r="D15" i="35"/>
  <c r="E15" i="35"/>
  <c r="B16" i="35"/>
  <c r="C16" i="35"/>
  <c r="D16" i="35"/>
  <c r="E16" i="35"/>
  <c r="B17" i="35"/>
  <c r="C17" i="35"/>
  <c r="D17" i="35"/>
  <c r="E17" i="35"/>
  <c r="B18" i="35"/>
  <c r="C18" i="35"/>
  <c r="D18" i="35"/>
  <c r="E18" i="35"/>
  <c r="B19" i="35"/>
  <c r="C19" i="35"/>
  <c r="D19" i="35"/>
  <c r="E19" i="35"/>
  <c r="B20" i="35"/>
  <c r="C20" i="35"/>
  <c r="D20" i="35"/>
  <c r="E20" i="35"/>
  <c r="B21" i="35"/>
  <c r="C21" i="35"/>
  <c r="D21" i="35"/>
  <c r="E21" i="35"/>
  <c r="B22" i="35"/>
  <c r="C22" i="35"/>
  <c r="D22" i="35"/>
  <c r="E22" i="35"/>
  <c r="B23" i="35"/>
  <c r="C23" i="35"/>
  <c r="D23" i="35"/>
  <c r="E23" i="35"/>
  <c r="B24" i="35"/>
  <c r="C24" i="35"/>
  <c r="D24" i="35"/>
  <c r="E24" i="35"/>
  <c r="B25" i="35"/>
  <c r="C25" i="35"/>
  <c r="D25" i="35"/>
  <c r="E25" i="35"/>
  <c r="B26" i="35"/>
  <c r="C26" i="35"/>
  <c r="D26" i="35"/>
  <c r="E26" i="35"/>
  <c r="B27" i="35"/>
  <c r="C27" i="35"/>
  <c r="D27" i="35"/>
  <c r="E27" i="35"/>
  <c r="B28" i="35"/>
  <c r="C28" i="35"/>
  <c r="D28" i="35"/>
  <c r="E28" i="35"/>
  <c r="B29" i="35"/>
  <c r="C29" i="35"/>
  <c r="D29" i="35"/>
  <c r="E29" i="35"/>
  <c r="B30" i="35"/>
  <c r="C30" i="35"/>
  <c r="D30" i="35"/>
  <c r="E30" i="35"/>
  <c r="B31" i="35"/>
  <c r="C31" i="35"/>
  <c r="D31" i="35"/>
  <c r="E31" i="35"/>
  <c r="E4" i="35"/>
  <c r="C4" i="35"/>
  <c r="D4" i="35"/>
  <c r="B4" i="35"/>
  <c r="D31" i="37"/>
  <c r="D32" i="37"/>
  <c r="D33" i="37"/>
  <c r="D34" i="37"/>
  <c r="I30" i="37"/>
  <c r="F31" i="37"/>
  <c r="F32" i="37"/>
  <c r="F33" i="37"/>
  <c r="I33" i="37" s="1"/>
  <c r="F34" i="37"/>
  <c r="I34" i="37" s="1"/>
  <c r="C2" i="37"/>
  <c r="C28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5" i="37"/>
  <c r="U4" i="38"/>
  <c r="U3" i="38"/>
  <c r="S4" i="38"/>
  <c r="S3" i="38"/>
  <c r="R4" i="38"/>
  <c r="Q4" i="38"/>
  <c r="R3" i="38"/>
  <c r="Q3" i="38"/>
  <c r="E7" i="38"/>
  <c r="C3" i="38"/>
  <c r="D3" i="38" s="1"/>
  <c r="D2" i="38"/>
  <c r="C2" i="38"/>
  <c r="I31" i="37" l="1"/>
  <c r="I32" i="37"/>
  <c r="T3" i="38"/>
  <c r="T4" i="38" s="1"/>
  <c r="V3" i="38"/>
  <c r="V4" i="38" s="1"/>
  <c r="E8" i="38"/>
  <c r="F3" i="38"/>
  <c r="E4" i="38"/>
  <c r="E5" i="38"/>
  <c r="E6" i="38"/>
  <c r="E3" i="38"/>
  <c r="C4" i="38" l="1"/>
  <c r="E9" i="34"/>
  <c r="E13" i="34" s="1"/>
  <c r="E10" i="34"/>
  <c r="E11" i="34"/>
  <c r="E12" i="34"/>
  <c r="E8" i="34"/>
  <c r="L10" i="39"/>
  <c r="O4" i="34"/>
  <c r="O5" i="34"/>
  <c r="N5" i="34"/>
  <c r="N4" i="34"/>
  <c r="O6" i="34"/>
  <c r="M4" i="34"/>
  <c r="M5" i="34"/>
  <c r="D4" i="34"/>
  <c r="K4" i="34" l="1"/>
  <c r="J4" i="34"/>
  <c r="L4" i="34"/>
  <c r="K5" i="34"/>
  <c r="D3" i="34"/>
  <c r="J5" i="34" s="1"/>
  <c r="K6" i="34" s="1"/>
  <c r="C3" i="34"/>
  <c r="O1" i="33"/>
  <c r="L3" i="33"/>
  <c r="K3" i="33"/>
  <c r="L5" i="34" l="1"/>
  <c r="J2" i="39" l="1"/>
  <c r="K2" i="39"/>
  <c r="L3" i="39"/>
  <c r="D2" i="39"/>
  <c r="C2" i="39"/>
  <c r="J3" i="39" l="1"/>
  <c r="F14" i="39" l="1"/>
  <c r="F13" i="39"/>
  <c r="F12" i="39"/>
  <c r="C12" i="39"/>
  <c r="F11" i="39"/>
  <c r="C11" i="39"/>
  <c r="F10" i="39"/>
  <c r="C10" i="39"/>
  <c r="F9" i="39"/>
  <c r="C9" i="39"/>
  <c r="F8" i="39"/>
  <c r="C8" i="39"/>
  <c r="F7" i="39"/>
  <c r="C7" i="39"/>
  <c r="F6" i="39"/>
  <c r="C6" i="39"/>
  <c r="AA5" i="39"/>
  <c r="Z5" i="39"/>
  <c r="F5" i="39"/>
  <c r="C5" i="39"/>
  <c r="F4" i="39"/>
  <c r="F3" i="39"/>
  <c r="Z6" i="39" l="1"/>
  <c r="D12" i="39" l="1"/>
  <c r="E12" i="39" s="1"/>
  <c r="D8" i="39"/>
  <c r="D5" i="39"/>
  <c r="E5" i="39" s="1"/>
  <c r="D6" i="39"/>
  <c r="E6" i="39" s="1"/>
  <c r="D3" i="39"/>
  <c r="E3" i="39" s="1"/>
  <c r="D4" i="39"/>
  <c r="E4" i="39" s="1"/>
  <c r="D11" i="39"/>
  <c r="E11" i="39" s="1"/>
  <c r="D13" i="39"/>
  <c r="E13" i="39" s="1"/>
  <c r="D9" i="39"/>
  <c r="E9" i="39" s="1"/>
  <c r="D10" i="39"/>
  <c r="E10" i="39" s="1"/>
  <c r="D14" i="39"/>
  <c r="E14" i="39" s="1"/>
  <c r="D7" i="39"/>
  <c r="E7" i="39" s="1"/>
  <c r="E8" i="39"/>
  <c r="F4" i="37"/>
  <c r="F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" i="37"/>
  <c r="G5" i="39" l="1"/>
  <c r="G3" i="39"/>
  <c r="G4" i="39"/>
  <c r="G6" i="39"/>
  <c r="F4" i="38"/>
  <c r="Z5" i="37"/>
  <c r="AA5" i="37"/>
  <c r="H6" i="39" l="1"/>
  <c r="I6" i="39" s="1"/>
  <c r="H5" i="39"/>
  <c r="L5" i="39" s="1"/>
  <c r="I9" i="39"/>
  <c r="I5" i="39"/>
  <c r="I13" i="39"/>
  <c r="G7" i="39"/>
  <c r="H4" i="39"/>
  <c r="H3" i="39"/>
  <c r="D4" i="38"/>
  <c r="E9" i="38" s="1"/>
  <c r="J2" i="37"/>
  <c r="D2" i="37"/>
  <c r="K2" i="37" s="1"/>
  <c r="Z6" i="37"/>
  <c r="C5" i="38" l="1"/>
  <c r="I14" i="39"/>
  <c r="I10" i="39"/>
  <c r="L6" i="39"/>
  <c r="M3" i="39"/>
  <c r="H7" i="39"/>
  <c r="I7" i="39"/>
  <c r="I11" i="39"/>
  <c r="I3" i="39"/>
  <c r="L4" i="39"/>
  <c r="I8" i="39"/>
  <c r="I4" i="39"/>
  <c r="I12" i="39"/>
  <c r="F5" i="38"/>
  <c r="D4" i="37"/>
  <c r="E4" i="37" s="1"/>
  <c r="D12" i="37"/>
  <c r="E12" i="37" s="1"/>
  <c r="D20" i="37"/>
  <c r="E20" i="37" s="1"/>
  <c r="D28" i="37"/>
  <c r="E28" i="37" s="1"/>
  <c r="D5" i="37"/>
  <c r="E5" i="37" s="1"/>
  <c r="D13" i="37"/>
  <c r="E13" i="37" s="1"/>
  <c r="D21" i="37"/>
  <c r="E21" i="37" s="1"/>
  <c r="D29" i="37"/>
  <c r="E29" i="37" s="1"/>
  <c r="D18" i="37"/>
  <c r="E18" i="37" s="1"/>
  <c r="D6" i="37"/>
  <c r="E6" i="37" s="1"/>
  <c r="D14" i="37"/>
  <c r="E14" i="37" s="1"/>
  <c r="D22" i="37"/>
  <c r="E22" i="37" s="1"/>
  <c r="D30" i="37"/>
  <c r="E30" i="37" s="1"/>
  <c r="D26" i="37"/>
  <c r="E26" i="37" s="1"/>
  <c r="D11" i="37"/>
  <c r="E11" i="37" s="1"/>
  <c r="D27" i="37"/>
  <c r="E27" i="37" s="1"/>
  <c r="D7" i="37"/>
  <c r="E7" i="37" s="1"/>
  <c r="D15" i="37"/>
  <c r="E15" i="37" s="1"/>
  <c r="D23" i="37"/>
  <c r="E23" i="37" s="1"/>
  <c r="D3" i="37"/>
  <c r="E3" i="37" s="1"/>
  <c r="D8" i="37"/>
  <c r="E8" i="37" s="1"/>
  <c r="D16" i="37"/>
  <c r="E16" i="37" s="1"/>
  <c r="D24" i="37"/>
  <c r="E24" i="37" s="1"/>
  <c r="D19" i="37"/>
  <c r="E19" i="37" s="1"/>
  <c r="D9" i="37"/>
  <c r="E9" i="37" s="1"/>
  <c r="D17" i="37"/>
  <c r="E17" i="37" s="1"/>
  <c r="D25" i="37"/>
  <c r="E25" i="37" s="1"/>
  <c r="D10" i="37"/>
  <c r="E10" i="37" s="1"/>
  <c r="D5" i="38" l="1"/>
  <c r="E10" i="38" s="1"/>
  <c r="L7" i="39"/>
  <c r="N3" i="39"/>
  <c r="G5" i="37"/>
  <c r="G3" i="37"/>
  <c r="G6" i="37"/>
  <c r="G4" i="37"/>
  <c r="C6" i="38" l="1"/>
  <c r="F6" i="38"/>
  <c r="Q3" i="39"/>
  <c r="R3" i="39"/>
  <c r="O3" i="39"/>
  <c r="K3" i="39"/>
  <c r="J4" i="39" s="1"/>
  <c r="H5" i="37"/>
  <c r="I5" i="37" s="1"/>
  <c r="H6" i="37"/>
  <c r="H4" i="37"/>
  <c r="G7" i="37"/>
  <c r="H3" i="37"/>
  <c r="D6" i="38" l="1"/>
  <c r="E11" i="38" s="1"/>
  <c r="L8" i="39"/>
  <c r="S3" i="39"/>
  <c r="V3" i="39" s="1"/>
  <c r="P3" i="39"/>
  <c r="U3" i="39"/>
  <c r="K4" i="39"/>
  <c r="J5" i="39" s="1"/>
  <c r="F7" i="38"/>
  <c r="G3" i="38"/>
  <c r="I13" i="37"/>
  <c r="I29" i="37"/>
  <c r="I9" i="37"/>
  <c r="I17" i="37"/>
  <c r="I21" i="37"/>
  <c r="I25" i="37"/>
  <c r="L5" i="37"/>
  <c r="H7" i="37"/>
  <c r="I3" i="37"/>
  <c r="L3" i="37"/>
  <c r="M3" i="37" s="1"/>
  <c r="I27" i="37"/>
  <c r="I19" i="37"/>
  <c r="I11" i="37"/>
  <c r="I7" i="37"/>
  <c r="I23" i="37"/>
  <c r="I15" i="37"/>
  <c r="L4" i="37"/>
  <c r="I24" i="37"/>
  <c r="I4" i="37"/>
  <c r="I28" i="37"/>
  <c r="I20" i="37"/>
  <c r="I12" i="37"/>
  <c r="I16" i="37"/>
  <c r="I8" i="37"/>
  <c r="L6" i="37"/>
  <c r="I14" i="37"/>
  <c r="I22" i="37"/>
  <c r="I26" i="37"/>
  <c r="I10" i="37"/>
  <c r="I6" i="37"/>
  <c r="I18" i="37"/>
  <c r="C7" i="38" l="1"/>
  <c r="D7" i="38" s="1"/>
  <c r="E12" i="38" s="1"/>
  <c r="K5" i="39"/>
  <c r="T3" i="39"/>
  <c r="L9" i="39"/>
  <c r="M4" i="39"/>
  <c r="N4" i="39" s="1"/>
  <c r="J3" i="37"/>
  <c r="G4" i="38"/>
  <c r="J3" i="38"/>
  <c r="K3" i="38"/>
  <c r="H3" i="38"/>
  <c r="L7" i="37"/>
  <c r="C8" i="38" l="1"/>
  <c r="F8" i="38"/>
  <c r="J6" i="39"/>
  <c r="M5" i="39"/>
  <c r="N5" i="39" s="1"/>
  <c r="Q4" i="39"/>
  <c r="O4" i="39"/>
  <c r="R4" i="39"/>
  <c r="L3" i="38"/>
  <c r="O3" i="38" s="1"/>
  <c r="I3" i="38"/>
  <c r="N3" i="38"/>
  <c r="H4" i="38"/>
  <c r="I4" i="38" s="1"/>
  <c r="K4" i="38"/>
  <c r="J4" i="38"/>
  <c r="K3" i="37"/>
  <c r="L8" i="37" s="1"/>
  <c r="D8" i="38" l="1"/>
  <c r="E13" i="38" s="1"/>
  <c r="P4" i="39"/>
  <c r="S4" i="39"/>
  <c r="V4" i="39" s="1"/>
  <c r="U4" i="39"/>
  <c r="O5" i="39"/>
  <c r="P5" i="39" s="1"/>
  <c r="R5" i="39"/>
  <c r="Q5" i="39"/>
  <c r="U5" i="39" s="1"/>
  <c r="K6" i="39"/>
  <c r="M6" i="39" s="1"/>
  <c r="N6" i="39" s="1"/>
  <c r="F9" i="38"/>
  <c r="N4" i="38"/>
  <c r="G5" i="38"/>
  <c r="M4" i="38"/>
  <c r="M3" i="38"/>
  <c r="L4" i="38"/>
  <c r="O4" i="38" s="1"/>
  <c r="N3" i="37"/>
  <c r="Q3" i="37" s="1"/>
  <c r="J4" i="37"/>
  <c r="K4" i="37" s="1"/>
  <c r="J5" i="37" s="1"/>
  <c r="C9" i="38" l="1"/>
  <c r="D9" i="38" s="1"/>
  <c r="F10" i="38" s="1"/>
  <c r="O6" i="39"/>
  <c r="P6" i="39" s="1"/>
  <c r="Q6" i="39"/>
  <c r="R6" i="39"/>
  <c r="S5" i="39"/>
  <c r="V5" i="39" s="1"/>
  <c r="L11" i="39"/>
  <c r="T5" i="39"/>
  <c r="T4" i="39"/>
  <c r="J7" i="39"/>
  <c r="K7" i="39" s="1"/>
  <c r="G6" i="38"/>
  <c r="K5" i="38"/>
  <c r="H5" i="38"/>
  <c r="J5" i="38"/>
  <c r="R3" i="37"/>
  <c r="O3" i="37"/>
  <c r="L9" i="37"/>
  <c r="M4" i="37"/>
  <c r="N4" i="37" s="1"/>
  <c r="K5" i="37"/>
  <c r="M5" i="37" s="1"/>
  <c r="N5" i="37" s="1"/>
  <c r="E14" i="38" l="1"/>
  <c r="C10" i="38"/>
  <c r="T6" i="39"/>
  <c r="J8" i="39"/>
  <c r="K8" i="39" s="1"/>
  <c r="M7" i="39"/>
  <c r="N7" i="39" s="1"/>
  <c r="L12" i="39"/>
  <c r="S6" i="39"/>
  <c r="V6" i="39" s="1"/>
  <c r="U6" i="39"/>
  <c r="N5" i="38"/>
  <c r="I5" i="38"/>
  <c r="L5" i="38"/>
  <c r="O5" i="38" s="1"/>
  <c r="K6" i="38"/>
  <c r="J6" i="38"/>
  <c r="H6" i="38"/>
  <c r="I6" i="38" s="1"/>
  <c r="R5" i="37"/>
  <c r="Q5" i="37"/>
  <c r="O5" i="37"/>
  <c r="P5" i="37" s="1"/>
  <c r="R4" i="37"/>
  <c r="Q4" i="37"/>
  <c r="O4" i="37"/>
  <c r="P4" i="37" s="1"/>
  <c r="P3" i="37"/>
  <c r="S3" i="37"/>
  <c r="V3" i="37" s="1"/>
  <c r="U3" i="37"/>
  <c r="L10" i="37"/>
  <c r="J6" i="37"/>
  <c r="R7" i="39" l="1"/>
  <c r="Q7" i="39"/>
  <c r="O7" i="39"/>
  <c r="M8" i="39"/>
  <c r="N8" i="39" s="1"/>
  <c r="J9" i="39"/>
  <c r="L13" i="39"/>
  <c r="D10" i="38"/>
  <c r="C11" i="38" s="1"/>
  <c r="M6" i="38"/>
  <c r="M5" i="38"/>
  <c r="N6" i="38"/>
  <c r="G7" i="38"/>
  <c r="L6" i="38"/>
  <c r="O6" i="38" s="1"/>
  <c r="S4" i="37"/>
  <c r="V4" i="37" s="1"/>
  <c r="T5" i="37"/>
  <c r="T4" i="37"/>
  <c r="T3" i="37"/>
  <c r="U5" i="37"/>
  <c r="S5" i="37"/>
  <c r="V5" i="37" s="1"/>
  <c r="U4" i="37"/>
  <c r="K6" i="37"/>
  <c r="E15" i="38" l="1"/>
  <c r="P7" i="39"/>
  <c r="S7" i="39"/>
  <c r="V7" i="39" s="1"/>
  <c r="U7" i="39"/>
  <c r="O8" i="39"/>
  <c r="P8" i="39" s="1"/>
  <c r="Q8" i="39"/>
  <c r="R8" i="39"/>
  <c r="K9" i="39"/>
  <c r="M9" i="39" s="1"/>
  <c r="N9" i="39" s="1"/>
  <c r="F11" i="38"/>
  <c r="D11" i="38"/>
  <c r="E16" i="38" s="1"/>
  <c r="J7" i="38"/>
  <c r="T5" i="38" s="1"/>
  <c r="H7" i="38"/>
  <c r="K7" i="38"/>
  <c r="G8" i="38"/>
  <c r="L11" i="37"/>
  <c r="M6" i="37"/>
  <c r="N6" i="37" s="1"/>
  <c r="J7" i="37"/>
  <c r="C12" i="38" l="1"/>
  <c r="F12" i="38"/>
  <c r="L14" i="39"/>
  <c r="J10" i="39"/>
  <c r="K10" i="39" s="1"/>
  <c r="M10" i="39" s="1"/>
  <c r="N10" i="39" s="1"/>
  <c r="R9" i="39"/>
  <c r="Q9" i="39"/>
  <c r="O9" i="39"/>
  <c r="U8" i="39"/>
  <c r="U9" i="39"/>
  <c r="S8" i="39"/>
  <c r="V8" i="39" s="1"/>
  <c r="T8" i="39"/>
  <c r="T7" i="39"/>
  <c r="H8" i="38"/>
  <c r="I8" i="38" s="1"/>
  <c r="K8" i="38"/>
  <c r="J8" i="38"/>
  <c r="N8" i="38" s="1"/>
  <c r="I7" i="38"/>
  <c r="L7" i="38"/>
  <c r="N7" i="38"/>
  <c r="R6" i="37"/>
  <c r="O6" i="37"/>
  <c r="Q6" i="37"/>
  <c r="K7" i="37"/>
  <c r="M7" i="37" s="1"/>
  <c r="N7" i="37" s="1"/>
  <c r="R5" i="38" l="1"/>
  <c r="O7" i="38"/>
  <c r="D12" i="38"/>
  <c r="E17" i="38" s="1"/>
  <c r="J11" i="39"/>
  <c r="K11" i="39" s="1"/>
  <c r="R10" i="39"/>
  <c r="Q10" i="39"/>
  <c r="U10" i="39" s="1"/>
  <c r="O10" i="39"/>
  <c r="L15" i="39"/>
  <c r="P9" i="39"/>
  <c r="S9" i="39"/>
  <c r="V9" i="39" s="1"/>
  <c r="L8" i="38"/>
  <c r="O8" i="38" s="1"/>
  <c r="M8" i="38"/>
  <c r="M7" i="38"/>
  <c r="G9" i="38"/>
  <c r="U6" i="37"/>
  <c r="P6" i="37"/>
  <c r="S6" i="37"/>
  <c r="V6" i="37" s="1"/>
  <c r="R7" i="37"/>
  <c r="Q7" i="37"/>
  <c r="O7" i="37"/>
  <c r="P7" i="37" s="1"/>
  <c r="L12" i="37"/>
  <c r="J8" i="37"/>
  <c r="V5" i="38" l="1"/>
  <c r="F13" i="38"/>
  <c r="C13" i="38"/>
  <c r="M11" i="39"/>
  <c r="N11" i="39" s="1"/>
  <c r="R11" i="39" s="1"/>
  <c r="J12" i="39"/>
  <c r="K12" i="39" s="1"/>
  <c r="L16" i="39"/>
  <c r="T9" i="39"/>
  <c r="P10" i="39"/>
  <c r="S10" i="39"/>
  <c r="V10" i="39" s="1"/>
  <c r="J9" i="38"/>
  <c r="H9" i="38"/>
  <c r="K9" i="38"/>
  <c r="G10" i="38"/>
  <c r="U7" i="37"/>
  <c r="S7" i="37"/>
  <c r="V7" i="37" s="1"/>
  <c r="T6" i="37"/>
  <c r="T7" i="37"/>
  <c r="K8" i="37"/>
  <c r="M8" i="37" s="1"/>
  <c r="N8" i="37" s="1"/>
  <c r="D13" i="38" l="1"/>
  <c r="E18" i="38" s="1"/>
  <c r="O11" i="39"/>
  <c r="S11" i="39" s="1"/>
  <c r="V11" i="39" s="1"/>
  <c r="Q11" i="39"/>
  <c r="U11" i="39" s="1"/>
  <c r="T10" i="39"/>
  <c r="L17" i="39"/>
  <c r="J13" i="39"/>
  <c r="K13" i="39" s="1"/>
  <c r="M12" i="39"/>
  <c r="N12" i="39" s="1"/>
  <c r="K10" i="38"/>
  <c r="J10" i="38"/>
  <c r="N10" i="38" s="1"/>
  <c r="H10" i="38"/>
  <c r="I9" i="38"/>
  <c r="L9" i="38"/>
  <c r="O9" i="38" s="1"/>
  <c r="N9" i="38"/>
  <c r="G11" i="38"/>
  <c r="L13" i="37"/>
  <c r="J9" i="37"/>
  <c r="K9" i="37" s="1"/>
  <c r="L14" i="37" s="1"/>
  <c r="Q8" i="37"/>
  <c r="O8" i="37"/>
  <c r="R8" i="37"/>
  <c r="C14" i="38" l="1"/>
  <c r="D14" i="38" s="1"/>
  <c r="F16" i="38" s="1"/>
  <c r="F14" i="38"/>
  <c r="P11" i="39"/>
  <c r="T11" i="39" s="1"/>
  <c r="O12" i="39"/>
  <c r="R12" i="39"/>
  <c r="Q12" i="39"/>
  <c r="U12" i="39" s="1"/>
  <c r="M13" i="39"/>
  <c r="N13" i="39" s="1"/>
  <c r="J14" i="39"/>
  <c r="L18" i="39"/>
  <c r="J11" i="38"/>
  <c r="H11" i="38"/>
  <c r="K11" i="38"/>
  <c r="M9" i="38"/>
  <c r="I10" i="38"/>
  <c r="M10" i="38" s="1"/>
  <c r="L10" i="38"/>
  <c r="O10" i="38" s="1"/>
  <c r="M9" i="37"/>
  <c r="N9" i="37" s="1"/>
  <c r="P8" i="37"/>
  <c r="S8" i="37"/>
  <c r="V8" i="37" s="1"/>
  <c r="U8" i="37"/>
  <c r="J10" i="37"/>
  <c r="F18" i="38" l="1"/>
  <c r="F15" i="38"/>
  <c r="F17" i="38"/>
  <c r="C15" i="38"/>
  <c r="D15" i="38" s="1"/>
  <c r="R13" i="39"/>
  <c r="Q13" i="39"/>
  <c r="U13" i="39" s="1"/>
  <c r="O13" i="39"/>
  <c r="P12" i="39"/>
  <c r="T12" i="39" s="1"/>
  <c r="S12" i="39"/>
  <c r="V12" i="39" s="1"/>
  <c r="K14" i="39"/>
  <c r="M16" i="39" s="1"/>
  <c r="G12" i="38"/>
  <c r="I11" i="38"/>
  <c r="L11" i="38"/>
  <c r="O11" i="38" s="1"/>
  <c r="N11" i="38"/>
  <c r="T8" i="37"/>
  <c r="Q9" i="37"/>
  <c r="O9" i="37"/>
  <c r="R9" i="37"/>
  <c r="K10" i="37"/>
  <c r="L15" i="37" s="1"/>
  <c r="C16" i="38" l="1"/>
  <c r="D16" i="38" s="1"/>
  <c r="C17" i="38"/>
  <c r="M14" i="39"/>
  <c r="N14" i="39" s="1"/>
  <c r="M18" i="39"/>
  <c r="M15" i="39"/>
  <c r="M17" i="39"/>
  <c r="P13" i="39"/>
  <c r="T13" i="39" s="1"/>
  <c r="S13" i="39"/>
  <c r="V13" i="39" s="1"/>
  <c r="H12" i="38"/>
  <c r="K12" i="38"/>
  <c r="J12" i="38"/>
  <c r="N12" i="38" s="1"/>
  <c r="M11" i="38"/>
  <c r="G13" i="38"/>
  <c r="U9" i="37"/>
  <c r="P9" i="37"/>
  <c r="S9" i="37"/>
  <c r="V9" i="37" s="1"/>
  <c r="J11" i="37"/>
  <c r="M10" i="37"/>
  <c r="N10" i="37" s="1"/>
  <c r="D17" i="38" l="1"/>
  <c r="R14" i="39"/>
  <c r="Q14" i="39"/>
  <c r="U14" i="39" s="1"/>
  <c r="O14" i="39"/>
  <c r="K13" i="38"/>
  <c r="J13" i="38"/>
  <c r="N13" i="38" s="1"/>
  <c r="H13" i="38"/>
  <c r="I12" i="38"/>
  <c r="M12" i="38" s="1"/>
  <c r="L12" i="38"/>
  <c r="O12" i="38" s="1"/>
  <c r="T9" i="37"/>
  <c r="Q10" i="37"/>
  <c r="O10" i="37"/>
  <c r="R10" i="37"/>
  <c r="K11" i="37"/>
  <c r="M11" i="37" s="1"/>
  <c r="N11" i="37" s="1"/>
  <c r="C18" i="38" l="1"/>
  <c r="D18" i="38" s="1"/>
  <c r="P14" i="39"/>
  <c r="T14" i="39" s="1"/>
  <c r="S14" i="39"/>
  <c r="V14" i="39" s="1"/>
  <c r="I13" i="38"/>
  <c r="M13" i="38" s="1"/>
  <c r="L13" i="38"/>
  <c r="O13" i="38" s="1"/>
  <c r="L16" i="37"/>
  <c r="J12" i="37"/>
  <c r="K12" i="37" s="1"/>
  <c r="J13" i="37" s="1"/>
  <c r="P10" i="37"/>
  <c r="S10" i="37"/>
  <c r="V10" i="37" s="1"/>
  <c r="U10" i="37"/>
  <c r="Q11" i="37"/>
  <c r="U11" i="37" s="1"/>
  <c r="O11" i="37"/>
  <c r="R11" i="37"/>
  <c r="G14" i="38" l="1"/>
  <c r="P11" i="37"/>
  <c r="T11" i="37" s="1"/>
  <c r="S11" i="37"/>
  <c r="V11" i="37" s="1"/>
  <c r="T10" i="37"/>
  <c r="K13" i="37"/>
  <c r="L18" i="37" s="1"/>
  <c r="M12" i="37"/>
  <c r="N12" i="37" s="1"/>
  <c r="L17" i="37"/>
  <c r="K14" i="38" l="1"/>
  <c r="J14" i="38"/>
  <c r="N14" i="38" s="1"/>
  <c r="H14" i="38"/>
  <c r="R12" i="37"/>
  <c r="Q12" i="37"/>
  <c r="U12" i="37" s="1"/>
  <c r="O12" i="37"/>
  <c r="J14" i="37"/>
  <c r="K14" i="37" s="1"/>
  <c r="M13" i="37"/>
  <c r="N13" i="37" s="1"/>
  <c r="I14" i="38" l="1"/>
  <c r="M14" i="38" s="1"/>
  <c r="L14" i="38"/>
  <c r="O14" i="38" s="1"/>
  <c r="P12" i="37"/>
  <c r="T12" i="37" s="1"/>
  <c r="S12" i="37"/>
  <c r="V12" i="37" s="1"/>
  <c r="R13" i="37"/>
  <c r="Q13" i="37"/>
  <c r="U13" i="37" s="1"/>
  <c r="O13" i="37"/>
  <c r="J15" i="37"/>
  <c r="K15" i="37" s="1"/>
  <c r="M14" i="37"/>
  <c r="N14" i="37" s="1"/>
  <c r="L19" i="37"/>
  <c r="P13" i="37" l="1"/>
  <c r="T13" i="37" s="1"/>
  <c r="S13" i="37"/>
  <c r="V13" i="37" s="1"/>
  <c r="Q14" i="37"/>
  <c r="U14" i="37" s="1"/>
  <c r="R14" i="37"/>
  <c r="O14" i="37"/>
  <c r="M15" i="37"/>
  <c r="N15" i="37" s="1"/>
  <c r="J16" i="37"/>
  <c r="K16" i="37" s="1"/>
  <c r="L20" i="37"/>
  <c r="R15" i="37" l="1"/>
  <c r="Q15" i="37"/>
  <c r="U15" i="37" s="1"/>
  <c r="O15" i="37"/>
  <c r="P14" i="37"/>
  <c r="T14" i="37" s="1"/>
  <c r="S14" i="37"/>
  <c r="V14" i="37" s="1"/>
  <c r="M16" i="37"/>
  <c r="N16" i="37" s="1"/>
  <c r="J17" i="37"/>
  <c r="L21" i="37"/>
  <c r="Q16" i="37" l="1"/>
  <c r="U16" i="37" s="1"/>
  <c r="O16" i="37"/>
  <c r="R16" i="37"/>
  <c r="P15" i="37"/>
  <c r="T15" i="37" s="1"/>
  <c r="S15" i="37"/>
  <c r="V15" i="37" s="1"/>
  <c r="K17" i="37"/>
  <c r="E7" i="34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" i="11"/>
  <c r="E4" i="34" l="1"/>
  <c r="E6" i="34"/>
  <c r="E5" i="34"/>
  <c r="P16" i="37"/>
  <c r="T16" i="37" s="1"/>
  <c r="S16" i="37"/>
  <c r="V16" i="37" s="1"/>
  <c r="L22" i="37"/>
  <c r="J18" i="37"/>
  <c r="K18" i="37" s="1"/>
  <c r="M17" i="37"/>
  <c r="N17" i="37" s="1"/>
  <c r="K20" i="11"/>
  <c r="C4" i="34" l="1"/>
  <c r="Q17" i="37"/>
  <c r="U17" i="37" s="1"/>
  <c r="O17" i="37"/>
  <c r="R17" i="37"/>
  <c r="J19" i="37"/>
  <c r="K19" i="37" s="1"/>
  <c r="M18" i="37"/>
  <c r="N18" i="37" s="1"/>
  <c r="L23" i="37"/>
  <c r="C5" i="34" l="1"/>
  <c r="M6" i="34"/>
  <c r="Q18" i="37"/>
  <c r="U18" i="37" s="1"/>
  <c r="O18" i="37"/>
  <c r="R18" i="37"/>
  <c r="P17" i="37"/>
  <c r="T17" i="37" s="1"/>
  <c r="S17" i="37"/>
  <c r="V17" i="37" s="1"/>
  <c r="M19" i="37"/>
  <c r="N19" i="37" s="1"/>
  <c r="J20" i="37"/>
  <c r="L24" i="37"/>
  <c r="F4" i="34" l="1"/>
  <c r="D5" i="34"/>
  <c r="F5" i="34" s="1"/>
  <c r="Q19" i="37"/>
  <c r="U19" i="37" s="1"/>
  <c r="O19" i="37"/>
  <c r="R19" i="37"/>
  <c r="P18" i="37"/>
  <c r="T18" i="37" s="1"/>
  <c r="S18" i="37"/>
  <c r="V18" i="37" s="1"/>
  <c r="K20" i="37"/>
  <c r="L25" i="37" s="1"/>
  <c r="C6" i="34" l="1"/>
  <c r="J21" i="37"/>
  <c r="K21" i="37" s="1"/>
  <c r="M21" i="37" s="1"/>
  <c r="N21" i="37" s="1"/>
  <c r="P19" i="37"/>
  <c r="T19" i="37" s="1"/>
  <c r="S19" i="37"/>
  <c r="V19" i="37" s="1"/>
  <c r="M20" i="37"/>
  <c r="N20" i="37" s="1"/>
  <c r="D6" i="34" l="1"/>
  <c r="L26" i="37"/>
  <c r="J22" i="37"/>
  <c r="K22" i="37" s="1"/>
  <c r="J23" i="37" s="1"/>
  <c r="R20" i="37"/>
  <c r="Q20" i="37"/>
  <c r="U20" i="37" s="1"/>
  <c r="O20" i="37"/>
  <c r="R21" i="37"/>
  <c r="Q21" i="37"/>
  <c r="O21" i="37"/>
  <c r="F6" i="34" l="1"/>
  <c r="C7" i="34"/>
  <c r="U21" i="37"/>
  <c r="P21" i="37"/>
  <c r="S21" i="37"/>
  <c r="V21" i="37" s="1"/>
  <c r="P20" i="37"/>
  <c r="T20" i="37" s="1"/>
  <c r="S20" i="37"/>
  <c r="V20" i="37" s="1"/>
  <c r="M22" i="37"/>
  <c r="N22" i="37" s="1"/>
  <c r="L27" i="37"/>
  <c r="K23" i="37"/>
  <c r="M23" i="37" s="1"/>
  <c r="N23" i="37" s="1"/>
  <c r="D7" i="34" l="1"/>
  <c r="F7" i="34" s="1"/>
  <c r="L28" i="37"/>
  <c r="J24" i="37"/>
  <c r="K24" i="37" s="1"/>
  <c r="J25" i="37" s="1"/>
  <c r="R23" i="37"/>
  <c r="Q23" i="37"/>
  <c r="O23" i="37"/>
  <c r="Q22" i="37"/>
  <c r="U22" i="37" s="1"/>
  <c r="O22" i="37"/>
  <c r="R22" i="37"/>
  <c r="T21" i="37"/>
  <c r="C8" i="34" l="1"/>
  <c r="P22" i="37"/>
  <c r="T22" i="37" s="1"/>
  <c r="S22" i="37"/>
  <c r="V22" i="37" s="1"/>
  <c r="P23" i="37"/>
  <c r="S23" i="37"/>
  <c r="V23" i="37" s="1"/>
  <c r="U23" i="37"/>
  <c r="L29" i="37"/>
  <c r="K25" i="37"/>
  <c r="M24" i="37"/>
  <c r="N24" i="37" s="1"/>
  <c r="D8" i="34" l="1"/>
  <c r="T23" i="37"/>
  <c r="Q24" i="37"/>
  <c r="U24" i="37" s="1"/>
  <c r="O24" i="37"/>
  <c r="R24" i="37"/>
  <c r="L30" i="37"/>
  <c r="J26" i="37"/>
  <c r="K26" i="37" s="1"/>
  <c r="M25" i="37"/>
  <c r="N25" i="37" s="1"/>
  <c r="F8" i="34" l="1"/>
  <c r="C9" i="34"/>
  <c r="Q25" i="37"/>
  <c r="U25" i="37" s="1"/>
  <c r="O25" i="37"/>
  <c r="R25" i="37"/>
  <c r="P24" i="37"/>
  <c r="T24" i="37" s="1"/>
  <c r="S24" i="37"/>
  <c r="V24" i="37" s="1"/>
  <c r="M26" i="37"/>
  <c r="N26" i="37" s="1"/>
  <c r="J27" i="37"/>
  <c r="E14" i="34" l="1"/>
  <c r="D9" i="34"/>
  <c r="P25" i="37"/>
  <c r="T25" i="37" s="1"/>
  <c r="S25" i="37"/>
  <c r="V25" i="37" s="1"/>
  <c r="Q26" i="37"/>
  <c r="U26" i="37" s="1"/>
  <c r="O26" i="37"/>
  <c r="R26" i="37"/>
  <c r="K27" i="37"/>
  <c r="F9" i="34" l="1"/>
  <c r="C10" i="34"/>
  <c r="P26" i="37"/>
  <c r="T26" i="37" s="1"/>
  <c r="S26" i="37"/>
  <c r="V26" i="37" s="1"/>
  <c r="J28" i="37"/>
  <c r="M27" i="37"/>
  <c r="N27" i="37" s="1"/>
  <c r="L31" i="37"/>
  <c r="E15" i="34" l="1"/>
  <c r="D10" i="34"/>
  <c r="C11" i="34" s="1"/>
  <c r="Q27" i="37"/>
  <c r="U27" i="37" s="1"/>
  <c r="O27" i="37"/>
  <c r="R27" i="37"/>
  <c r="K28" i="37"/>
  <c r="D11" i="34" l="1"/>
  <c r="F11" i="34" s="1"/>
  <c r="F10" i="34"/>
  <c r="P27" i="37"/>
  <c r="T27" i="37" s="1"/>
  <c r="S27" i="37"/>
  <c r="V27" i="37" s="1"/>
  <c r="J29" i="37"/>
  <c r="M28" i="37"/>
  <c r="N28" i="37" s="1"/>
  <c r="L32" i="37"/>
  <c r="E16" i="34" l="1"/>
  <c r="C12" i="34"/>
  <c r="R28" i="37"/>
  <c r="O28" i="37"/>
  <c r="Q28" i="37"/>
  <c r="U28" i="37" s="1"/>
  <c r="K29" i="37"/>
  <c r="M29" i="37" s="1"/>
  <c r="N29" i="37" s="1"/>
  <c r="D12" i="34" l="1"/>
  <c r="E17" i="34" s="1"/>
  <c r="R29" i="37"/>
  <c r="Q29" i="37"/>
  <c r="U29" i="37" s="1"/>
  <c r="O29" i="37"/>
  <c r="P28" i="37"/>
  <c r="T28" i="37" s="1"/>
  <c r="S28" i="37"/>
  <c r="V28" i="37" s="1"/>
  <c r="J30" i="37"/>
  <c r="L33" i="37"/>
  <c r="F12" i="34" l="1"/>
  <c r="C13" i="34"/>
  <c r="P29" i="37"/>
  <c r="T29" i="37" s="1"/>
  <c r="S29" i="37"/>
  <c r="V29" i="37" s="1"/>
  <c r="K30" i="37"/>
  <c r="M30" i="37" s="1"/>
  <c r="N30" i="37" s="1"/>
  <c r="D13" i="34" l="1"/>
  <c r="R30" i="37"/>
  <c r="Q30" i="37"/>
  <c r="U30" i="37" s="1"/>
  <c r="O30" i="37"/>
  <c r="L34" i="37"/>
  <c r="M34" i="37"/>
  <c r="D14" i="34" l="1"/>
  <c r="C15" i="34" s="1"/>
  <c r="F13" i="34"/>
  <c r="C14" i="34"/>
  <c r="E18" i="34"/>
  <c r="P30" i="37"/>
  <c r="T30" i="37" s="1"/>
  <c r="S30" i="37"/>
  <c r="V30" i="37" s="1"/>
  <c r="M31" i="37"/>
  <c r="M32" i="37"/>
  <c r="M33" i="37"/>
  <c r="F14" i="34" l="1"/>
  <c r="D15" i="34"/>
  <c r="E19" i="34"/>
  <c r="E20" i="34"/>
  <c r="F15" i="34"/>
  <c r="C16" i="34"/>
  <c r="D16" i="34" l="1"/>
  <c r="E21" i="34" s="1"/>
  <c r="F16" i="34" l="1"/>
  <c r="C17" i="34"/>
  <c r="D17" i="34" l="1"/>
  <c r="F17" i="34" s="1"/>
  <c r="E22" i="34" l="1"/>
  <c r="C18" i="34"/>
  <c r="D18" i="34" l="1"/>
  <c r="C19" i="34" s="1"/>
  <c r="E23" i="34" l="1"/>
  <c r="F18" i="34"/>
  <c r="D19" i="34"/>
  <c r="E24" i="34" s="1"/>
  <c r="F19" i="34" l="1"/>
  <c r="C20" i="34"/>
  <c r="D20" i="34" l="1"/>
  <c r="C21" i="34" s="1"/>
  <c r="C6" i="17"/>
  <c r="E25" i="34" l="1"/>
  <c r="F20" i="34"/>
  <c r="D21" i="34"/>
  <c r="E26" i="34" s="1"/>
  <c r="F21" i="34" l="1"/>
  <c r="C22" i="34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L5" i="11"/>
  <c r="L6" i="11" s="1"/>
  <c r="K21" i="11"/>
  <c r="L9" i="11"/>
  <c r="D22" i="34" l="1"/>
  <c r="E27" i="34" s="1"/>
  <c r="B5" i="17"/>
  <c r="B6" i="17"/>
  <c r="B7" i="17"/>
  <c r="C8" i="17" s="1"/>
  <c r="B8" i="17"/>
  <c r="C9" i="17" s="1"/>
  <c r="B9" i="17"/>
  <c r="C11" i="17" s="1"/>
  <c r="B10" i="17"/>
  <c r="C12" i="17" s="1"/>
  <c r="B11" i="17"/>
  <c r="C13" i="17" s="1"/>
  <c r="B12" i="17"/>
  <c r="B13" i="17"/>
  <c r="B14" i="17"/>
  <c r="B15" i="17"/>
  <c r="C16" i="17" s="1"/>
  <c r="B16" i="17"/>
  <c r="C17" i="17" s="1"/>
  <c r="B17" i="17"/>
  <c r="C19" i="17" s="1"/>
  <c r="B18" i="17"/>
  <c r="C20" i="17" s="1"/>
  <c r="B19" i="17"/>
  <c r="C21" i="17" s="1"/>
  <c r="B20" i="17"/>
  <c r="B21" i="17"/>
  <c r="B22" i="17"/>
  <c r="B23" i="17"/>
  <c r="B24" i="17"/>
  <c r="C25" i="17" s="1"/>
  <c r="B25" i="17"/>
  <c r="C27" i="17" s="1"/>
  <c r="B26" i="17"/>
  <c r="C28" i="17" s="1"/>
  <c r="B27" i="17"/>
  <c r="C29" i="17" s="1"/>
  <c r="B28" i="17"/>
  <c r="B29" i="17"/>
  <c r="B30" i="17"/>
  <c r="B31" i="17"/>
  <c r="B4" i="17"/>
  <c r="F22" i="34" l="1"/>
  <c r="C23" i="34"/>
  <c r="C23" i="17"/>
  <c r="C15" i="17"/>
  <c r="C7" i="17"/>
  <c r="C10" i="17"/>
  <c r="C24" i="17"/>
  <c r="C22" i="17"/>
  <c r="C14" i="17"/>
  <c r="C18" i="17"/>
  <c r="C26" i="17"/>
  <c r="D23" i="34" l="1"/>
  <c r="E28" i="34" s="1"/>
  <c r="G8" i="34"/>
  <c r="H8" i="34" s="1"/>
  <c r="I8" i="34" s="1"/>
  <c r="C24" i="34" l="1"/>
  <c r="F23" i="34"/>
  <c r="D24" i="34"/>
  <c r="G16" i="34"/>
  <c r="H16" i="34" s="1"/>
  <c r="E29" i="34" l="1"/>
  <c r="C25" i="34"/>
  <c r="F24" i="34"/>
  <c r="G17" i="34"/>
  <c r="H17" i="34" s="1"/>
  <c r="D25" i="34" l="1"/>
  <c r="E30" i="34" s="1"/>
  <c r="G18" i="34"/>
  <c r="H18" i="34" s="1"/>
  <c r="C26" i="34" l="1"/>
  <c r="F25" i="34"/>
  <c r="G19" i="34"/>
  <c r="H19" i="34" s="1"/>
  <c r="D26" i="34" l="1"/>
  <c r="E31" i="34"/>
  <c r="C27" i="34"/>
  <c r="D27" i="34" s="1"/>
  <c r="F26" i="34"/>
  <c r="G20" i="34"/>
  <c r="H20" i="34" s="1"/>
  <c r="C28" i="34" l="1"/>
  <c r="D28" i="34" s="1"/>
  <c r="F27" i="34"/>
  <c r="G21" i="34"/>
  <c r="H21" i="34" s="1"/>
  <c r="C29" i="34" l="1"/>
  <c r="F28" i="34"/>
  <c r="G22" i="34"/>
  <c r="H22" i="34" s="1"/>
  <c r="D29" i="34" l="1"/>
  <c r="F29" i="34" s="1"/>
  <c r="G23" i="34"/>
  <c r="H23" i="34" s="1"/>
  <c r="C30" i="34" l="1"/>
  <c r="G24" i="34"/>
  <c r="H24" i="34" s="1"/>
  <c r="D30" i="34" l="1"/>
  <c r="F30" i="34" s="1"/>
  <c r="G25" i="34"/>
  <c r="H25" i="34" s="1"/>
  <c r="C31" i="34" l="1"/>
  <c r="D31" i="34" s="1"/>
  <c r="G26" i="34"/>
  <c r="H26" i="34" s="1"/>
  <c r="F33" i="34" l="1"/>
  <c r="F32" i="34"/>
  <c r="F35" i="34"/>
  <c r="F34" i="34"/>
  <c r="F31" i="34"/>
  <c r="G27" i="34"/>
  <c r="H27" i="34" s="1"/>
  <c r="G28" i="34" l="1"/>
  <c r="H28" i="34" s="1"/>
  <c r="G29" i="34" l="1"/>
  <c r="H29" i="34" s="1"/>
  <c r="G30" i="34" l="1"/>
  <c r="H30" i="34" s="1"/>
  <c r="G31" i="34" l="1"/>
  <c r="H31" i="34" s="1"/>
  <c r="G9" i="34" l="1"/>
  <c r="H9" i="34" s="1"/>
  <c r="D3" i="32"/>
  <c r="C3" i="32"/>
  <c r="B3" i="32"/>
  <c r="I9" i="34" l="1"/>
  <c r="E4" i="32"/>
  <c r="Y18" i="32"/>
  <c r="N6" i="32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M7" i="32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C4" i="32" l="1"/>
  <c r="G10" i="34" l="1"/>
  <c r="H10" i="34" s="1"/>
  <c r="D4" i="32"/>
  <c r="E5" i="32" s="1"/>
  <c r="C5" i="32" s="1"/>
  <c r="I10" i="34" l="1"/>
  <c r="D5" i="32"/>
  <c r="G11" i="34" l="1"/>
  <c r="H11" i="34" s="1"/>
  <c r="E6" i="32"/>
  <c r="C6" i="32" s="1"/>
  <c r="I11" i="34" l="1"/>
  <c r="G12" i="34"/>
  <c r="H12" i="34" s="1"/>
  <c r="D6" i="32"/>
  <c r="I12" i="34" l="1"/>
  <c r="E7" i="32"/>
  <c r="C7" i="32" s="1"/>
  <c r="G13" i="34" l="1"/>
  <c r="H13" i="34" s="1"/>
  <c r="D7" i="32"/>
  <c r="I13" i="34" l="1"/>
  <c r="G14" i="34"/>
  <c r="H14" i="34" s="1"/>
  <c r="I14" i="34" s="1"/>
  <c r="E8" i="32"/>
  <c r="C8" i="32" s="1"/>
  <c r="D8" i="32" s="1"/>
  <c r="E9" i="32" l="1"/>
  <c r="C9" i="32" s="1"/>
  <c r="D9" i="32" s="1"/>
  <c r="E10" i="32" l="1"/>
  <c r="C10" i="32" s="1"/>
  <c r="G15" i="34" l="1"/>
  <c r="H15" i="34" s="1"/>
  <c r="D10" i="32"/>
  <c r="C3" i="33"/>
  <c r="N17" i="33"/>
  <c r="M6" i="33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M17" i="31"/>
  <c r="L6" i="3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C4" i="33" l="1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F3" i="33" s="1"/>
  <c r="I15" i="34"/>
  <c r="I16" i="34"/>
  <c r="I24" i="34"/>
  <c r="I30" i="34"/>
  <c r="I26" i="34"/>
  <c r="I25" i="34"/>
  <c r="I31" i="34"/>
  <c r="I28" i="34"/>
  <c r="I22" i="34"/>
  <c r="I18" i="34"/>
  <c r="I23" i="34"/>
  <c r="I27" i="34"/>
  <c r="I29" i="34"/>
  <c r="I19" i="34"/>
  <c r="I21" i="34"/>
  <c r="I20" i="34"/>
  <c r="I17" i="34"/>
  <c r="E11" i="32"/>
  <c r="C11" i="32" s="1"/>
  <c r="F4" i="32"/>
  <c r="C3" i="31"/>
  <c r="C4" i="31" s="1"/>
  <c r="D4" i="31" s="1"/>
  <c r="E4" i="31" s="1"/>
  <c r="A35" i="24"/>
  <c r="B35" i="24"/>
  <c r="C35" i="24"/>
  <c r="D35" i="24"/>
  <c r="E35" i="24"/>
  <c r="A36" i="24"/>
  <c r="B36" i="24"/>
  <c r="C36" i="24"/>
  <c r="D36" i="24"/>
  <c r="E36" i="24"/>
  <c r="A37" i="24"/>
  <c r="B37" i="24"/>
  <c r="C37" i="24"/>
  <c r="D37" i="24"/>
  <c r="E37" i="24"/>
  <c r="A38" i="24"/>
  <c r="B38" i="24"/>
  <c r="C38" i="24"/>
  <c r="D38" i="24"/>
  <c r="E38" i="24"/>
  <c r="A39" i="24"/>
  <c r="B39" i="24"/>
  <c r="C39" i="24"/>
  <c r="D39" i="24"/>
  <c r="E39" i="24"/>
  <c r="A40" i="24"/>
  <c r="B40" i="24"/>
  <c r="C40" i="24"/>
  <c r="D40" i="24"/>
  <c r="E40" i="24"/>
  <c r="A41" i="24"/>
  <c r="B41" i="24"/>
  <c r="C41" i="24"/>
  <c r="D41" i="24"/>
  <c r="E41" i="24"/>
  <c r="A42" i="24"/>
  <c r="B42" i="24"/>
  <c r="C42" i="24"/>
  <c r="D42" i="24"/>
  <c r="E42" i="24"/>
  <c r="A43" i="24"/>
  <c r="B43" i="24"/>
  <c r="C43" i="24"/>
  <c r="D43" i="24"/>
  <c r="E43" i="24"/>
  <c r="A44" i="24"/>
  <c r="B44" i="24"/>
  <c r="C44" i="24"/>
  <c r="D44" i="24"/>
  <c r="E44" i="24"/>
  <c r="A45" i="24"/>
  <c r="B45" i="24"/>
  <c r="C45" i="24"/>
  <c r="D45" i="24"/>
  <c r="E45" i="24"/>
  <c r="A46" i="24"/>
  <c r="B46" i="24"/>
  <c r="C46" i="24"/>
  <c r="D46" i="24"/>
  <c r="E46" i="24"/>
  <c r="A47" i="24"/>
  <c r="B47" i="24"/>
  <c r="C47" i="24"/>
  <c r="D47" i="24"/>
  <c r="E47" i="24"/>
  <c r="A48" i="24"/>
  <c r="B48" i="24"/>
  <c r="C48" i="24"/>
  <c r="D48" i="24"/>
  <c r="E48" i="24"/>
  <c r="A49" i="24"/>
  <c r="B49" i="24"/>
  <c r="C49" i="24"/>
  <c r="D49" i="24"/>
  <c r="E49" i="24"/>
  <c r="A50" i="24"/>
  <c r="B50" i="24"/>
  <c r="C50" i="24"/>
  <c r="D50" i="24"/>
  <c r="E50" i="24"/>
  <c r="A51" i="24"/>
  <c r="B51" i="24"/>
  <c r="C51" i="24"/>
  <c r="D51" i="24"/>
  <c r="E51" i="24"/>
  <c r="A52" i="24"/>
  <c r="B52" i="24"/>
  <c r="C52" i="24"/>
  <c r="D52" i="24"/>
  <c r="E52" i="24"/>
  <c r="A53" i="24"/>
  <c r="B53" i="24"/>
  <c r="C53" i="24"/>
  <c r="D53" i="24"/>
  <c r="E53" i="24"/>
  <c r="A54" i="24"/>
  <c r="B54" i="24"/>
  <c r="C54" i="24"/>
  <c r="D54" i="24"/>
  <c r="E54" i="24"/>
  <c r="A55" i="24"/>
  <c r="B55" i="24"/>
  <c r="C55" i="24"/>
  <c r="D55" i="24"/>
  <c r="E55" i="24"/>
  <c r="A56" i="24"/>
  <c r="B56" i="24"/>
  <c r="C56" i="24"/>
  <c r="D56" i="24"/>
  <c r="E56" i="24"/>
  <c r="A57" i="24"/>
  <c r="B57" i="24"/>
  <c r="C57" i="24"/>
  <c r="D57" i="24"/>
  <c r="E57" i="24"/>
  <c r="A58" i="24"/>
  <c r="B58" i="24"/>
  <c r="C58" i="24"/>
  <c r="D58" i="24"/>
  <c r="E58" i="24"/>
  <c r="A59" i="24"/>
  <c r="B59" i="24"/>
  <c r="C59" i="24"/>
  <c r="D59" i="24"/>
  <c r="E59" i="24"/>
  <c r="A60" i="24"/>
  <c r="B60" i="24"/>
  <c r="C60" i="24"/>
  <c r="D60" i="24"/>
  <c r="E60" i="24"/>
  <c r="A61" i="24"/>
  <c r="B61" i="24"/>
  <c r="C61" i="24"/>
  <c r="D61" i="24"/>
  <c r="E61" i="24"/>
  <c r="A62" i="24"/>
  <c r="B62" i="24"/>
  <c r="C62" i="24"/>
  <c r="D62" i="24"/>
  <c r="E62" i="24"/>
  <c r="C5" i="31" l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E3" i="33"/>
  <c r="D11" i="32"/>
  <c r="F5" i="32"/>
  <c r="G5" i="32" s="1"/>
  <c r="G4" i="32"/>
  <c r="I3" i="33"/>
  <c r="G4" i="31"/>
  <c r="F4" i="3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R7" i="24"/>
  <c r="Q7" i="24"/>
  <c r="P7" i="24"/>
  <c r="O7" i="24"/>
  <c r="BB6" i="24"/>
  <c r="AT6" i="24"/>
  <c r="AQ6" i="24"/>
  <c r="AO6" i="24"/>
  <c r="BB5" i="24"/>
  <c r="AT5" i="24"/>
  <c r="AQ5" i="24"/>
  <c r="AO5" i="24"/>
  <c r="R5" i="24"/>
  <c r="Q5" i="24"/>
  <c r="P5" i="24"/>
  <c r="O5" i="24"/>
  <c r="BB4" i="24"/>
  <c r="AT4" i="24"/>
  <c r="AQ4" i="24"/>
  <c r="AO4" i="24"/>
  <c r="R4" i="24"/>
  <c r="R6" i="24" s="1"/>
  <c r="Q4" i="24"/>
  <c r="Q6" i="24" s="1"/>
  <c r="P4" i="24"/>
  <c r="O4" i="24"/>
  <c r="BB3" i="24"/>
  <c r="AT3" i="24"/>
  <c r="AQ3" i="24"/>
  <c r="AO3" i="24"/>
  <c r="R3" i="24"/>
  <c r="Q3" i="24"/>
  <c r="P3" i="24"/>
  <c r="O3" i="24"/>
  <c r="R2" i="24"/>
  <c r="Q2" i="24"/>
  <c r="P2" i="24"/>
  <c r="O2" i="24"/>
  <c r="F4" i="33" l="1"/>
  <c r="K4" i="33"/>
  <c r="E4" i="33"/>
  <c r="G4" i="33" s="1"/>
  <c r="D8" i="31"/>
  <c r="F8" i="31" s="1"/>
  <c r="D25" i="31"/>
  <c r="F25" i="31" s="1"/>
  <c r="D10" i="31"/>
  <c r="F10" i="31" s="1"/>
  <c r="D5" i="31"/>
  <c r="E5" i="31" s="1"/>
  <c r="D6" i="31"/>
  <c r="F6" i="31" s="1"/>
  <c r="D28" i="31"/>
  <c r="F28" i="31" s="1"/>
  <c r="D13" i="31"/>
  <c r="F13" i="31" s="1"/>
  <c r="D16" i="31"/>
  <c r="E16" i="31" s="1"/>
  <c r="G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E24" i="31" s="1"/>
  <c r="G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E12" i="32"/>
  <c r="C12" i="32" s="1"/>
  <c r="D5" i="33"/>
  <c r="K5" i="33" s="1"/>
  <c r="I4" i="33"/>
  <c r="D6" i="33"/>
  <c r="F7" i="31"/>
  <c r="E25" i="31"/>
  <c r="G25" i="31" s="1"/>
  <c r="O6" i="24"/>
  <c r="P6" i="24"/>
  <c r="P10" i="24" s="1"/>
  <c r="R10" i="24"/>
  <c r="AQ8" i="24"/>
  <c r="AQ10" i="24"/>
  <c r="O9" i="24"/>
  <c r="O8" i="24"/>
  <c r="P8" i="24"/>
  <c r="Q9" i="24"/>
  <c r="R9" i="24"/>
  <c r="O10" i="24"/>
  <c r="Y2" i="24"/>
  <c r="Y3" i="24" s="1"/>
  <c r="Y4" i="24" s="1"/>
  <c r="G2" i="24" s="1"/>
  <c r="Q8" i="24"/>
  <c r="R8" i="24"/>
  <c r="Q10" i="24"/>
  <c r="P9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K6" i="33" l="1"/>
  <c r="H4" i="33"/>
  <c r="L4" i="33" s="1"/>
  <c r="E10" i="31"/>
  <c r="G10" i="31" s="1"/>
  <c r="F11" i="31"/>
  <c r="F24" i="31"/>
  <c r="E6" i="31"/>
  <c r="G6" i="31" s="1"/>
  <c r="E28" i="31"/>
  <c r="G28" i="31" s="1"/>
  <c r="F5" i="31"/>
  <c r="I6" i="31" s="1"/>
  <c r="E30" i="31"/>
  <c r="G30" i="31" s="1"/>
  <c r="F16" i="31"/>
  <c r="E8" i="31"/>
  <c r="G8" i="31" s="1"/>
  <c r="E13" i="31"/>
  <c r="G13" i="31" s="1"/>
  <c r="E22" i="31"/>
  <c r="G22" i="31" s="1"/>
  <c r="F9" i="3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D12" i="32"/>
  <c r="F5" i="33"/>
  <c r="I5" i="33" s="1"/>
  <c r="J4" i="33"/>
  <c r="F6" i="33"/>
  <c r="E6" i="33"/>
  <c r="D7" i="33"/>
  <c r="G5" i="31"/>
  <c r="H5" i="31"/>
  <c r="AS8" i="24"/>
  <c r="AS10" i="24"/>
  <c r="Y5" i="24"/>
  <c r="Y6" i="24" s="1"/>
  <c r="AS12" i="24"/>
  <c r="AS14" i="24"/>
  <c r="AS9" i="24"/>
  <c r="AS7" i="24"/>
  <c r="AS11" i="24"/>
  <c r="AS13" i="24"/>
  <c r="H2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K7" i="33" l="1"/>
  <c r="H6" i="31"/>
  <c r="I7" i="31"/>
  <c r="I5" i="31"/>
  <c r="I9" i="31"/>
  <c r="H7" i="31"/>
  <c r="H9" i="31"/>
  <c r="H11" i="31"/>
  <c r="H10" i="31"/>
  <c r="H8" i="31"/>
  <c r="I8" i="31"/>
  <c r="I14" i="31"/>
  <c r="I12" i="31"/>
  <c r="I10" i="31"/>
  <c r="I19" i="31"/>
  <c r="H5" i="33"/>
  <c r="L5" i="33" s="1"/>
  <c r="H6" i="33"/>
  <c r="L6" i="33" s="1"/>
  <c r="I25" i="31"/>
  <c r="I16" i="31"/>
  <c r="I20" i="31"/>
  <c r="I18" i="31"/>
  <c r="I13" i="31"/>
  <c r="I11" i="31"/>
  <c r="I29" i="31"/>
  <c r="I30" i="31"/>
  <c r="H15" i="31"/>
  <c r="I24" i="31"/>
  <c r="I28" i="31"/>
  <c r="I17" i="31"/>
  <c r="I26" i="31"/>
  <c r="I27" i="31"/>
  <c r="I15" i="31"/>
  <c r="I23" i="31"/>
  <c r="I22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E13" i="32"/>
  <c r="C13" i="32" s="1"/>
  <c r="F6" i="32"/>
  <c r="G6" i="32" s="1"/>
  <c r="G6" i="33"/>
  <c r="I6" i="33"/>
  <c r="F7" i="33"/>
  <c r="E7" i="33"/>
  <c r="D8" i="33"/>
  <c r="J17" i="31"/>
  <c r="J28" i="31"/>
  <c r="J26" i="31"/>
  <c r="J25" i="31"/>
  <c r="J5" i="31"/>
  <c r="J8" i="31"/>
  <c r="J21" i="31"/>
  <c r="J13" i="31"/>
  <c r="J16" i="31"/>
  <c r="J6" i="31"/>
  <c r="J29" i="31"/>
  <c r="J7" i="31"/>
  <c r="J24" i="31"/>
  <c r="J14" i="31"/>
  <c r="J27" i="31"/>
  <c r="J15" i="31"/>
  <c r="J19" i="31"/>
  <c r="J22" i="31"/>
  <c r="J23" i="31"/>
  <c r="J11" i="31"/>
  <c r="J30" i="31"/>
  <c r="M5" i="31" s="1"/>
  <c r="J12" i="31"/>
  <c r="J10" i="31"/>
  <c r="J9" i="31"/>
  <c r="J20" i="31"/>
  <c r="J18" i="31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K8" i="33" l="1"/>
  <c r="D13" i="32"/>
  <c r="E8" i="33"/>
  <c r="F8" i="33"/>
  <c r="I8" i="33" s="1"/>
  <c r="J6" i="33"/>
  <c r="D9" i="33"/>
  <c r="I7" i="33"/>
  <c r="G7" i="33"/>
  <c r="H7" i="33"/>
  <c r="L7" i="33" s="1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K9" i="33" l="1"/>
  <c r="E14" i="32"/>
  <c r="C14" i="32" s="1"/>
  <c r="F7" i="32"/>
  <c r="G7" i="32" s="1"/>
  <c r="G8" i="33"/>
  <c r="H8" i="33"/>
  <c r="L8" i="33" s="1"/>
  <c r="E9" i="33"/>
  <c r="F9" i="33"/>
  <c r="I9" i="33" s="1"/>
  <c r="J7" i="33"/>
  <c r="D10" i="33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K10" i="33" l="1"/>
  <c r="D14" i="32"/>
  <c r="D11" i="33"/>
  <c r="G9" i="33"/>
  <c r="H9" i="33"/>
  <c r="L9" i="33" s="1"/>
  <c r="F10" i="33"/>
  <c r="I10" i="33" s="1"/>
  <c r="E10" i="33"/>
  <c r="J8" i="33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K11" i="33" l="1"/>
  <c r="E15" i="32"/>
  <c r="C15" i="32" s="1"/>
  <c r="F8" i="32"/>
  <c r="G10" i="33"/>
  <c r="D12" i="33"/>
  <c r="J9" i="33"/>
  <c r="F11" i="33"/>
  <c r="I11" i="33" s="1"/>
  <c r="E11" i="33"/>
  <c r="H10" i="33"/>
  <c r="L10" i="33" s="1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K12" i="33" l="1"/>
  <c r="D15" i="32"/>
  <c r="G8" i="32"/>
  <c r="F12" i="33"/>
  <c r="I12" i="33" s="1"/>
  <c r="E12" i="33"/>
  <c r="D13" i="33"/>
  <c r="G11" i="33"/>
  <c r="J11" i="33" s="1"/>
  <c r="H11" i="33"/>
  <c r="L11" i="33" s="1"/>
  <c r="J10" i="33"/>
  <c r="AW32" i="24"/>
  <c r="AW88" i="24" s="1"/>
  <c r="H5" i="24"/>
  <c r="J4" i="24"/>
  <c r="K13" i="33" l="1"/>
  <c r="E16" i="32"/>
  <c r="C16" i="32" s="1"/>
  <c r="D14" i="33"/>
  <c r="F13" i="33"/>
  <c r="I13" i="33" s="1"/>
  <c r="E13" i="33"/>
  <c r="G12" i="33"/>
  <c r="J12" i="33" s="1"/>
  <c r="H12" i="33"/>
  <c r="L12" i="33" s="1"/>
  <c r="I5" i="24"/>
  <c r="G6" i="24"/>
  <c r="F5" i="24"/>
  <c r="A3" i="17"/>
  <c r="B3" i="17"/>
  <c r="A4" i="17"/>
  <c r="F4" i="17" s="1"/>
  <c r="A5" i="17"/>
  <c r="F5" i="17" s="1"/>
  <c r="A6" i="17"/>
  <c r="A7" i="17"/>
  <c r="F7" i="17" s="1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W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2" i="11"/>
  <c r="E3" i="11" s="1"/>
  <c r="D2" i="14" l="1"/>
  <c r="C2" i="14"/>
  <c r="K14" i="33"/>
  <c r="C8" i="11"/>
  <c r="D8" i="11" s="1"/>
  <c r="C23" i="11"/>
  <c r="D23" i="11" s="1"/>
  <c r="E10" i="11"/>
  <c r="C20" i="11"/>
  <c r="D20" i="11" s="1"/>
  <c r="E6" i="11"/>
  <c r="E30" i="11"/>
  <c r="E29" i="11"/>
  <c r="C12" i="11"/>
  <c r="D12" i="11" s="1"/>
  <c r="C28" i="11"/>
  <c r="D28" i="11" s="1"/>
  <c r="E11" i="11"/>
  <c r="E24" i="11"/>
  <c r="C7" i="11"/>
  <c r="D7" i="11" s="1"/>
  <c r="C15" i="11"/>
  <c r="D15" i="11" s="1"/>
  <c r="E23" i="11"/>
  <c r="E13" i="11"/>
  <c r="C4" i="11"/>
  <c r="D4" i="11" s="1"/>
  <c r="E8" i="11"/>
  <c r="F6" i="17"/>
  <c r="E2" i="17"/>
  <c r="D2" i="17"/>
  <c r="D16" i="32"/>
  <c r="F9" i="32"/>
  <c r="G13" i="33"/>
  <c r="J13" i="33" s="1"/>
  <c r="H13" i="33"/>
  <c r="L13" i="33" s="1"/>
  <c r="F14" i="33"/>
  <c r="I14" i="33" s="1"/>
  <c r="E14" i="33"/>
  <c r="D15" i="33"/>
  <c r="H6" i="24"/>
  <c r="J5" i="24"/>
  <c r="E12" i="11"/>
  <c r="C30" i="11"/>
  <c r="D30" i="11" s="1"/>
  <c r="C22" i="11"/>
  <c r="D22" i="11" s="1"/>
  <c r="C14" i="11"/>
  <c r="D14" i="11" s="1"/>
  <c r="C6" i="11"/>
  <c r="D6" i="11" s="1"/>
  <c r="E15" i="11"/>
  <c r="E28" i="11"/>
  <c r="E19" i="11"/>
  <c r="E25" i="11"/>
  <c r="E9" i="11"/>
  <c r="C3" i="11"/>
  <c r="D3" i="11" s="1"/>
  <c r="C29" i="11"/>
  <c r="D29" i="11" s="1"/>
  <c r="C21" i="11"/>
  <c r="D21" i="11" s="1"/>
  <c r="C13" i="11"/>
  <c r="D13" i="11" s="1"/>
  <c r="C5" i="11"/>
  <c r="D5" i="11" s="1"/>
  <c r="E21" i="11"/>
  <c r="E5" i="11"/>
  <c r="C27" i="11"/>
  <c r="D27" i="11" s="1"/>
  <c r="C19" i="11"/>
  <c r="D19" i="11" s="1"/>
  <c r="C11" i="11"/>
  <c r="D11" i="11" s="1"/>
  <c r="E14" i="11"/>
  <c r="E27" i="11"/>
  <c r="E18" i="11"/>
  <c r="E20" i="11"/>
  <c r="E4" i="11"/>
  <c r="C26" i="11"/>
  <c r="D26" i="11" s="1"/>
  <c r="C18" i="11"/>
  <c r="D18" i="11" s="1"/>
  <c r="C10" i="11"/>
  <c r="D10" i="11" s="1"/>
  <c r="E22" i="11"/>
  <c r="E17" i="11"/>
  <c r="C25" i="11"/>
  <c r="D25" i="11" s="1"/>
  <c r="C17" i="11"/>
  <c r="D17" i="11" s="1"/>
  <c r="C9" i="11"/>
  <c r="D9" i="11" s="1"/>
  <c r="E26" i="11"/>
  <c r="E7" i="11"/>
  <c r="E16" i="11"/>
  <c r="C24" i="11"/>
  <c r="D24" i="11" s="1"/>
  <c r="C16" i="11"/>
  <c r="D16" i="11" s="1"/>
  <c r="E3" i="14" l="1"/>
  <c r="C3" i="14" s="1"/>
  <c r="K15" i="33"/>
  <c r="L8" i="11"/>
  <c r="H2" i="11"/>
  <c r="D8" i="17"/>
  <c r="E8" i="17" s="1"/>
  <c r="D16" i="17"/>
  <c r="E16" i="17" s="1"/>
  <c r="D24" i="17"/>
  <c r="E24" i="17" s="1"/>
  <c r="D4" i="17"/>
  <c r="E4" i="17" s="1"/>
  <c r="J3" i="17" s="1"/>
  <c r="D5" i="17"/>
  <c r="E5" i="17" s="1"/>
  <c r="J4" i="17" s="1"/>
  <c r="D29" i="17"/>
  <c r="E29" i="17" s="1"/>
  <c r="D30" i="17"/>
  <c r="E30" i="17" s="1"/>
  <c r="D23" i="17"/>
  <c r="E23" i="17" s="1"/>
  <c r="D9" i="17"/>
  <c r="E9" i="17" s="1"/>
  <c r="D17" i="17"/>
  <c r="E17" i="17" s="1"/>
  <c r="D25" i="17"/>
  <c r="E25" i="17" s="1"/>
  <c r="D13" i="17"/>
  <c r="E13" i="17" s="1"/>
  <c r="D6" i="17"/>
  <c r="E6" i="17" s="1"/>
  <c r="J5" i="17" s="1"/>
  <c r="D22" i="17"/>
  <c r="E22" i="17" s="1"/>
  <c r="D15" i="17"/>
  <c r="E15" i="17" s="1"/>
  <c r="D10" i="17"/>
  <c r="E10" i="17" s="1"/>
  <c r="D18" i="17"/>
  <c r="E18" i="17" s="1"/>
  <c r="D26" i="17"/>
  <c r="E26" i="17" s="1"/>
  <c r="D31" i="17"/>
  <c r="E31" i="17" s="1"/>
  <c r="D11" i="17"/>
  <c r="E11" i="17" s="1"/>
  <c r="D19" i="17"/>
  <c r="E19" i="17" s="1"/>
  <c r="D27" i="17"/>
  <c r="E27" i="17" s="1"/>
  <c r="D21" i="17"/>
  <c r="E21" i="17" s="1"/>
  <c r="D14" i="17"/>
  <c r="E14" i="17" s="1"/>
  <c r="D7" i="17"/>
  <c r="E7" i="17" s="1"/>
  <c r="D12" i="17"/>
  <c r="E12" i="17" s="1"/>
  <c r="D20" i="17"/>
  <c r="E20" i="17" s="1"/>
  <c r="D28" i="17"/>
  <c r="E28" i="17" s="1"/>
  <c r="E17" i="32"/>
  <c r="C17" i="32" s="1"/>
  <c r="D17" i="32" s="1"/>
  <c r="G9" i="32"/>
  <c r="F15" i="33"/>
  <c r="I15" i="33" s="1"/>
  <c r="E15" i="33"/>
  <c r="G14" i="33"/>
  <c r="J14" i="33" s="1"/>
  <c r="H14" i="33"/>
  <c r="L14" i="33" s="1"/>
  <c r="D16" i="33"/>
  <c r="G7" i="24"/>
  <c r="I6" i="24"/>
  <c r="F6" i="24"/>
  <c r="G2" i="11"/>
  <c r="M6" i="11" s="1"/>
  <c r="D3" i="14" l="1"/>
  <c r="E4" i="14" s="1"/>
  <c r="C4" i="14" s="1"/>
  <c r="K16" i="33"/>
  <c r="J6" i="17"/>
  <c r="E18" i="32"/>
  <c r="C18" i="32" s="1"/>
  <c r="D18" i="32" s="1"/>
  <c r="E16" i="33"/>
  <c r="F16" i="33"/>
  <c r="I16" i="33" s="1"/>
  <c r="G15" i="33"/>
  <c r="J15" i="33" s="1"/>
  <c r="H15" i="33"/>
  <c r="L15" i="33" s="1"/>
  <c r="D17" i="33"/>
  <c r="J6" i="24"/>
  <c r="H7" i="24"/>
  <c r="F7" i="24" s="1"/>
  <c r="I53" i="11"/>
  <c r="I2" i="11"/>
  <c r="F3" i="14"/>
  <c r="D4" i="14" l="1"/>
  <c r="E5" i="14" s="1"/>
  <c r="C5" i="14" s="1"/>
  <c r="K17" i="33"/>
  <c r="J8" i="17"/>
  <c r="K6" i="17" s="1"/>
  <c r="E19" i="32"/>
  <c r="C19" i="32" s="1"/>
  <c r="F10" i="32"/>
  <c r="F17" i="33"/>
  <c r="I17" i="33" s="1"/>
  <c r="E17" i="33"/>
  <c r="D18" i="33"/>
  <c r="G16" i="33"/>
  <c r="J16" i="33" s="1"/>
  <c r="H16" i="33"/>
  <c r="L16" i="33" s="1"/>
  <c r="G8" i="24"/>
  <c r="I7" i="24"/>
  <c r="G3" i="14"/>
  <c r="D5" i="14" l="1"/>
  <c r="E6" i="14" s="1"/>
  <c r="C6" i="14" s="1"/>
  <c r="K18" i="33"/>
  <c r="K5" i="17"/>
  <c r="K4" i="17"/>
  <c r="K3" i="17"/>
  <c r="D19" i="32"/>
  <c r="G10" i="32"/>
  <c r="F18" i="33"/>
  <c r="I18" i="33" s="1"/>
  <c r="E18" i="33"/>
  <c r="D19" i="33"/>
  <c r="G17" i="33"/>
  <c r="J17" i="33" s="1"/>
  <c r="H17" i="33"/>
  <c r="L17" i="33" s="1"/>
  <c r="J7" i="24"/>
  <c r="H8" i="24"/>
  <c r="F8" i="24" s="1"/>
  <c r="F4" i="14"/>
  <c r="H3" i="14"/>
  <c r="I3" i="14" s="1"/>
  <c r="G2" i="17"/>
  <c r="F2" i="17"/>
  <c r="D6" i="14" l="1"/>
  <c r="E7" i="14" s="1"/>
  <c r="C7" i="14" s="1"/>
  <c r="K19" i="33"/>
  <c r="E20" i="32"/>
  <c r="C20" i="32" s="1"/>
  <c r="F19" i="33"/>
  <c r="I19" i="33" s="1"/>
  <c r="E19" i="33"/>
  <c r="D20" i="33"/>
  <c r="G18" i="33"/>
  <c r="J18" i="33" s="1"/>
  <c r="H18" i="33"/>
  <c r="L18" i="33" s="1"/>
  <c r="I8" i="24"/>
  <c r="G9" i="24"/>
  <c r="G4" i="14"/>
  <c r="D7" i="14" l="1"/>
  <c r="E8" i="14" s="1"/>
  <c r="C8" i="14" s="1"/>
  <c r="K20" i="33"/>
  <c r="D20" i="32"/>
  <c r="F11" i="32"/>
  <c r="F20" i="33"/>
  <c r="I20" i="33" s="1"/>
  <c r="E20" i="33"/>
  <c r="D21" i="33"/>
  <c r="G19" i="33"/>
  <c r="J19" i="33" s="1"/>
  <c r="H19" i="33"/>
  <c r="L19" i="33" s="1"/>
  <c r="H9" i="24"/>
  <c r="F9" i="24" s="1"/>
  <c r="J8" i="24"/>
  <c r="F5" i="14"/>
  <c r="H4" i="14"/>
  <c r="I4" i="14" s="1"/>
  <c r="D8" i="14" l="1"/>
  <c r="E9" i="14"/>
  <c r="C9" i="14" s="1"/>
  <c r="K21" i="33"/>
  <c r="E21" i="32"/>
  <c r="C21" i="32" s="1"/>
  <c r="G11" i="32"/>
  <c r="D22" i="33"/>
  <c r="F21" i="33"/>
  <c r="I21" i="33" s="1"/>
  <c r="E21" i="33"/>
  <c r="G20" i="33"/>
  <c r="J20" i="33" s="1"/>
  <c r="H20" i="33"/>
  <c r="L20" i="33" s="1"/>
  <c r="I9" i="24"/>
  <c r="G10" i="24"/>
  <c r="G5" i="14"/>
  <c r="D9" i="14" l="1"/>
  <c r="E10" i="14"/>
  <c r="C10" i="14" s="1"/>
  <c r="K22" i="33"/>
  <c r="D21" i="32"/>
  <c r="F12" i="32"/>
  <c r="D23" i="33"/>
  <c r="G21" i="33"/>
  <c r="J21" i="33" s="1"/>
  <c r="H21" i="33"/>
  <c r="L21" i="33" s="1"/>
  <c r="F22" i="33"/>
  <c r="I22" i="33" s="1"/>
  <c r="E22" i="33"/>
  <c r="H10" i="24"/>
  <c r="F10" i="24"/>
  <c r="J9" i="24"/>
  <c r="F6" i="14"/>
  <c r="H5" i="14"/>
  <c r="I5" i="14" s="1"/>
  <c r="D10" i="14" l="1"/>
  <c r="E11" i="14" s="1"/>
  <c r="C11" i="14" s="1"/>
  <c r="K23" i="33"/>
  <c r="G10" i="17"/>
  <c r="E22" i="32"/>
  <c r="C22" i="32" s="1"/>
  <c r="G12" i="32"/>
  <c r="D24" i="33"/>
  <c r="F23" i="33"/>
  <c r="I23" i="33" s="1"/>
  <c r="E23" i="33"/>
  <c r="G22" i="33"/>
  <c r="J22" i="33" s="1"/>
  <c r="H22" i="33"/>
  <c r="L22" i="33" s="1"/>
  <c r="I10" i="24"/>
  <c r="G11" i="24"/>
  <c r="G6" i="14"/>
  <c r="G15" i="17"/>
  <c r="G5" i="17"/>
  <c r="G24" i="17"/>
  <c r="G30" i="17"/>
  <c r="G25" i="17"/>
  <c r="D11" i="14" l="1"/>
  <c r="E12" i="14" s="1"/>
  <c r="C12" i="14" s="1"/>
  <c r="K24" i="33"/>
  <c r="G20" i="17"/>
  <c r="D22" i="32"/>
  <c r="F13" i="32"/>
  <c r="F24" i="33"/>
  <c r="I24" i="33" s="1"/>
  <c r="E24" i="33"/>
  <c r="D25" i="33"/>
  <c r="G23" i="33"/>
  <c r="J23" i="33" s="1"/>
  <c r="H23" i="33"/>
  <c r="L23" i="33" s="1"/>
  <c r="H11" i="24"/>
  <c r="J10" i="24"/>
  <c r="F7" i="14"/>
  <c r="H6" i="14"/>
  <c r="I6" i="14" s="1"/>
  <c r="G4" i="17"/>
  <c r="G22" i="17"/>
  <c r="G21" i="17"/>
  <c r="G26" i="17"/>
  <c r="G23" i="17"/>
  <c r="G28" i="17"/>
  <c r="G16" i="17"/>
  <c r="G27" i="17"/>
  <c r="G11" i="17"/>
  <c r="G17" i="17"/>
  <c r="G13" i="17"/>
  <c r="G14" i="17"/>
  <c r="G6" i="17"/>
  <c r="G12" i="17"/>
  <c r="G18" i="17"/>
  <c r="G7" i="17"/>
  <c r="G9" i="17"/>
  <c r="G29" i="17"/>
  <c r="G8" i="17"/>
  <c r="G19" i="17"/>
  <c r="K8" i="17"/>
  <c r="G31" i="17"/>
  <c r="D12" i="14" l="1"/>
  <c r="E13" i="14" s="1"/>
  <c r="C13" i="14" s="1"/>
  <c r="K25" i="33"/>
  <c r="E23" i="32"/>
  <c r="C23" i="32" s="1"/>
  <c r="G13" i="32"/>
  <c r="G24" i="33"/>
  <c r="J24" i="33" s="1"/>
  <c r="H24" i="33"/>
  <c r="L24" i="33" s="1"/>
  <c r="F25" i="33"/>
  <c r="I25" i="33" s="1"/>
  <c r="E25" i="33"/>
  <c r="D26" i="33"/>
  <c r="G12" i="24"/>
  <c r="I11" i="24"/>
  <c r="F11" i="24"/>
  <c r="G7" i="14"/>
  <c r="D13" i="14" l="1"/>
  <c r="E14" i="14" s="1"/>
  <c r="C14" i="14" s="1"/>
  <c r="K26" i="33"/>
  <c r="D23" i="32"/>
  <c r="F14" i="32"/>
  <c r="F26" i="33"/>
  <c r="I26" i="33" s="1"/>
  <c r="E26" i="33"/>
  <c r="D27" i="33"/>
  <c r="G25" i="33"/>
  <c r="J25" i="33" s="1"/>
  <c r="H25" i="33"/>
  <c r="L25" i="33" s="1"/>
  <c r="J11" i="24"/>
  <c r="H12" i="24"/>
  <c r="F12" i="24" s="1"/>
  <c r="F8" i="14"/>
  <c r="H7" i="14"/>
  <c r="I7" i="14" s="1"/>
  <c r="D14" i="14" l="1"/>
  <c r="E15" i="14" s="1"/>
  <c r="C15" i="14" s="1"/>
  <c r="K27" i="33"/>
  <c r="E24" i="32"/>
  <c r="C24" i="32" s="1"/>
  <c r="G14" i="32"/>
  <c r="G26" i="33"/>
  <c r="J26" i="33" s="1"/>
  <c r="H26" i="33"/>
  <c r="L26" i="33" s="1"/>
  <c r="F27" i="33"/>
  <c r="I27" i="33" s="1"/>
  <c r="E27" i="33"/>
  <c r="D28" i="33"/>
  <c r="I12" i="24"/>
  <c r="G13" i="24"/>
  <c r="G8" i="14"/>
  <c r="H8" i="14" s="1"/>
  <c r="I8" i="14" s="1"/>
  <c r="D15" i="14" l="1"/>
  <c r="E16" i="14" s="1"/>
  <c r="C16" i="14" s="1"/>
  <c r="K28" i="33"/>
  <c r="D24" i="32"/>
  <c r="F28" i="33"/>
  <c r="I28" i="33" s="1"/>
  <c r="E28" i="33"/>
  <c r="D29" i="33"/>
  <c r="G27" i="33"/>
  <c r="J27" i="33" s="1"/>
  <c r="H27" i="33"/>
  <c r="L27" i="33" s="1"/>
  <c r="H13" i="24"/>
  <c r="F13" i="24" s="1"/>
  <c r="J12" i="24"/>
  <c r="F9" i="14"/>
  <c r="D16" i="14" l="1"/>
  <c r="E17" i="14" s="1"/>
  <c r="C17" i="14" s="1"/>
  <c r="K29" i="33"/>
  <c r="E25" i="32"/>
  <c r="C25" i="32" s="1"/>
  <c r="F15" i="32"/>
  <c r="G28" i="33"/>
  <c r="J28" i="33" s="1"/>
  <c r="H28" i="33"/>
  <c r="L28" i="33" s="1"/>
  <c r="F29" i="33"/>
  <c r="I29" i="33" s="1"/>
  <c r="E29" i="33"/>
  <c r="D30" i="33"/>
  <c r="G14" i="24"/>
  <c r="I13" i="24"/>
  <c r="G9" i="14"/>
  <c r="H9" i="14" s="1"/>
  <c r="I9" i="14" s="1"/>
  <c r="D17" i="14" l="1"/>
  <c r="E18" i="14" s="1"/>
  <c r="C18" i="14" s="1"/>
  <c r="D31" i="33"/>
  <c r="K30" i="33"/>
  <c r="D25" i="32"/>
  <c r="G15" i="32"/>
  <c r="F30" i="33"/>
  <c r="I30" i="33" s="1"/>
  <c r="E30" i="33"/>
  <c r="G29" i="33"/>
  <c r="J29" i="33" s="1"/>
  <c r="H29" i="33"/>
  <c r="L29" i="33" s="1"/>
  <c r="J13" i="24"/>
  <c r="H14" i="24"/>
  <c r="I14" i="24" s="1"/>
  <c r="F10" i="14"/>
  <c r="D18" i="14" l="1"/>
  <c r="E19" i="14" s="1"/>
  <c r="C19" i="14" s="1"/>
  <c r="E26" i="32"/>
  <c r="C26" i="32" s="1"/>
  <c r="F16" i="32"/>
  <c r="G30" i="33"/>
  <c r="J30" i="33" s="1"/>
  <c r="N5" i="33" s="1"/>
  <c r="H30" i="33"/>
  <c r="L30" i="33" s="1"/>
  <c r="F14" i="24"/>
  <c r="J14" i="24"/>
  <c r="G10" i="14"/>
  <c r="H10" i="14" s="1"/>
  <c r="I10" i="14" s="1"/>
  <c r="D19" i="14" l="1"/>
  <c r="E20" i="14" s="1"/>
  <c r="C20" i="14" s="1"/>
  <c r="D26" i="32"/>
  <c r="G16" i="32"/>
  <c r="J15" i="24"/>
  <c r="F11" i="14"/>
  <c r="D20" i="14" l="1"/>
  <c r="E21" i="14" s="1"/>
  <c r="C21" i="14" s="1"/>
  <c r="E27" i="32"/>
  <c r="C27" i="32" s="1"/>
  <c r="L2" i="24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G11" i="14"/>
  <c r="H11" i="14" s="1"/>
  <c r="I11" i="14" s="1"/>
  <c r="D21" i="14" l="1"/>
  <c r="E22" i="14" s="1"/>
  <c r="C22" i="14" s="1"/>
  <c r="D27" i="32"/>
  <c r="F17" i="32"/>
  <c r="K15" i="24"/>
  <c r="F12" i="14"/>
  <c r="D22" i="14" l="1"/>
  <c r="E23" i="14"/>
  <c r="C23" i="14" s="1"/>
  <c r="E28" i="32"/>
  <c r="C28" i="32" s="1"/>
  <c r="G17" i="32"/>
  <c r="G12" i="14"/>
  <c r="H12" i="14" s="1"/>
  <c r="I12" i="14" s="1"/>
  <c r="D23" i="14" l="1"/>
  <c r="E24" i="14"/>
  <c r="C24" i="14" s="1"/>
  <c r="D28" i="32"/>
  <c r="F13" i="14"/>
  <c r="D24" i="14" l="1"/>
  <c r="E25" i="14"/>
  <c r="C25" i="14" s="1"/>
  <c r="E29" i="32"/>
  <c r="C29" i="32" s="1"/>
  <c r="F18" i="32"/>
  <c r="G13" i="14"/>
  <c r="H13" i="14" s="1"/>
  <c r="I13" i="14" s="1"/>
  <c r="D25" i="14" l="1"/>
  <c r="E26" i="14"/>
  <c r="C26" i="14" s="1"/>
  <c r="D29" i="32"/>
  <c r="G18" i="32"/>
  <c r="F14" i="14"/>
  <c r="D26" i="14" l="1"/>
  <c r="E27" i="14"/>
  <c r="C27" i="14" s="1"/>
  <c r="E30" i="32"/>
  <c r="C30" i="32" s="1"/>
  <c r="F19" i="32"/>
  <c r="G14" i="14"/>
  <c r="H14" i="14" s="1"/>
  <c r="I14" i="14" s="1"/>
  <c r="D27" i="14" l="1"/>
  <c r="E28" i="14"/>
  <c r="C28" i="14" s="1"/>
  <c r="D30" i="32"/>
  <c r="E31" i="32" s="1"/>
  <c r="C31" i="32" s="1"/>
  <c r="D31" i="32" s="1"/>
  <c r="G19" i="32"/>
  <c r="F15" i="14"/>
  <c r="D28" i="14" l="1"/>
  <c r="E29" i="14"/>
  <c r="C29" i="14" s="1"/>
  <c r="G15" i="14"/>
  <c r="H15" i="14" s="1"/>
  <c r="I15" i="14" s="1"/>
  <c r="D29" i="14" l="1"/>
  <c r="E30" i="14"/>
  <c r="C30" i="14" s="1"/>
  <c r="F20" i="32"/>
  <c r="F16" i="14"/>
  <c r="D30" i="14" l="1"/>
  <c r="E31" i="14"/>
  <c r="C31" i="14" s="1"/>
  <c r="G20" i="32"/>
  <c r="G16" i="14"/>
  <c r="H16" i="14" s="1"/>
  <c r="I16" i="14" s="1"/>
  <c r="D31" i="14" l="1"/>
  <c r="E32" i="14" s="1"/>
  <c r="C32" i="14" s="1"/>
  <c r="F17" i="14"/>
  <c r="D32" i="14" l="1"/>
  <c r="E33" i="14"/>
  <c r="C33" i="14" s="1"/>
  <c r="F21" i="32"/>
  <c r="G17" i="14"/>
  <c r="H17" i="14" s="1"/>
  <c r="I17" i="14" s="1"/>
  <c r="D33" i="14" l="1"/>
  <c r="E34" i="14"/>
  <c r="C34" i="14" s="1"/>
  <c r="G21" i="32"/>
  <c r="F18" i="14"/>
  <c r="D34" i="14" l="1"/>
  <c r="E35" i="14"/>
  <c r="C35" i="14" s="1"/>
  <c r="F22" i="32"/>
  <c r="G22" i="32" s="1"/>
  <c r="G18" i="14"/>
  <c r="H18" i="14" s="1"/>
  <c r="I18" i="14" s="1"/>
  <c r="D35" i="14" l="1"/>
  <c r="E36" i="14"/>
  <c r="C36" i="14" s="1"/>
  <c r="F19" i="14"/>
  <c r="D36" i="14" l="1"/>
  <c r="E37" i="14"/>
  <c r="C37" i="14" s="1"/>
  <c r="G19" i="14"/>
  <c r="H19" i="14" s="1"/>
  <c r="I19" i="14" s="1"/>
  <c r="D37" i="14" l="1"/>
  <c r="E38" i="14"/>
  <c r="C38" i="14" s="1"/>
  <c r="F23" i="32"/>
  <c r="G23" i="32" s="1"/>
  <c r="F20" i="14"/>
  <c r="D38" i="14" l="1"/>
  <c r="E39" i="14"/>
  <c r="C39" i="14" s="1"/>
  <c r="G20" i="14"/>
  <c r="H20" i="14" s="1"/>
  <c r="I20" i="14" s="1"/>
  <c r="D39" i="14" l="1"/>
  <c r="E40" i="14"/>
  <c r="C40" i="14" s="1"/>
  <c r="F24" i="32"/>
  <c r="G24" i="32" s="1"/>
  <c r="F21" i="14"/>
  <c r="D40" i="14" l="1"/>
  <c r="E41" i="14" s="1"/>
  <c r="C41" i="14" s="1"/>
  <c r="G21" i="14"/>
  <c r="H21" i="14" s="1"/>
  <c r="I21" i="14" s="1"/>
  <c r="D41" i="14" l="1"/>
  <c r="E42" i="14"/>
  <c r="C42" i="14" s="1"/>
  <c r="F25" i="32"/>
  <c r="G25" i="32" s="1"/>
  <c r="F22" i="14"/>
  <c r="D42" i="14" l="1"/>
  <c r="E43" i="14" s="1"/>
  <c r="C43" i="14" s="1"/>
  <c r="G22" i="14"/>
  <c r="H22" i="14" s="1"/>
  <c r="I22" i="14" s="1"/>
  <c r="D43" i="14" l="1"/>
  <c r="E44" i="14"/>
  <c r="C44" i="14" s="1"/>
  <c r="F26" i="32"/>
  <c r="G26" i="32" s="1"/>
  <c r="F23" i="14"/>
  <c r="D44" i="14" l="1"/>
  <c r="E45" i="14"/>
  <c r="C45" i="14" s="1"/>
  <c r="G23" i="14"/>
  <c r="H23" i="14" s="1"/>
  <c r="I23" i="14" s="1"/>
  <c r="D45" i="14" l="1"/>
  <c r="E46" i="14"/>
  <c r="C46" i="14" s="1"/>
  <c r="F24" i="14"/>
  <c r="D46" i="14" l="1"/>
  <c r="E47" i="14"/>
  <c r="C47" i="14" s="1"/>
  <c r="F27" i="32"/>
  <c r="G27" i="32" s="1"/>
  <c r="G24" i="14"/>
  <c r="H24" i="14" s="1"/>
  <c r="I24" i="14" s="1"/>
  <c r="D47" i="14" l="1"/>
  <c r="E48" i="14"/>
  <c r="C48" i="14" s="1"/>
  <c r="F25" i="14"/>
  <c r="D48" i="14" l="1"/>
  <c r="E49" i="14"/>
  <c r="C49" i="14" s="1"/>
  <c r="F28" i="32"/>
  <c r="G28" i="32" s="1"/>
  <c r="G25" i="14"/>
  <c r="H25" i="14" s="1"/>
  <c r="I25" i="14" s="1"/>
  <c r="D49" i="14" l="1"/>
  <c r="E50" i="14"/>
  <c r="C50" i="14" s="1"/>
  <c r="F26" i="14"/>
  <c r="D50" i="14" l="1"/>
  <c r="E51" i="14" s="1"/>
  <c r="C51" i="14" s="1"/>
  <c r="G26" i="14"/>
  <c r="H26" i="14" s="1"/>
  <c r="I26" i="14" s="1"/>
  <c r="D51" i="14" l="1"/>
  <c r="E52" i="14" s="1"/>
  <c r="C52" i="14" s="1"/>
  <c r="F29" i="32"/>
  <c r="G29" i="32" s="1"/>
  <c r="F27" i="14"/>
  <c r="D52" i="14" l="1"/>
  <c r="E53" i="14" s="1"/>
  <c r="C53" i="14" s="1"/>
  <c r="G27" i="14"/>
  <c r="H27" i="14" s="1"/>
  <c r="I27" i="14" s="1"/>
  <c r="D53" i="14" l="1"/>
  <c r="E54" i="14" s="1"/>
  <c r="C54" i="14" s="1"/>
  <c r="F28" i="14"/>
  <c r="D54" i="14" l="1"/>
  <c r="E55" i="14"/>
  <c r="C55" i="14" s="1"/>
  <c r="F30" i="32"/>
  <c r="G30" i="32" s="1"/>
  <c r="G28" i="14"/>
  <c r="H28" i="14" s="1"/>
  <c r="I28" i="14" s="1"/>
  <c r="D55" i="14" l="1"/>
  <c r="E56" i="14" s="1"/>
  <c r="C56" i="14" s="1"/>
  <c r="F29" i="14"/>
  <c r="D56" i="14" l="1"/>
  <c r="E57" i="14"/>
  <c r="C57" i="14" s="1"/>
  <c r="F31" i="32"/>
  <c r="G31" i="32" s="1"/>
  <c r="M6" i="32" s="1"/>
  <c r="G29" i="14"/>
  <c r="H29" i="14" s="1"/>
  <c r="I29" i="14" s="1"/>
  <c r="D57" i="14" l="1"/>
  <c r="E58" i="14" s="1"/>
  <c r="C58" i="14" s="1"/>
  <c r="E32" i="32"/>
  <c r="F30" i="14"/>
  <c r="D58" i="14" l="1"/>
  <c r="E59" i="14" s="1"/>
  <c r="C59" i="14" s="1"/>
  <c r="G30" i="14"/>
  <c r="H30" i="14" s="1"/>
  <c r="I30" i="14" s="1"/>
  <c r="D59" i="14" l="1"/>
  <c r="E60" i="14"/>
  <c r="C60" i="14" s="1"/>
  <c r="F31" i="14"/>
  <c r="D60" i="14" l="1"/>
  <c r="E61" i="14"/>
  <c r="C61" i="14" s="1"/>
  <c r="G31" i="14"/>
  <c r="H31" i="14" s="1"/>
  <c r="I31" i="14" s="1"/>
  <c r="D61" i="14" l="1"/>
  <c r="E62" i="14" s="1"/>
  <c r="C62" i="14" s="1"/>
  <c r="F32" i="14"/>
  <c r="D62" i="14" l="1"/>
  <c r="E63" i="14"/>
  <c r="C63" i="14" s="1"/>
  <c r="G32" i="14"/>
  <c r="H32" i="14" s="1"/>
  <c r="I32" i="14" s="1"/>
  <c r="D63" i="14" l="1"/>
  <c r="E64" i="14" s="1"/>
  <c r="C64" i="14" s="1"/>
  <c r="F33" i="14"/>
  <c r="D64" i="14" l="1"/>
  <c r="E65" i="14" s="1"/>
  <c r="C65" i="14" s="1"/>
  <c r="G33" i="14"/>
  <c r="H33" i="14" s="1"/>
  <c r="I33" i="14" s="1"/>
  <c r="D65" i="14" l="1"/>
  <c r="E66" i="14"/>
  <c r="C66" i="14" s="1"/>
  <c r="F34" i="14"/>
  <c r="D66" i="14" l="1"/>
  <c r="E67" i="14"/>
  <c r="C67" i="14" s="1"/>
  <c r="G34" i="14"/>
  <c r="H34" i="14" s="1"/>
  <c r="I34" i="14" s="1"/>
  <c r="D67" i="14" l="1"/>
  <c r="E68" i="14" s="1"/>
  <c r="C68" i="14" s="1"/>
  <c r="F35" i="14"/>
  <c r="D68" i="14" l="1"/>
  <c r="E69" i="14"/>
  <c r="C69" i="14" s="1"/>
  <c r="G35" i="14"/>
  <c r="H35" i="14" s="1"/>
  <c r="I35" i="14" s="1"/>
  <c r="D69" i="14" l="1"/>
  <c r="E70" i="14" s="1"/>
  <c r="C70" i="14" s="1"/>
  <c r="F36" i="14"/>
  <c r="D70" i="14" l="1"/>
  <c r="E71" i="14"/>
  <c r="C71" i="14" s="1"/>
  <c r="G36" i="14"/>
  <c r="H36" i="14" s="1"/>
  <c r="I36" i="14" s="1"/>
  <c r="D71" i="14" l="1"/>
  <c r="E72" i="14" s="1"/>
  <c r="C72" i="14" s="1"/>
  <c r="F37" i="14"/>
  <c r="D72" i="14" l="1"/>
  <c r="E73" i="14" s="1"/>
  <c r="C73" i="14" s="1"/>
  <c r="G37" i="14"/>
  <c r="H37" i="14" s="1"/>
  <c r="I37" i="14" s="1"/>
  <c r="D73" i="14" l="1"/>
  <c r="E74" i="14" s="1"/>
  <c r="C74" i="14" s="1"/>
  <c r="F38" i="14"/>
  <c r="D74" i="14" l="1"/>
  <c r="E75" i="14" s="1"/>
  <c r="C75" i="14" s="1"/>
  <c r="G38" i="14"/>
  <c r="H38" i="14" s="1"/>
  <c r="I38" i="14" s="1"/>
  <c r="D75" i="14" l="1"/>
  <c r="E76" i="14" s="1"/>
  <c r="C76" i="14" s="1"/>
  <c r="F39" i="14"/>
  <c r="D76" i="14" l="1"/>
  <c r="E77" i="14" s="1"/>
  <c r="C77" i="14" s="1"/>
  <c r="D77" i="14" s="1"/>
  <c r="G39" i="14"/>
  <c r="H39" i="14" s="1"/>
  <c r="I39" i="14" s="1"/>
  <c r="F40" i="14" l="1"/>
  <c r="G40" i="14" l="1"/>
  <c r="H40" i="14" s="1"/>
  <c r="I40" i="14" s="1"/>
  <c r="F41" i="14" l="1"/>
  <c r="G41" i="14" l="1"/>
  <c r="H41" i="14" s="1"/>
  <c r="I41" i="14" s="1"/>
  <c r="F42" i="14" l="1"/>
  <c r="G42" i="14" l="1"/>
  <c r="H42" i="14" s="1"/>
  <c r="I42" i="14" s="1"/>
  <c r="F43" i="14" l="1"/>
  <c r="G43" i="14" l="1"/>
  <c r="H43" i="14" s="1"/>
  <c r="I43" i="14" s="1"/>
  <c r="F44" i="14" l="1"/>
  <c r="G44" i="14" l="1"/>
  <c r="H44" i="14" s="1"/>
  <c r="I44" i="14" s="1"/>
  <c r="F45" i="14" l="1"/>
  <c r="G45" i="14" l="1"/>
  <c r="H45" i="14" s="1"/>
  <c r="I45" i="14" s="1"/>
  <c r="F46" i="14" l="1"/>
  <c r="G46" i="14" l="1"/>
  <c r="H46" i="14" s="1"/>
  <c r="I46" i="14" s="1"/>
  <c r="F47" i="14" l="1"/>
  <c r="G47" i="14" l="1"/>
  <c r="H47" i="14" s="1"/>
  <c r="I47" i="14" s="1"/>
  <c r="F48" i="14" l="1"/>
  <c r="G48" i="14" l="1"/>
  <c r="H48" i="14" s="1"/>
  <c r="I48" i="14" s="1"/>
  <c r="F49" i="14" l="1"/>
  <c r="G49" i="14" l="1"/>
  <c r="H49" i="14" s="1"/>
  <c r="I49" i="14" s="1"/>
  <c r="F50" i="14" l="1"/>
  <c r="G50" i="14" l="1"/>
  <c r="H50" i="14" s="1"/>
  <c r="I50" i="14" s="1"/>
  <c r="F51" i="14" l="1"/>
  <c r="G51" i="14" l="1"/>
  <c r="H51" i="14" s="1"/>
  <c r="I51" i="14" s="1"/>
  <c r="F52" i="14" l="1"/>
  <c r="G52" i="14" l="1"/>
  <c r="H52" i="14" s="1"/>
  <c r="I52" i="14" s="1"/>
  <c r="F53" i="14" l="1"/>
  <c r="G53" i="14" l="1"/>
  <c r="H53" i="14" s="1"/>
  <c r="I53" i="14" s="1"/>
  <c r="F54" i="14" l="1"/>
  <c r="G54" i="14" l="1"/>
  <c r="H54" i="14" s="1"/>
  <c r="I54" i="14" s="1"/>
  <c r="F55" i="14" l="1"/>
  <c r="G55" i="14" l="1"/>
  <c r="H55" i="14" s="1"/>
  <c r="I55" i="14" s="1"/>
  <c r="F56" i="14" l="1"/>
  <c r="G56" i="14" l="1"/>
  <c r="H56" i="14" s="1"/>
  <c r="I56" i="14" s="1"/>
  <c r="F57" i="14" l="1"/>
  <c r="G57" i="14" l="1"/>
  <c r="H57" i="14" s="1"/>
  <c r="I57" i="14" s="1"/>
  <c r="F58" i="14" l="1"/>
  <c r="G58" i="14" l="1"/>
  <c r="H58" i="14" s="1"/>
  <c r="I58" i="14" s="1"/>
  <c r="F59" i="14" l="1"/>
  <c r="G59" i="14" l="1"/>
  <c r="H59" i="14" s="1"/>
  <c r="I59" i="14" s="1"/>
  <c r="F60" i="14" l="1"/>
  <c r="G60" i="14" l="1"/>
  <c r="H60" i="14" s="1"/>
  <c r="I60" i="14" s="1"/>
  <c r="F61" i="14" l="1"/>
  <c r="G61" i="14" l="1"/>
  <c r="H61" i="14" s="1"/>
  <c r="I61" i="14" s="1"/>
  <c r="F62" i="14" l="1"/>
  <c r="G62" i="14" l="1"/>
  <c r="H62" i="14" s="1"/>
  <c r="I62" i="14" s="1"/>
  <c r="F63" i="14" l="1"/>
  <c r="G63" i="14" l="1"/>
  <c r="H63" i="14" s="1"/>
  <c r="I63" i="14" s="1"/>
  <c r="F64" i="14" l="1"/>
  <c r="G64" i="14" l="1"/>
  <c r="H64" i="14" s="1"/>
  <c r="I64" i="14" s="1"/>
  <c r="F65" i="14" l="1"/>
  <c r="G65" i="14" l="1"/>
  <c r="H65" i="14" s="1"/>
  <c r="I65" i="14" s="1"/>
  <c r="F66" i="14" l="1"/>
  <c r="G66" i="14" l="1"/>
  <c r="H66" i="14" s="1"/>
  <c r="I66" i="14" s="1"/>
  <c r="F67" i="14" l="1"/>
  <c r="G67" i="14" l="1"/>
  <c r="H67" i="14" s="1"/>
  <c r="I67" i="14" s="1"/>
  <c r="F68" i="14" l="1"/>
  <c r="G68" i="14" l="1"/>
  <c r="H68" i="14" s="1"/>
  <c r="I68" i="14" s="1"/>
  <c r="F69" i="14" l="1"/>
  <c r="G69" i="14" l="1"/>
  <c r="H69" i="14" s="1"/>
  <c r="I69" i="14" s="1"/>
  <c r="F70" i="14" l="1"/>
  <c r="G70" i="14" l="1"/>
  <c r="H70" i="14" s="1"/>
  <c r="I70" i="14" s="1"/>
  <c r="F71" i="14" l="1"/>
  <c r="G71" i="14" l="1"/>
  <c r="H71" i="14" s="1"/>
  <c r="I71" i="14" s="1"/>
  <c r="F72" i="14" l="1"/>
  <c r="G72" i="14" l="1"/>
  <c r="H72" i="14" s="1"/>
  <c r="I72" i="14" s="1"/>
  <c r="F73" i="14" l="1"/>
  <c r="G73" i="14" l="1"/>
  <c r="H73" i="14" s="1"/>
  <c r="I73" i="14" s="1"/>
  <c r="F74" i="14" l="1"/>
  <c r="G74" i="14" l="1"/>
  <c r="H74" i="14" s="1"/>
  <c r="I74" i="14" s="1"/>
  <c r="F75" i="14" l="1"/>
  <c r="G75" i="14" l="1"/>
  <c r="H75" i="14" s="1"/>
  <c r="I75" i="14" s="1"/>
  <c r="F76" i="14" l="1"/>
  <c r="G76" i="14" l="1"/>
  <c r="H76" i="14" s="1"/>
  <c r="I76" i="14" s="1"/>
  <c r="F77" i="14" l="1"/>
  <c r="E78" i="14" l="1"/>
  <c r="G77" i="14"/>
  <c r="H77" i="14" s="1"/>
  <c r="F78" i="14"/>
  <c r="J3" i="14" s="1"/>
  <c r="K3" i="14" l="1"/>
  <c r="N1" i="14"/>
  <c r="G78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L5" i="14"/>
  <c r="I77" i="14"/>
  <c r="H78" i="14"/>
  <c r="J77" i="14"/>
  <c r="K56" i="14" l="1"/>
  <c r="K8" i="14"/>
  <c r="K54" i="14"/>
  <c r="K70" i="14"/>
  <c r="K13" i="14"/>
  <c r="K60" i="14"/>
  <c r="K47" i="14"/>
  <c r="K27" i="14"/>
  <c r="K34" i="14"/>
  <c r="K41" i="14"/>
  <c r="K64" i="14"/>
  <c r="K5" i="14"/>
  <c r="K26" i="14"/>
  <c r="K30" i="14"/>
  <c r="K61" i="14"/>
  <c r="K39" i="14"/>
  <c r="K44" i="14"/>
  <c r="K75" i="14"/>
  <c r="K11" i="14"/>
  <c r="K18" i="14"/>
  <c r="K25" i="14"/>
  <c r="K48" i="14"/>
  <c r="K77" i="14"/>
  <c r="K33" i="14"/>
  <c r="K22" i="14"/>
  <c r="K53" i="14"/>
  <c r="K15" i="14"/>
  <c r="K36" i="14"/>
  <c r="K67" i="14"/>
  <c r="K74" i="14"/>
  <c r="K10" i="14"/>
  <c r="K17" i="14"/>
  <c r="K40" i="14"/>
  <c r="K14" i="14"/>
  <c r="K45" i="14"/>
  <c r="K62" i="14"/>
  <c r="K28" i="14"/>
  <c r="K59" i="14"/>
  <c r="K66" i="14"/>
  <c r="K73" i="14"/>
  <c r="K9" i="14"/>
  <c r="K32" i="14"/>
  <c r="K19" i="14"/>
  <c r="K63" i="14"/>
  <c r="K6" i="14"/>
  <c r="K37" i="14"/>
  <c r="K69" i="14"/>
  <c r="K20" i="14"/>
  <c r="K51" i="14"/>
  <c r="K58" i="14"/>
  <c r="K65" i="14"/>
  <c r="K71" i="14"/>
  <c r="K24" i="14"/>
  <c r="K38" i="14"/>
  <c r="K52" i="14"/>
  <c r="K46" i="14"/>
  <c r="K7" i="14"/>
  <c r="K55" i="14"/>
  <c r="K29" i="14"/>
  <c r="K76" i="14"/>
  <c r="K12" i="14"/>
  <c r="K43" i="14"/>
  <c r="K50" i="14"/>
  <c r="K57" i="14"/>
  <c r="K31" i="14"/>
  <c r="K16" i="14"/>
  <c r="K23" i="14"/>
  <c r="K21" i="14"/>
  <c r="K68" i="14"/>
  <c r="K4" i="14"/>
  <c r="K35" i="14"/>
  <c r="K42" i="14"/>
  <c r="K49" i="14"/>
  <c r="K72" i="14"/>
</calcChain>
</file>

<file path=xl/sharedStrings.xml><?xml version="1.0" encoding="utf-8"?>
<sst xmlns="http://schemas.openxmlformats.org/spreadsheetml/2006/main" count="351" uniqueCount="174">
  <si>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</si>
  <si>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</si>
  <si>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</si>
  <si>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</si>
  <si>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</si>
  <si>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</si>
  <si>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</si>
  <si>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</si>
  <si>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</si>
  <si>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</si>
  <si>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</si>
  <si>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</si>
  <si>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</si>
  <si>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</si>
  <si>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</si>
  <si>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</si>
  <si>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</si>
  <si>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</si>
  <si>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</si>
  <si>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</si>
  <si>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</si>
  <si>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</si>
  <si>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</si>
  <si>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</si>
  <si>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</si>
  <si>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</si>
  <si>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</si>
  <si>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</si>
  <si>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</si>
  <si>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</si>
  <si>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</si>
  <si>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</si>
  <si>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</si>
  <si>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</si>
  <si>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</si>
  <si>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</si>
  <si>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</si>
  <si>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</si>
  <si>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</si>
  <si>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</si>
  <si>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</si>
  <si>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</si>
  <si>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</si>
  <si>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</si>
  <si>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</si>
  <si>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</si>
  <si>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</si>
  <si>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</si>
  <si>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</si>
  <si>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</si>
  <si>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</si>
  <si>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</si>
  <si>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</si>
  <si>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</si>
  <si>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</si>
  <si>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ST</t>
  </si>
  <si>
    <t>Ybar</t>
  </si>
  <si>
    <t>SSE</t>
  </si>
  <si>
    <t>SST</t>
  </si>
  <si>
    <t>SSR</t>
  </si>
  <si>
    <t>Std.S</t>
  </si>
  <si>
    <t>(E-MeanE)^2</t>
  </si>
  <si>
    <t>Beta=</t>
  </si>
  <si>
    <t>alpha=</t>
  </si>
  <si>
    <t>ES-Forc</t>
  </si>
  <si>
    <t>Trens</t>
  </si>
  <si>
    <t>ES-Level</t>
  </si>
  <si>
    <t>Level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</si>
  <si>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</si>
  <si>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</si>
  <si>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</si>
  <si>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</si>
  <si>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</si>
  <si>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</si>
  <si>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</si>
  <si>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</si>
  <si>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</si>
  <si>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</si>
  <si>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</si>
  <si>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</si>
  <si>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</si>
  <si>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</si>
  <si>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</si>
  <si>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</si>
  <si>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</si>
  <si>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</si>
  <si>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</si>
  <si>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</si>
  <si>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</si>
  <si>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</si>
  <si>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</si>
  <si>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</si>
  <si>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</si>
  <si>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</si>
  <si>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</si>
  <si>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</si>
  <si>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</si>
  <si>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</si>
  <si>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</si>
  <si>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</si>
  <si>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</si>
  <si>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</si>
  <si>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</si>
  <si>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</si>
  <si>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</si>
  <si>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</si>
  <si>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</si>
  <si>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</si>
  <si>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</si>
  <si>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</si>
  <si>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</si>
  <si>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</si>
  <si>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</si>
  <si>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</si>
  <si>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</si>
  <si>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</si>
  <si>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Fix</t>
  </si>
  <si>
    <t>beta=</t>
  </si>
  <si>
    <t>TrendData</t>
  </si>
  <si>
    <t>t*MSE</t>
  </si>
  <si>
    <t>Bias</t>
  </si>
  <si>
    <t>BIAS</t>
  </si>
  <si>
    <t>Seasonality</t>
  </si>
  <si>
    <t>The Forecast for New Level is the Previous Lever + Previous Trend</t>
  </si>
  <si>
    <t>Actual Seasonality is demand divided by the current lever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</si>
  <si>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</si>
  <si>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</si>
  <si>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Initial Seasonality are the sensualities of the first N periods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</si>
  <si>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</si>
  <si>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</si>
  <si>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</si>
  <si>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Forecast Seasonality is current demand divided by current level</t>
  </si>
  <si>
    <t>N</t>
  </si>
  <si>
    <t>Lower 95.0%</t>
  </si>
  <si>
    <t>Upper 95.0%</t>
  </si>
  <si>
    <t>X Variable 2</t>
  </si>
  <si>
    <t>X Variable 3</t>
  </si>
  <si>
    <t>X Variable 4</t>
  </si>
  <si>
    <t>X Variable 5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</si>
  <si>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</si>
  <si>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</si>
  <si>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</si>
  <si>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</si>
  <si>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</si>
  <si>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</si>
  <si>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</si>
  <si>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</si>
  <si>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Centered.MA</t>
  </si>
  <si>
    <t>Deseas.Reg</t>
  </si>
  <si>
    <t>Seas.Ind</t>
  </si>
  <si>
    <t>SeasInd</t>
  </si>
  <si>
    <t>SeasIndAdj</t>
  </si>
  <si>
    <t>Beta</t>
  </si>
  <si>
    <t>Gamma</t>
  </si>
  <si>
    <t>Alpha</t>
  </si>
  <si>
    <t>|E|/A</t>
  </si>
  <si>
    <t>Ft (Stat.Reg)</t>
  </si>
  <si>
    <t>Ft(TrSeasAdjExpSmoo</t>
  </si>
  <si>
    <t>a</t>
  </si>
  <si>
    <t>p</t>
  </si>
  <si>
    <t>b</t>
  </si>
  <si>
    <t>g</t>
  </si>
  <si>
    <t>TrenSeasAdjust-Ave</t>
  </si>
  <si>
    <t>F-L</t>
  </si>
  <si>
    <t>A-L</t>
  </si>
  <si>
    <t>F-T</t>
  </si>
  <si>
    <t>A-T</t>
  </si>
  <si>
    <t>F-S</t>
  </si>
  <si>
    <t>A-S</t>
  </si>
  <si>
    <t>S1</t>
  </si>
  <si>
    <t>S2</t>
  </si>
  <si>
    <t>S3</t>
  </si>
  <si>
    <t>S4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</si>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</sst>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0"/>
    <numFmt numFmtId="168" formatCode="0.000000000"/>
    <numFmt numFmtId="169" formatCode="0.00000000"/>
  </numFmts>
  <fonts count="21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11"/>
      <color theme="0"/>
      <name val="Book Antiqua"/>
      <family val="1"/>
    </font>
    <font>
      <sz val="11"/>
      <color theme="0"/>
      <name val="Calibri"/>
      <family val="2"/>
      <scheme val="minor"/>
    </font>
    <font>
      <b/>
      <sz val="10"/>
      <name val="Symbol"/>
      <family val="1"/>
      <charset val="2"/>
    </font>
    <font>
      <sz val="11"/>
      <name val="Book Antiqua"/>
      <family val="1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/>
    <xf numFmtId="1" fontId="3" fillId="0" borderId="0" xfId="2" applyNumberFormat="1" applyBorder="1" applyAlignment="1">
      <alignment horizontal="center"/>
    </xf>
    <xf numFmtId="0" fontId="4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16" xfId="0" applyFont="1" applyFill="1" applyBorder="1" applyAlignment="1">
      <alignment horizontal="centerContinuous"/>
    </xf>
    <xf numFmtId="0" fontId="7" fillId="0" borderId="0" xfId="0" applyFont="1" applyAlignment="1">
      <alignment horizontal="right"/>
    </xf>
    <xf numFmtId="0" fontId="7" fillId="0" borderId="0" xfId="0" applyFont="1" applyFill="1" applyBorder="1" applyAlignment="1"/>
    <xf numFmtId="2" fontId="7" fillId="0" borderId="0" xfId="0" applyNumberFormat="1" applyFont="1" applyFill="1" applyBorder="1" applyAlignment="1"/>
    <xf numFmtId="0" fontId="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7" fillId="0" borderId="14" xfId="0" applyFont="1" applyFill="1" applyBorder="1" applyAlignment="1"/>
    <xf numFmtId="0" fontId="6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" fillId="0" borderId="0" xfId="2" applyNumberFormat="1" applyAlignment="1">
      <alignment horizontal="center"/>
    </xf>
    <xf numFmtId="164" fontId="3" fillId="9" borderId="0" xfId="2" applyNumberFormat="1" applyFill="1" applyAlignment="1">
      <alignment horizontal="left"/>
    </xf>
    <xf numFmtId="1" fontId="3" fillId="0" borderId="0" xfId="2" applyNumberFormat="1" applyAlignment="1">
      <alignment horizontal="left"/>
    </xf>
    <xf numFmtId="164" fontId="3" fillId="0" borderId="0" xfId="2" applyNumberFormat="1" applyAlignment="1">
      <alignment horizontal="left"/>
    </xf>
    <xf numFmtId="1" fontId="3" fillId="0" borderId="0" xfId="2" applyNumberFormat="1" applyBorder="1" applyAlignment="1">
      <alignment horizontal="left"/>
    </xf>
    <xf numFmtId="164" fontId="8" fillId="8" borderId="0" xfId="2" applyNumberFormat="1" applyFont="1" applyFill="1"/>
    <xf numFmtId="166" fontId="8" fillId="8" borderId="0" xfId="2" applyNumberFormat="1" applyFont="1" applyFill="1"/>
    <xf numFmtId="0" fontId="3" fillId="0" borderId="0" xfId="2" applyFont="1" applyAlignment="1">
      <alignment horizontal="center"/>
    </xf>
    <xf numFmtId="0" fontId="3" fillId="9" borderId="0" xfId="2" applyFont="1" applyFill="1" applyAlignment="1">
      <alignment horizontal="center"/>
    </xf>
    <xf numFmtId="0" fontId="3" fillId="10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1" fontId="3" fillId="0" borderId="0" xfId="2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164" fontId="5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1" fillId="0" borderId="0" xfId="0" applyNumberFormat="1" applyFont="1"/>
    <xf numFmtId="2" fontId="7" fillId="0" borderId="14" xfId="0" applyNumberFormat="1" applyFont="1" applyFill="1" applyBorder="1" applyAlignment="1">
      <alignment horizontal="center"/>
    </xf>
    <xf numFmtId="0" fontId="4" fillId="0" borderId="0" xfId="1" applyFont="1"/>
    <xf numFmtId="0" fontId="9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0" fillId="0" borderId="0" xfId="2" applyFont="1"/>
    <xf numFmtId="0" fontId="10" fillId="0" borderId="0" xfId="2" quotePrefix="1" applyFont="1"/>
    <xf numFmtId="0" fontId="12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10" fillId="0" borderId="0" xfId="2" applyFont="1" applyFill="1"/>
    <xf numFmtId="0" fontId="10" fillId="0" borderId="2" xfId="2" applyFont="1" applyBorder="1" applyAlignment="1">
      <alignment horizontal="center"/>
    </xf>
    <xf numFmtId="1" fontId="10" fillId="0" borderId="2" xfId="2" applyNumberFormat="1" applyFont="1" applyFill="1" applyBorder="1" applyAlignment="1">
      <alignment horizontal="center"/>
    </xf>
    <xf numFmtId="1" fontId="10" fillId="0" borderId="3" xfId="2" applyNumberFormat="1" applyFont="1" applyBorder="1" applyAlignment="1">
      <alignment horizontal="center"/>
    </xf>
    <xf numFmtId="1" fontId="10" fillId="0" borderId="13" xfId="2" applyNumberFormat="1" applyFont="1" applyBorder="1" applyAlignment="1">
      <alignment horizontal="center"/>
    </xf>
    <xf numFmtId="2" fontId="10" fillId="0" borderId="13" xfId="2" applyNumberFormat="1" applyFont="1" applyBorder="1" applyAlignment="1">
      <alignment horizontal="center"/>
    </xf>
    <xf numFmtId="2" fontId="10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4" xfId="2" applyFont="1" applyBorder="1" applyAlignment="1">
      <alignment horizontal="center"/>
    </xf>
    <xf numFmtId="1" fontId="10" fillId="0" borderId="4" xfId="2" applyNumberFormat="1" applyFont="1" applyBorder="1" applyAlignment="1">
      <alignment horizontal="center"/>
    </xf>
    <xf numFmtId="1" fontId="10" fillId="0" borderId="5" xfId="2" applyNumberFormat="1" applyFont="1" applyBorder="1" applyAlignment="1">
      <alignment horizontal="center"/>
    </xf>
    <xf numFmtId="1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0" fontId="4" fillId="0" borderId="0" xfId="4" applyFont="1"/>
    <xf numFmtId="0" fontId="10" fillId="0" borderId="6" xfId="2" applyFont="1" applyBorder="1" applyAlignment="1">
      <alignment horizontal="center"/>
    </xf>
    <xf numFmtId="1" fontId="10" fillId="0" borderId="6" xfId="2" applyNumberFormat="1" applyFont="1" applyBorder="1" applyAlignment="1">
      <alignment horizontal="center"/>
    </xf>
    <xf numFmtId="1" fontId="10" fillId="0" borderId="7" xfId="2" applyNumberFormat="1" applyFont="1" applyBorder="1" applyAlignment="1">
      <alignment horizontal="center"/>
    </xf>
    <xf numFmtId="1" fontId="10" fillId="0" borderId="14" xfId="2" applyNumberFormat="1" applyFont="1" applyBorder="1" applyAlignment="1">
      <alignment horizontal="center"/>
    </xf>
    <xf numFmtId="2" fontId="10" fillId="0" borderId="14" xfId="2" applyNumberFormat="1" applyFont="1" applyBorder="1" applyAlignment="1">
      <alignment horizontal="center"/>
    </xf>
    <xf numFmtId="2" fontId="10" fillId="0" borderId="7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3" fillId="0" borderId="8" xfId="2" applyFont="1" applyFill="1" applyBorder="1"/>
    <xf numFmtId="0" fontId="13" fillId="0" borderId="9" xfId="2" applyFont="1" applyFill="1" applyBorder="1"/>
    <xf numFmtId="0" fontId="13" fillId="0" borderId="15" xfId="2" applyFont="1" applyFill="1" applyBorder="1"/>
    <xf numFmtId="166" fontId="13" fillId="0" borderId="8" xfId="2" applyNumberFormat="1" applyFont="1" applyFill="1" applyBorder="1"/>
    <xf numFmtId="166" fontId="13" fillId="0" borderId="9" xfId="2" applyNumberFormat="1" applyFont="1" applyFill="1" applyBorder="1"/>
    <xf numFmtId="166" fontId="13" fillId="0" borderId="15" xfId="2" applyNumberFormat="1" applyFont="1" applyFill="1" applyBorder="1"/>
    <xf numFmtId="0" fontId="10" fillId="0" borderId="10" xfId="2" applyFont="1" applyBorder="1"/>
    <xf numFmtId="0" fontId="10" fillId="0" borderId="11" xfId="2" applyFont="1" applyBorder="1"/>
    <xf numFmtId="0" fontId="10" fillId="0" borderId="1" xfId="2" applyFont="1" applyBorder="1"/>
    <xf numFmtId="0" fontId="10" fillId="12" borderId="0" xfId="2" applyFont="1" applyFill="1"/>
    <xf numFmtId="0" fontId="14" fillId="15" borderId="0" xfId="2" applyFont="1" applyFill="1" applyAlignment="1">
      <alignment horizontal="center" vertical="center"/>
    </xf>
    <xf numFmtId="164" fontId="14" fillId="15" borderId="0" xfId="2" applyNumberFormat="1" applyFont="1" applyFill="1" applyAlignment="1">
      <alignment horizontal="center" vertical="center"/>
    </xf>
    <xf numFmtId="165" fontId="14" fillId="15" borderId="0" xfId="2" applyNumberFormat="1" applyFont="1" applyFill="1" applyAlignment="1">
      <alignment horizontal="center" vertical="center"/>
    </xf>
    <xf numFmtId="0" fontId="10" fillId="0" borderId="0" xfId="2" applyFont="1" applyAlignment="1">
      <alignment horizontal="left"/>
    </xf>
    <xf numFmtId="165" fontId="10" fillId="0" borderId="0" xfId="2" applyNumberFormat="1" applyFont="1" applyAlignment="1">
      <alignment horizontal="center"/>
    </xf>
    <xf numFmtId="1" fontId="14" fillId="14" borderId="0" xfId="2" applyNumberFormat="1" applyFont="1" applyFill="1" applyBorder="1" applyAlignment="1">
      <alignment horizontal="center"/>
    </xf>
    <xf numFmtId="164" fontId="14" fillId="11" borderId="0" xfId="2" applyNumberFormat="1" applyFont="1" applyFill="1" applyAlignment="1">
      <alignment horizontal="center"/>
    </xf>
    <xf numFmtId="2" fontId="10" fillId="0" borderId="0" xfId="2" applyNumberFormat="1" applyFont="1" applyAlignment="1">
      <alignment horizontal="center"/>
    </xf>
    <xf numFmtId="1" fontId="14" fillId="13" borderId="0" xfId="2" applyNumberFormat="1" applyFont="1" applyFill="1" applyAlignment="1">
      <alignment horizontal="center"/>
    </xf>
    <xf numFmtId="167" fontId="10" fillId="0" borderId="0" xfId="2" applyNumberFormat="1" applyFont="1" applyAlignment="1">
      <alignment horizontal="center"/>
    </xf>
    <xf numFmtId="2" fontId="11" fillId="2" borderId="0" xfId="2" applyNumberFormat="1" applyFont="1" applyFill="1" applyAlignment="1">
      <alignment horizontal="center"/>
    </xf>
    <xf numFmtId="0" fontId="10" fillId="0" borderId="0" xfId="2" applyFont="1" applyFill="1" applyBorder="1"/>
    <xf numFmtId="0" fontId="10" fillId="0" borderId="0" xfId="2" applyFont="1" applyFill="1" applyAlignment="1">
      <alignment horizontal="center"/>
    </xf>
    <xf numFmtId="0" fontId="10" fillId="0" borderId="9" xfId="2" applyFont="1" applyBorder="1"/>
    <xf numFmtId="167" fontId="10" fillId="0" borderId="9" xfId="2" applyNumberFormat="1" applyFont="1" applyBorder="1"/>
    <xf numFmtId="0" fontId="10" fillId="2" borderId="0" xfId="2" applyFont="1" applyFill="1"/>
    <xf numFmtId="0" fontId="15" fillId="2" borderId="0" xfId="2" applyFont="1" applyFill="1"/>
    <xf numFmtId="0" fontId="15" fillId="0" borderId="0" xfId="2" applyFont="1" applyFill="1"/>
    <xf numFmtId="0" fontId="4" fillId="0" borderId="0" xfId="1" applyFont="1" applyFill="1"/>
    <xf numFmtId="2" fontId="10" fillId="0" borderId="9" xfId="2" applyNumberFormat="1" applyFont="1" applyBorder="1"/>
    <xf numFmtId="0" fontId="11" fillId="0" borderId="8" xfId="2" applyFont="1" applyBorder="1" applyAlignment="1">
      <alignment horizontal="center"/>
    </xf>
    <xf numFmtId="1" fontId="10" fillId="0" borderId="8" xfId="2" applyNumberFormat="1" applyFont="1" applyBorder="1" applyAlignment="1">
      <alignment horizontal="center"/>
    </xf>
    <xf numFmtId="1" fontId="10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6" fontId="10" fillId="0" borderId="0" xfId="2" applyNumberFormat="1" applyFont="1" applyAlignment="1">
      <alignment horizontal="center"/>
    </xf>
    <xf numFmtId="2" fontId="10" fillId="0" borderId="0" xfId="2" applyNumberFormat="1" applyFont="1" applyFill="1" applyAlignment="1">
      <alignment horizontal="center"/>
    </xf>
    <xf numFmtId="164" fontId="10" fillId="0" borderId="0" xfId="2" applyNumberFormat="1" applyFont="1" applyFill="1"/>
    <xf numFmtId="0" fontId="0" fillId="0" borderId="0" xfId="0" applyFill="1" applyAlignment="1">
      <alignment horizontal="right"/>
    </xf>
    <xf numFmtId="0" fontId="10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1" fontId="11" fillId="2" borderId="0" xfId="2" applyNumberFormat="1" applyFont="1" applyFill="1" applyAlignment="1">
      <alignment horizontal="center"/>
    </xf>
    <xf numFmtId="1" fontId="14" fillId="15" borderId="0" xfId="2" applyNumberFormat="1" applyFont="1" applyFill="1" applyAlignment="1">
      <alignment horizontal="center" vertical="center"/>
    </xf>
    <xf numFmtId="0" fontId="4" fillId="0" borderId="10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4" fillId="4" borderId="0" xfId="1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6" fillId="2" borderId="0" xfId="1" applyFont="1" applyFill="1" applyAlignment="1">
      <alignment horizontal="center"/>
    </xf>
    <xf numFmtId="0" fontId="16" fillId="16" borderId="11" xfId="1" applyFont="1" applyFill="1" applyBorder="1" applyAlignment="1">
      <alignment horizontal="center"/>
    </xf>
    <xf numFmtId="0" fontId="16" fillId="16" borderId="0" xfId="1" applyFont="1" applyFill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2" fontId="16" fillId="2" borderId="0" xfId="1" applyNumberFormat="1" applyFont="1" applyFill="1" applyBorder="1" applyAlignment="1">
      <alignment horizontal="center"/>
    </xf>
    <xf numFmtId="167" fontId="10" fillId="0" borderId="0" xfId="2" applyNumberFormat="1" applyFont="1"/>
    <xf numFmtId="0" fontId="16" fillId="0" borderId="0" xfId="1" applyFont="1" applyFill="1" applyBorder="1" applyAlignment="1">
      <alignment horizontal="center"/>
    </xf>
    <xf numFmtId="0" fontId="16" fillId="16" borderId="0" xfId="1" applyFont="1" applyFill="1" applyBorder="1" applyAlignment="1">
      <alignment horizontal="center"/>
    </xf>
    <xf numFmtId="2" fontId="16" fillId="16" borderId="0" xfId="1" applyNumberFormat="1" applyFont="1" applyFill="1" applyBorder="1" applyAlignment="1">
      <alignment horizontal="center"/>
    </xf>
    <xf numFmtId="2" fontId="16" fillId="17" borderId="0" xfId="1" applyNumberFormat="1" applyFont="1" applyFill="1" applyBorder="1" applyAlignment="1">
      <alignment horizontal="center"/>
    </xf>
    <xf numFmtId="165" fontId="16" fillId="14" borderId="0" xfId="1" applyNumberFormat="1" applyFont="1" applyFill="1" applyBorder="1" applyAlignment="1">
      <alignment horizontal="center"/>
    </xf>
    <xf numFmtId="1" fontId="16" fillId="14" borderId="0" xfId="1" applyNumberFormat="1" applyFont="1" applyFill="1" applyBorder="1" applyAlignment="1">
      <alignment horizontal="center"/>
    </xf>
    <xf numFmtId="2" fontId="16" fillId="14" borderId="0" xfId="1" applyNumberFormat="1" applyFont="1" applyFill="1" applyBorder="1" applyAlignment="1">
      <alignment horizontal="center"/>
    </xf>
    <xf numFmtId="169" fontId="16" fillId="14" borderId="0" xfId="1" applyNumberFormat="1" applyFont="1" applyFill="1" applyBorder="1" applyAlignment="1">
      <alignment horizontal="center"/>
    </xf>
    <xf numFmtId="2" fontId="10" fillId="0" borderId="0" xfId="2" applyNumberFormat="1" applyFont="1"/>
    <xf numFmtId="2" fontId="0" fillId="0" borderId="0" xfId="0" applyNumberFormat="1" applyAlignment="1">
      <alignment horizontal="left" vertical="top"/>
    </xf>
    <xf numFmtId="1" fontId="10" fillId="0" borderId="0" xfId="2" applyNumberFormat="1" applyFont="1" applyAlignment="1">
      <alignment horizontal="left" vertical="top"/>
    </xf>
    <xf numFmtId="2" fontId="10" fillId="0" borderId="0" xfId="2" applyNumberFormat="1" applyFont="1" applyAlignment="1">
      <alignment horizontal="center" vertical="top"/>
    </xf>
    <xf numFmtId="166" fontId="17" fillId="2" borderId="0" xfId="0" applyNumberFormat="1" applyFont="1" applyFill="1" applyAlignment="1">
      <alignment horizontal="center"/>
    </xf>
    <xf numFmtId="166" fontId="17" fillId="16" borderId="0" xfId="0" applyNumberFormat="1" applyFont="1" applyFill="1" applyAlignment="1">
      <alignment horizontal="center"/>
    </xf>
    <xf numFmtId="0" fontId="11" fillId="0" borderId="0" xfId="2" applyFont="1"/>
    <xf numFmtId="0" fontId="18" fillId="0" borderId="0" xfId="2" applyFont="1"/>
    <xf numFmtId="0" fontId="0" fillId="0" borderId="0" xfId="0" applyAlignment="1">
      <alignment horizontal="left" vertical="top"/>
    </xf>
    <xf numFmtId="165" fontId="1" fillId="0" borderId="0" xfId="0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16" fillId="18" borderId="0" xfId="1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'0.ArdiData28Fixed'!$B$35:$B$62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7-45E6-9E44-8A94D7BF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'0.ArdiData28Fixed'!$C$35:$C$62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9-4C71-8129-0545F654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'0.ArdiData28Fixed'!$D$35:$D$62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F-4433-AA9B-F4F81431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'0.ArdiData28Fixed'!$E$35:$E$62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D-43BE-AFB1-B80434DF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Stationary!$B$2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Stationary!$A$3:$A$30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Stationary!$B$3:$B$30</c:f>
              <c:numCache>
                <c:formatCode>General</c:formatCode>
                <c:ptCount val="28"/>
                <c:pt idx="0">
                  <c:v>50</c:v>
                </c:pt>
                <c:pt idx="1">
                  <c:v>63</c:v>
                </c:pt>
                <c:pt idx="2">
                  <c:v>50</c:v>
                </c:pt>
                <c:pt idx="3">
                  <c:v>44</c:v>
                </c:pt>
                <c:pt idx="4">
                  <c:v>49</c:v>
                </c:pt>
                <c:pt idx="5">
                  <c:v>48</c:v>
                </c:pt>
                <c:pt idx="6">
                  <c:v>42</c:v>
                </c:pt>
                <c:pt idx="7">
                  <c:v>49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66</c:v>
                </c:pt>
                <c:pt idx="12">
                  <c:v>30</c:v>
                </c:pt>
                <c:pt idx="13">
                  <c:v>59</c:v>
                </c:pt>
                <c:pt idx="14">
                  <c:v>49</c:v>
                </c:pt>
                <c:pt idx="15">
                  <c:v>37</c:v>
                </c:pt>
                <c:pt idx="16">
                  <c:v>58</c:v>
                </c:pt>
                <c:pt idx="17">
                  <c:v>49</c:v>
                </c:pt>
                <c:pt idx="18">
                  <c:v>23</c:v>
                </c:pt>
                <c:pt idx="19">
                  <c:v>27</c:v>
                </c:pt>
                <c:pt idx="20">
                  <c:v>23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71</c:v>
                </c:pt>
                <c:pt idx="25">
                  <c:v>61</c:v>
                </c:pt>
                <c:pt idx="26">
                  <c:v>47</c:v>
                </c:pt>
                <c:pt idx="27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Stationary!$C$2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Stationary!$A$3:$A$31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Stationary!$C$3:$C$31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50.000000000000007</c:v>
                </c:pt>
                <c:pt idx="2">
                  <c:v>50.298082644405198</c:v>
                </c:pt>
                <c:pt idx="3">
                  <c:v>50.29124777802862</c:v>
                </c:pt>
                <c:pt idx="4">
                  <c:v>50.146993026160693</c:v>
                </c:pt>
                <c:pt idx="5">
                  <c:v>50.120693125056675</c:v>
                </c:pt>
                <c:pt idx="6">
                  <c:v>50.072066831619075</c:v>
                </c:pt>
                <c:pt idx="7">
                  <c:v>49.886978906466432</c:v>
                </c:pt>
                <c:pt idx="8">
                  <c:v>49.866640982007119</c:v>
                </c:pt>
                <c:pt idx="9">
                  <c:v>49.869698828833172</c:v>
                </c:pt>
                <c:pt idx="10">
                  <c:v>49.826827692591642</c:v>
                </c:pt>
                <c:pt idx="11">
                  <c:v>49.693221830506943</c:v>
                </c:pt>
                <c:pt idx="12">
                  <c:v>50.067127027313965</c:v>
                </c:pt>
                <c:pt idx="13">
                  <c:v>49.606999158858855</c:v>
                </c:pt>
                <c:pt idx="14">
                  <c:v>49.822375353445587</c:v>
                </c:pt>
                <c:pt idx="15">
                  <c:v>49.803518751903383</c:v>
                </c:pt>
                <c:pt idx="16">
                  <c:v>49.509941311345024</c:v>
                </c:pt>
                <c:pt idx="17">
                  <c:v>49.704613553273447</c:v>
                </c:pt>
                <c:pt idx="18">
                  <c:v>49.688457163177794</c:v>
                </c:pt>
                <c:pt idx="19">
                  <c:v>49.076505941155141</c:v>
                </c:pt>
                <c:pt idx="20">
                  <c:v>48.570304151142352</c:v>
                </c:pt>
                <c:pt idx="21">
                  <c:v>47.983991545017943</c:v>
                </c:pt>
                <c:pt idx="22">
                  <c:v>47.777993702167734</c:v>
                </c:pt>
                <c:pt idx="23">
                  <c:v>47.485001536557355</c:v>
                </c:pt>
                <c:pt idx="24">
                  <c:v>47.015292042044955</c:v>
                </c:pt>
                <c:pt idx="25">
                  <c:v>47.565247824613671</c:v>
                </c:pt>
                <c:pt idx="26">
                  <c:v>47.873299090411166</c:v>
                </c:pt>
                <c:pt idx="27">
                  <c:v>47.853274836393751</c:v>
                </c:pt>
                <c:pt idx="28">
                  <c:v>47.581485951155777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Trend!$O$1</c:f>
          <c:strCache>
            <c:ptCount val="1"/>
            <c:pt idx="0">
              <c:v>At vs Ft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Trend!$B$2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Trend!$C$2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Trend!$C$3:$C$31</c:f>
              <c:numCache>
                <c:formatCode>0.00</c:formatCode>
                <c:ptCount val="29"/>
                <c:pt idx="0" formatCode="General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25.75</c:v>
                </c:pt>
                <c:pt idx="5">
                  <c:v>27.875</c:v>
                </c:pt>
                <c:pt idx="6">
                  <c:v>31.4375</c:v>
                </c:pt>
                <c:pt idx="7">
                  <c:v>33.21875</c:v>
                </c:pt>
                <c:pt idx="8">
                  <c:v>34.609375</c:v>
                </c:pt>
                <c:pt idx="9">
                  <c:v>35.3046875</c:v>
                </c:pt>
                <c:pt idx="10">
                  <c:v>36.15234375</c:v>
                </c:pt>
                <c:pt idx="11">
                  <c:v>37.576171875</c:v>
                </c:pt>
                <c:pt idx="12">
                  <c:v>39.2880859375</c:v>
                </c:pt>
                <c:pt idx="13">
                  <c:v>40.64404296875</c:v>
                </c:pt>
                <c:pt idx="14">
                  <c:v>41.822021484375</c:v>
                </c:pt>
                <c:pt idx="15">
                  <c:v>43.4110107421875</c:v>
                </c:pt>
                <c:pt idx="16">
                  <c:v>45.70550537109375</c:v>
                </c:pt>
                <c:pt idx="17">
                  <c:v>47.352752685546875</c:v>
                </c:pt>
                <c:pt idx="18">
                  <c:v>48.676376342773438</c:v>
                </c:pt>
                <c:pt idx="19">
                  <c:v>49.338188171386719</c:v>
                </c:pt>
                <c:pt idx="20">
                  <c:v>52.169094085693359</c:v>
                </c:pt>
                <c:pt idx="21">
                  <c:v>53.58454704284668</c:v>
                </c:pt>
                <c:pt idx="22">
                  <c:v>55.79227352142334</c:v>
                </c:pt>
                <c:pt idx="23">
                  <c:v>58.89613676071167</c:v>
                </c:pt>
                <c:pt idx="24">
                  <c:v>60.948068380355835</c:v>
                </c:pt>
                <c:pt idx="25">
                  <c:v>63.974034190177917</c:v>
                </c:pt>
                <c:pt idx="26">
                  <c:v>67.987017095088959</c:v>
                </c:pt>
                <c:pt idx="27">
                  <c:v>73.493508547544479</c:v>
                </c:pt>
                <c:pt idx="28">
                  <c:v>79.74675427377224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Trend!$L$2</c:f>
          <c:strCache>
            <c:ptCount val="1"/>
            <c:pt idx="0">
              <c:v>TS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Trend!$L$2</c:f>
              <c:strCache>
                <c:ptCount val="1"/>
                <c:pt idx="0">
                  <c:v>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Trend!$L$3:$L$30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5F4-B332-494D8ED1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'0.Regression'!$P$2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'0.Regression'!$B$3:$B$52</c:f>
              <c:numCache>
                <c:formatCode>General</c:formatCode>
                <c:ptCount val="50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'0.Regression'!$C$2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'0.Regression'!$C$3:$C$52</c:f>
              <c:numCache>
                <c:formatCode>0.0</c:formatCode>
                <c:ptCount val="50"/>
                <c:pt idx="0">
                  <c:v>25.113300492610847</c:v>
                </c:pt>
                <c:pt idx="1">
                  <c:v>27.059934318555015</c:v>
                </c:pt>
                <c:pt idx="2">
                  <c:v>29.006568144499187</c:v>
                </c:pt>
                <c:pt idx="3">
                  <c:v>30.953201970443356</c:v>
                </c:pt>
                <c:pt idx="4">
                  <c:v>32.899835796387528</c:v>
                </c:pt>
                <c:pt idx="5">
                  <c:v>34.846469622331696</c:v>
                </c:pt>
                <c:pt idx="6">
                  <c:v>36.793103448275872</c:v>
                </c:pt>
                <c:pt idx="7">
                  <c:v>38.73973727422004</c:v>
                </c:pt>
                <c:pt idx="8">
                  <c:v>40.686371100164209</c:v>
                </c:pt>
                <c:pt idx="9">
                  <c:v>42.633004926108384</c:v>
                </c:pt>
                <c:pt idx="10">
                  <c:v>44.579638752052546</c:v>
                </c:pt>
                <c:pt idx="11">
                  <c:v>46.526272577996721</c:v>
                </c:pt>
                <c:pt idx="12">
                  <c:v>48.47290640394089</c:v>
                </c:pt>
                <c:pt idx="13">
                  <c:v>50.419540229885058</c:v>
                </c:pt>
                <c:pt idx="14">
                  <c:v>52.366174055829234</c:v>
                </c:pt>
                <c:pt idx="15">
                  <c:v>54.312807881773402</c:v>
                </c:pt>
                <c:pt idx="16">
                  <c:v>56.259441707717571</c:v>
                </c:pt>
                <c:pt idx="17">
                  <c:v>58.206075533661746</c:v>
                </c:pt>
                <c:pt idx="18">
                  <c:v>60.152709359605907</c:v>
                </c:pt>
                <c:pt idx="19">
                  <c:v>62.099343185550083</c:v>
                </c:pt>
                <c:pt idx="20">
                  <c:v>64.045977011494259</c:v>
                </c:pt>
                <c:pt idx="21">
                  <c:v>65.99261083743842</c:v>
                </c:pt>
                <c:pt idx="22">
                  <c:v>67.939244663382595</c:v>
                </c:pt>
                <c:pt idx="23">
                  <c:v>69.885878489326771</c:v>
                </c:pt>
                <c:pt idx="24">
                  <c:v>71.832512315270932</c:v>
                </c:pt>
                <c:pt idx="25">
                  <c:v>73.779146141215108</c:v>
                </c:pt>
                <c:pt idx="26">
                  <c:v>75.725779967159284</c:v>
                </c:pt>
                <c:pt idx="27">
                  <c:v>77.672413793103445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TrendAdj!$B$2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TrendAdj!$B$2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TrendAdj!$A$4:$A$31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TrendAdj!$B$4:$B$31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TrendAdj!$E$2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TrendAdj!$A$4:$A$32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TrendAdj!$E$4:$E$32</c:f>
              <c:numCache>
                <c:formatCode>0.0000</c:formatCode>
                <c:ptCount val="29"/>
                <c:pt idx="0">
                  <c:v>21.481481481481481</c:v>
                </c:pt>
                <c:pt idx="1">
                  <c:v>20.689776723341417</c:v>
                </c:pt>
                <c:pt idx="2">
                  <c:v>22.788751971010715</c:v>
                </c:pt>
                <c:pt idx="3">
                  <c:v>27.494240042972262</c:v>
                </c:pt>
                <c:pt idx="4">
                  <c:v>31.974645531182446</c:v>
                </c:pt>
                <c:pt idx="5">
                  <c:v>32.344644350700605</c:v>
                </c:pt>
                <c:pt idx="6">
                  <c:v>38.191822827668062</c:v>
                </c:pt>
                <c:pt idx="7">
                  <c:v>37.173487071925798</c:v>
                </c:pt>
                <c:pt idx="8">
                  <c:v>37.799091653143606</c:v>
                </c:pt>
                <c:pt idx="9">
                  <c:v>37.225100094974287</c:v>
                </c:pt>
                <c:pt idx="10">
                  <c:v>38.15328298991875</c:v>
                </c:pt>
                <c:pt idx="11">
                  <c:v>40.423423988625395</c:v>
                </c:pt>
                <c:pt idx="12">
                  <c:v>42.607377798090127</c:v>
                </c:pt>
                <c:pt idx="13">
                  <c:v>43.413596826390304</c:v>
                </c:pt>
                <c:pt idx="14">
                  <c:v>44.281640743764477</c:v>
                </c:pt>
                <c:pt idx="15">
                  <c:v>46.510829817090176</c:v>
                </c:pt>
                <c:pt idx="16">
                  <c:v>49.985942417481674</c:v>
                </c:pt>
                <c:pt idx="17">
                  <c:v>50.671382220680876</c:v>
                </c:pt>
                <c:pt idx="18">
                  <c:v>51.457180945108043</c:v>
                </c:pt>
                <c:pt idx="19">
                  <c:v>50.992274357522177</c:v>
                </c:pt>
                <c:pt idx="20">
                  <c:v>57.270919990845762</c:v>
                </c:pt>
                <c:pt idx="21">
                  <c:v>56.546393865817173</c:v>
                </c:pt>
                <c:pt idx="22">
                  <c:v>60.010159927132719</c:v>
                </c:pt>
                <c:pt idx="23">
                  <c:v>64.645008853221128</c:v>
                </c:pt>
                <c:pt idx="24">
                  <c:v>65.120176672930114</c:v>
                </c:pt>
                <c:pt idx="25">
                  <c:v>69.719925284237661</c:v>
                </c:pt>
                <c:pt idx="26">
                  <c:v>75.447372180317743</c:v>
                </c:pt>
                <c:pt idx="27">
                  <c:v>83.580821037273964</c:v>
                </c:pt>
                <c:pt idx="28" formatCode="General">
                  <c:v>91.352648475792307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TrendAndSeasIravaniMine!$B$2</c:f>
          <c:strCache>
            <c:ptCount val="1"/>
            <c:pt idx="0">
              <c:v>TrenSeasAdjust-Ave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TrendAndSeasIravaniMine!$B$2</c:f>
              <c:strCache>
                <c:ptCount val="1"/>
                <c:pt idx="0">
                  <c:v>TrenSeasAdjust-Ave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TrendAndSeasIravaniMine!$A$4:$A$31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TrendAndSeasIravaniMine!$B$4:$B$31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TrendAndSeasIravaniMine!$F$2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TrendAndSeasIravaniMine!$A$4:$A$35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TrendAndSeasIravaniMine!$F$4:$F$35</c:f>
              <c:numCache>
                <c:formatCode>0.0000</c:formatCode>
                <c:ptCount val="32"/>
                <c:pt idx="0">
                  <c:v>22.51180778032036</c:v>
                </c:pt>
                <c:pt idx="1">
                  <c:v>28.682229748283746</c:v>
                </c:pt>
                <c:pt idx="2">
                  <c:v>39.48381773913043</c:v>
                </c:pt>
                <c:pt idx="3">
                  <c:v>28.396487258215103</c:v>
                </c:pt>
                <c:pt idx="4">
                  <c:v>32.289319966920218</c:v>
                </c:pt>
                <c:pt idx="5">
                  <c:v>52.419626834642017</c:v>
                </c:pt>
                <c:pt idx="6">
                  <c:v>67.133756982136049</c:v>
                </c:pt>
                <c:pt idx="7">
                  <c:v>42.68637176170688</c:v>
                </c:pt>
                <c:pt idx="8">
                  <c:v>41.57282670760997</c:v>
                </c:pt>
                <c:pt idx="9">
                  <c:v>48.325076625373868</c:v>
                </c:pt>
                <c:pt idx="10">
                  <c:v>56.210694669546641</c:v>
                </c:pt>
                <c:pt idx="11">
                  <c:v>38.191092078455625</c:v>
                </c:pt>
                <c:pt idx="12">
                  <c:v>37.566236155534853</c:v>
                </c:pt>
                <c:pt idx="13">
                  <c:v>47.092405467250721</c:v>
                </c:pt>
                <c:pt idx="14">
                  <c:v>46.517836158811946</c:v>
                </c:pt>
                <c:pt idx="15">
                  <c:v>40.68649209430145</c:v>
                </c:pt>
                <c:pt idx="16">
                  <c:v>51.172575552121693</c:v>
                </c:pt>
                <c:pt idx="17">
                  <c:v>61.007512766219783</c:v>
                </c:pt>
                <c:pt idx="18">
                  <c:v>54.78977796646484</c:v>
                </c:pt>
                <c:pt idx="19">
                  <c:v>45.377610237240916</c:v>
                </c:pt>
                <c:pt idx="20">
                  <c:v>40.146849119632712</c:v>
                </c:pt>
                <c:pt idx="21">
                  <c:v>65.787113794924068</c:v>
                </c:pt>
                <c:pt idx="22">
                  <c:v>83.073982274779198</c:v>
                </c:pt>
                <c:pt idx="23">
                  <c:v>64.602123243076804</c:v>
                </c:pt>
                <c:pt idx="24">
                  <c:v>59.45790638880856</c:v>
                </c:pt>
                <c:pt idx="25">
                  <c:v>84.490746935502131</c:v>
                </c:pt>
                <c:pt idx="26">
                  <c:v>82.563298831421704</c:v>
                </c:pt>
                <c:pt idx="27">
                  <c:v>48.932385703975122</c:v>
                </c:pt>
                <c:pt idx="28" formatCode="0.00">
                  <c:v>43.317171329539342</c:v>
                </c:pt>
                <c:pt idx="29" formatCode="0.00">
                  <c:v>61.394287429488195</c:v>
                </c:pt>
                <c:pt idx="30" formatCode="0.00">
                  <c:v>51.69261463323231</c:v>
                </c:pt>
                <c:pt idx="31" formatCode="0.00">
                  <c:v>33.750087518338312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TrendAndSeasChopraMine!$M$1</c:f>
          <c:strCache>
            <c:ptCount val="1"/>
            <c:pt idx="0">
              <c:v>Ft(TrSeasAdjExpSmoo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TrendAndSeasChopraMine!$B$1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TrendAndSeasChopraMine!$A$3:$A$30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TrendAndSeasChopraMine!$B$3:$B$30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2E-479B-9C97-12B627FB14AD}"/>
            </c:ext>
          </c:extLst>
        </c:ser>
        <c:ser>
          <c:idx val="0"/>
          <c:order val="1"/>
          <c:tx>
            <c:strRef>
              <c:f>TrendAndSeasChopraMine!$M$1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TrendAndSeasChopraMine!$A$3:$A$34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TrendAndSeasChopraMine!$M$3:$M$34</c:f>
              <c:numCache>
                <c:formatCode>0.0000</c:formatCode>
                <c:ptCount val="32"/>
                <c:pt idx="0">
                  <c:v>27.474864240286269</c:v>
                </c:pt>
                <c:pt idx="1">
                  <c:v>28.288139956007932</c:v>
                </c:pt>
                <c:pt idx="2">
                  <c:v>39.467867736224356</c:v>
                </c:pt>
                <c:pt idx="3">
                  <c:v>29.025422245928031</c:v>
                </c:pt>
                <c:pt idx="4">
                  <c:v>39.166320987669884</c:v>
                </c:pt>
                <c:pt idx="5">
                  <c:v>50.494355728483796</c:v>
                </c:pt>
                <c:pt idx="6">
                  <c:v>48.503688650513396</c:v>
                </c:pt>
                <c:pt idx="7">
                  <c:v>36.059515722185495</c:v>
                </c:pt>
                <c:pt idx="8">
                  <c:v>43.159988147156476</c:v>
                </c:pt>
                <c:pt idx="9">
                  <c:v>56.496090736247808</c:v>
                </c:pt>
                <c:pt idx="10">
                  <c:v>57.538528577840019</c:v>
                </c:pt>
                <c:pt idx="11">
                  <c:v>32.967320179475976</c:v>
                </c:pt>
                <c:pt idx="12">
                  <c:v>36.016429930603891</c:v>
                </c:pt>
                <c:pt idx="13">
                  <c:v>56.425945147863494</c:v>
                </c:pt>
                <c:pt idx="14">
                  <c:v>51.389606808328857</c:v>
                </c:pt>
                <c:pt idx="15">
                  <c:v>47.093507445961507</c:v>
                </c:pt>
                <c:pt idx="16">
                  <c:v>45.076038526650223</c:v>
                </c:pt>
                <c:pt idx="17">
                  <c:v>46.229694916848203</c:v>
                </c:pt>
                <c:pt idx="18">
                  <c:v>60.430276632038364</c:v>
                </c:pt>
                <c:pt idx="19">
                  <c:v>50.080672125503462</c:v>
                </c:pt>
                <c:pt idx="20">
                  <c:v>39.960724091193839</c:v>
                </c:pt>
                <c:pt idx="21">
                  <c:v>74.514883020433416</c:v>
                </c:pt>
                <c:pt idx="22">
                  <c:v>76.556801125692857</c:v>
                </c:pt>
                <c:pt idx="23">
                  <c:v>57.115896503667166</c:v>
                </c:pt>
                <c:pt idx="24">
                  <c:v>61.169105618276788</c:v>
                </c:pt>
                <c:pt idx="25">
                  <c:v>72.414126072113618</c:v>
                </c:pt>
                <c:pt idx="26">
                  <c:v>85.590886771920296</c:v>
                </c:pt>
                <c:pt idx="27">
                  <c:v>42.885005315405451</c:v>
                </c:pt>
                <c:pt idx="28" formatCode="0.00">
                  <c:v>44.712658799175117</c:v>
                </c:pt>
                <c:pt idx="29" formatCode="0.00">
                  <c:v>59.475526622835929</c:v>
                </c:pt>
                <c:pt idx="30" formatCode="0.00">
                  <c:v>64.433404061044953</c:v>
                </c:pt>
                <c:pt idx="31" formatCode="0.00">
                  <c:v>45.540021261621796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2E-479B-9C97-12B627FB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TrendAndSeasChopraMine!$I$1</c:f>
          <c:strCache>
            <c:ptCount val="1"/>
            <c:pt idx="0">
              <c:v>Ft (Stat.Reg)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TrendAndSeasChopraMine!$B$1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TrendAndSeasChopraMine!$A$3:$A$30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TrendAndSeasChopraMine!$B$3:$B$30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8-4239-A2CD-3973028C4AE9}"/>
            </c:ext>
          </c:extLst>
        </c:ser>
        <c:ser>
          <c:idx val="0"/>
          <c:order val="1"/>
          <c:tx>
            <c:strRef>
              <c:f>TrendAndSeasChopraMine!$M$1</c:f>
              <c:strCache>
                <c:ptCount val="1"/>
                <c:pt idx="0">
                  <c:v>Ft(TrSeasAdjExpSmoo</c:v>
                </c:pt>
              </c:strCache>
            </c:strRef>
          </c:tx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TrendAndSeasChopraMine!$A$3:$A$34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TrendAndSeasChopraMine!$I$3:$I$34</c:f>
              <c:numCache>
                <c:formatCode>0.00</c:formatCode>
                <c:ptCount val="32"/>
                <c:pt idx="0">
                  <c:v>27.474864240286269</c:v>
                </c:pt>
                <c:pt idx="1">
                  <c:v>37.222571176867334</c:v>
                </c:pt>
                <c:pt idx="2">
                  <c:v>41.029053287233381</c:v>
                </c:pt>
                <c:pt idx="3">
                  <c:v>29.476340867545851</c:v>
                </c:pt>
                <c:pt idx="4">
                  <c:v>31.818445307733892</c:v>
                </c:pt>
                <c:pt idx="5">
                  <c:v>42.88345899062093</c:v>
                </c:pt>
                <c:pt idx="6">
                  <c:v>47.040288633420154</c:v>
                </c:pt>
                <c:pt idx="7">
                  <c:v>33.642375770592636</c:v>
                </c:pt>
                <c:pt idx="8">
                  <c:v>36.162026375181505</c:v>
                </c:pt>
                <c:pt idx="9">
                  <c:v>48.544346804374527</c:v>
                </c:pt>
                <c:pt idx="10">
                  <c:v>53.051523979606927</c:v>
                </c:pt>
                <c:pt idx="11">
                  <c:v>37.808410673639422</c:v>
                </c:pt>
                <c:pt idx="12">
                  <c:v>40.505607442629127</c:v>
                </c:pt>
                <c:pt idx="13">
                  <c:v>54.205234618128138</c:v>
                </c:pt>
                <c:pt idx="14">
                  <c:v>59.062759325793706</c:v>
                </c:pt>
                <c:pt idx="15">
                  <c:v>41.974445576686215</c:v>
                </c:pt>
                <c:pt idx="16">
                  <c:v>44.849188510076743</c:v>
                </c:pt>
                <c:pt idx="17">
                  <c:v>59.866122431881735</c:v>
                </c:pt>
                <c:pt idx="18">
                  <c:v>65.073994671980486</c:v>
                </c:pt>
                <c:pt idx="19">
                  <c:v>46.140480479733</c:v>
                </c:pt>
                <c:pt idx="20">
                  <c:v>49.192769577524359</c:v>
                </c:pt>
                <c:pt idx="21">
                  <c:v>65.527010245635324</c:v>
                </c:pt>
                <c:pt idx="22">
                  <c:v>71.085230018167252</c:v>
                </c:pt>
                <c:pt idx="23">
                  <c:v>50.306515382779793</c:v>
                </c:pt>
                <c:pt idx="24">
                  <c:v>53.536350644971975</c:v>
                </c:pt>
                <c:pt idx="25">
                  <c:v>71.187898059388928</c:v>
                </c:pt>
                <c:pt idx="26">
                  <c:v>77.096465364354017</c:v>
                </c:pt>
                <c:pt idx="27">
                  <c:v>54.472550285826571</c:v>
                </c:pt>
                <c:pt idx="28">
                  <c:v>57.879931712419591</c:v>
                </c:pt>
                <c:pt idx="29">
                  <c:v>76.848785873142532</c:v>
                </c:pt>
                <c:pt idx="30">
                  <c:v>83.107700710540811</c:v>
                </c:pt>
                <c:pt idx="31">
                  <c:v>58.638585188873371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8-4239-A2CD-3973028C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49-4770-9043-EC3F4BAAB082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49-4770-9043-EC3F4BAA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2-4F8C-94D7-8AC28A960991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2-4F8C-94D7-8AC28A96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'1.Trend&amp;Season'!$B$4:$B$78</c:f>
              <c:numCache>
                <c:formatCode>0</c:formatCode>
                <c:ptCount val="75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'1.Trend&amp;Season'!$C$6:$C$29</c:f>
              <c:numCache>
                <c:formatCode>0</c:formatCode>
                <c:ptCount val="24"/>
                <c:pt idx="0">
                  <c:v>35</c:v>
                </c:pt>
                <c:pt idx="1">
                  <c:v>36.25</c:v>
                </c:pt>
                <c:pt idx="2">
                  <c:v>38.75</c:v>
                </c:pt>
                <c:pt idx="3">
                  <c:v>40.75</c:v>
                </c:pt>
                <c:pt idx="4">
                  <c:v>44.375</c:v>
                </c:pt>
                <c:pt idx="5">
                  <c:v>45.375</c:v>
                </c:pt>
                <c:pt idx="6">
                  <c:v>47.25</c:v>
                </c:pt>
                <c:pt idx="7">
                  <c:v>48.625</c:v>
                </c:pt>
                <c:pt idx="8">
                  <c:v>47.75</c:v>
                </c:pt>
                <c:pt idx="9">
                  <c:v>47.375</c:v>
                </c:pt>
                <c:pt idx="10">
                  <c:v>46.5</c:v>
                </c:pt>
                <c:pt idx="11">
                  <c:v>49</c:v>
                </c:pt>
                <c:pt idx="12">
                  <c:v>51.125</c:v>
                </c:pt>
                <c:pt idx="13">
                  <c:v>54</c:v>
                </c:pt>
                <c:pt idx="14">
                  <c:v>56.625</c:v>
                </c:pt>
                <c:pt idx="15">
                  <c:v>56</c:v>
                </c:pt>
                <c:pt idx="16">
                  <c:v>57.875</c:v>
                </c:pt>
                <c:pt idx="17">
                  <c:v>60.25</c:v>
                </c:pt>
                <c:pt idx="18">
                  <c:v>62.625</c:v>
                </c:pt>
                <c:pt idx="19">
                  <c:v>63</c:v>
                </c:pt>
                <c:pt idx="20">
                  <c:v>60.375</c:v>
                </c:pt>
                <c:pt idx="21">
                  <c:v>58.25</c:v>
                </c:pt>
                <c:pt idx="22">
                  <c:v>58.25</c:v>
                </c:pt>
                <c:pt idx="23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'1.Trend&amp;Season'!$C$3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'1.Trend&amp;Season'!$C$4:$C$31</c:f>
              <c:numCache>
                <c:formatCode>General</c:formatCode>
                <c:ptCount val="28"/>
                <c:pt idx="2" formatCode="0">
                  <c:v>35</c:v>
                </c:pt>
                <c:pt idx="3" formatCode="0">
                  <c:v>36.25</c:v>
                </c:pt>
                <c:pt idx="4" formatCode="0">
                  <c:v>38.75</c:v>
                </c:pt>
                <c:pt idx="5" formatCode="0">
                  <c:v>40.75</c:v>
                </c:pt>
                <c:pt idx="6" formatCode="0">
                  <c:v>44.375</c:v>
                </c:pt>
                <c:pt idx="7" formatCode="0">
                  <c:v>45.375</c:v>
                </c:pt>
                <c:pt idx="8" formatCode="0">
                  <c:v>47.25</c:v>
                </c:pt>
                <c:pt idx="9" formatCode="0">
                  <c:v>48.625</c:v>
                </c:pt>
                <c:pt idx="10" formatCode="0">
                  <c:v>47.75</c:v>
                </c:pt>
                <c:pt idx="11" formatCode="0">
                  <c:v>47.375</c:v>
                </c:pt>
                <c:pt idx="12" formatCode="0">
                  <c:v>46.5</c:v>
                </c:pt>
                <c:pt idx="13" formatCode="0">
                  <c:v>49</c:v>
                </c:pt>
                <c:pt idx="14" formatCode="0">
                  <c:v>51.125</c:v>
                </c:pt>
                <c:pt idx="15" formatCode="0">
                  <c:v>54</c:v>
                </c:pt>
                <c:pt idx="16" formatCode="0">
                  <c:v>56.625</c:v>
                </c:pt>
                <c:pt idx="17" formatCode="0">
                  <c:v>56</c:v>
                </c:pt>
                <c:pt idx="18" formatCode="0">
                  <c:v>57.875</c:v>
                </c:pt>
                <c:pt idx="19" formatCode="0">
                  <c:v>60.25</c:v>
                </c:pt>
                <c:pt idx="20" formatCode="0">
                  <c:v>62.625</c:v>
                </c:pt>
                <c:pt idx="21" formatCode="0">
                  <c:v>63</c:v>
                </c:pt>
                <c:pt idx="22" formatCode="0">
                  <c:v>60.375</c:v>
                </c:pt>
                <c:pt idx="23" formatCode="0">
                  <c:v>58.25</c:v>
                </c:pt>
                <c:pt idx="24" formatCode="0">
                  <c:v>58.25</c:v>
                </c:pt>
                <c:pt idx="25" formatCode="0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0-4FA6-9237-F53EFA3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'1.Trend&amp;Season'!$D$4:$D$31</c:f>
              <c:numCache>
                <c:formatCode>0.0</c:formatCode>
                <c:ptCount val="28"/>
                <c:pt idx="0">
                  <c:v>35.600289855072468</c:v>
                </c:pt>
                <c:pt idx="1">
                  <c:v>36.751811594202898</c:v>
                </c:pt>
                <c:pt idx="2">
                  <c:v>37.903333333333336</c:v>
                </c:pt>
                <c:pt idx="3">
                  <c:v>39.054855072463766</c:v>
                </c:pt>
                <c:pt idx="4">
                  <c:v>40.206376811594204</c:v>
                </c:pt>
                <c:pt idx="5">
                  <c:v>41.357898550724641</c:v>
                </c:pt>
                <c:pt idx="6">
                  <c:v>42.509420289855072</c:v>
                </c:pt>
                <c:pt idx="7">
                  <c:v>43.660942028985509</c:v>
                </c:pt>
                <c:pt idx="8">
                  <c:v>44.812463768115947</c:v>
                </c:pt>
                <c:pt idx="9">
                  <c:v>45.963985507246377</c:v>
                </c:pt>
                <c:pt idx="10">
                  <c:v>47.115507246376815</c:v>
                </c:pt>
                <c:pt idx="11">
                  <c:v>48.267028985507253</c:v>
                </c:pt>
                <c:pt idx="12">
                  <c:v>49.418550724637683</c:v>
                </c:pt>
                <c:pt idx="13">
                  <c:v>50.57007246376812</c:v>
                </c:pt>
                <c:pt idx="14">
                  <c:v>51.721594202898558</c:v>
                </c:pt>
                <c:pt idx="15">
                  <c:v>52.873115942028988</c:v>
                </c:pt>
                <c:pt idx="16">
                  <c:v>54.024637681159419</c:v>
                </c:pt>
                <c:pt idx="17">
                  <c:v>55.176159420289856</c:v>
                </c:pt>
                <c:pt idx="18">
                  <c:v>56.327681159420294</c:v>
                </c:pt>
                <c:pt idx="19">
                  <c:v>57.479202898550724</c:v>
                </c:pt>
                <c:pt idx="20">
                  <c:v>58.630724637681162</c:v>
                </c:pt>
                <c:pt idx="21">
                  <c:v>59.782246376811599</c:v>
                </c:pt>
                <c:pt idx="22">
                  <c:v>60.93376811594203</c:v>
                </c:pt>
                <c:pt idx="23">
                  <c:v>62.085289855072467</c:v>
                </c:pt>
                <c:pt idx="24">
                  <c:v>63.236811594202905</c:v>
                </c:pt>
                <c:pt idx="25">
                  <c:v>64.388333333333335</c:v>
                </c:pt>
                <c:pt idx="26">
                  <c:v>65.53985507246378</c:v>
                </c:pt>
                <c:pt idx="27">
                  <c:v>66.69137681159421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'1.Trend&amp;Season'!$B$4:$B$31</c:f>
              <c:numCache>
                <c:formatCode>0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'1.Trend&amp;Season'!$G$4:$G$83</c:f>
              <c:numCache>
                <c:formatCode>0.00</c:formatCode>
                <c:ptCount val="80"/>
                <c:pt idx="0">
                  <c:v>29.361217268185175</c:v>
                </c:pt>
                <c:pt idx="1">
                  <c:v>38.146208938257594</c:v>
                </c:pt>
                <c:pt idx="2">
                  <c:v>50.064698089078732</c:v>
                </c:pt>
                <c:pt idx="3">
                  <c:v>31.886742168009778</c:v>
                </c:pt>
                <c:pt idx="4">
                  <c:v>33.160071727998485</c:v>
                </c:pt>
                <c:pt idx="5">
                  <c:v>42.927055046507029</c:v>
                </c:pt>
                <c:pt idx="6">
                  <c:v>56.148657798435096</c:v>
                </c:pt>
                <c:pt idx="7">
                  <c:v>35.647429716677621</c:v>
                </c:pt>
                <c:pt idx="8">
                  <c:v>36.958926187811798</c:v>
                </c:pt>
                <c:pt idx="9">
                  <c:v>47.707901154756456</c:v>
                </c:pt>
                <c:pt idx="10">
                  <c:v>62.232617507791474</c:v>
                </c:pt>
                <c:pt idx="11">
                  <c:v>39.408117265345467</c:v>
                </c:pt>
                <c:pt idx="12">
                  <c:v>40.757780647625104</c:v>
                </c:pt>
                <c:pt idx="13">
                  <c:v>52.488747263005891</c:v>
                </c:pt>
                <c:pt idx="14">
                  <c:v>68.316577217147852</c:v>
                </c:pt>
                <c:pt idx="15">
                  <c:v>43.168804814013306</c:v>
                </c:pt>
                <c:pt idx="16">
                  <c:v>44.55663510743841</c:v>
                </c:pt>
                <c:pt idx="17">
                  <c:v>57.269593371255318</c:v>
                </c:pt>
                <c:pt idx="18">
                  <c:v>74.400536926504216</c:v>
                </c:pt>
                <c:pt idx="19">
                  <c:v>46.929492362681145</c:v>
                </c:pt>
                <c:pt idx="20">
                  <c:v>48.355489567251723</c:v>
                </c:pt>
                <c:pt idx="21">
                  <c:v>62.050439479504753</c:v>
                </c:pt>
                <c:pt idx="22">
                  <c:v>80.484496635860594</c:v>
                </c:pt>
                <c:pt idx="23">
                  <c:v>50.690179911348991</c:v>
                </c:pt>
                <c:pt idx="24">
                  <c:v>52.154344027065036</c:v>
                </c:pt>
                <c:pt idx="25">
                  <c:v>66.831285587754181</c:v>
                </c:pt>
                <c:pt idx="26">
                  <c:v>86.568456345216973</c:v>
                </c:pt>
                <c:pt idx="27">
                  <c:v>54.450867460016838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MultiRefSeas!#REF!</c:f>
          <c:strCache>
            <c:ptCount val="1"/>
            <c:pt idx="0">
              <c:v>#REF!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MultiRefSeas!$A$4:$A$31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MultiRefSeas!$F$4:$F$31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MultiRefSeas!#REF!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F7-4A09-8629-BC88CDEFF4FD}"/>
            </c:ext>
          </c:extLst>
        </c:ser>
        <c:ser>
          <c:idx val="0"/>
          <c:order val="1"/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MultiRefSeas!$A$4:$A$32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MultiRefSeas!$G$4:$G$32</c:f>
              <c:numCache>
                <c:formatCode>0.000000</c:formatCode>
                <c:ptCount val="29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54.383928571428562</c:v>
                </c:pt>
                <c:pt idx="3">
                  <c:v>29.098214285714285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59.160714285714278</c:v>
                </c:pt>
                <c:pt idx="7">
                  <c:v>33.875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63.937499999999986</c:v>
                </c:pt>
                <c:pt idx="11">
                  <c:v>38.651785714285715</c:v>
                </c:pt>
                <c:pt idx="12">
                  <c:v>40.857142857142854</c:v>
                </c:pt>
                <c:pt idx="13">
                  <c:v>52.571428571428569</c:v>
                </c:pt>
                <c:pt idx="14">
                  <c:v>68.714285714285708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48.205357142857139</c:v>
                </c:pt>
                <c:pt idx="20">
                  <c:v>50.410714285714285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55.187499999999993</c:v>
                </c:pt>
                <c:pt idx="25">
                  <c:v>66.901785714285708</c:v>
                </c:pt>
                <c:pt idx="26">
                  <c:v>83.044642857142847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MultiRefSeas!#REF!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F7-4A09-8629-BC88CDEFF4FD}"/>
            </c:ext>
          </c:extLst>
        </c:ser>
        <c:ser>
          <c:idx val="2"/>
          <c:order val="2"/>
          <c:xVal>
            <c:numRef>
              <c:f>MultiRefSeas!$A$4:$A$31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MultiRefSeas!$G$4:$G$31</c:f>
              <c:numCache>
                <c:formatCode>0.000000</c:formatCode>
                <c:ptCount val="28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54.383928571428562</c:v>
                </c:pt>
                <c:pt idx="3">
                  <c:v>29.098214285714285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59.160714285714278</c:v>
                </c:pt>
                <c:pt idx="7">
                  <c:v>33.875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63.937499999999986</c:v>
                </c:pt>
                <c:pt idx="11">
                  <c:v>38.651785714285715</c:v>
                </c:pt>
                <c:pt idx="12">
                  <c:v>40.857142857142854</c:v>
                </c:pt>
                <c:pt idx="13">
                  <c:v>52.571428571428569</c:v>
                </c:pt>
                <c:pt idx="14">
                  <c:v>68.714285714285708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48.205357142857139</c:v>
                </c:pt>
                <c:pt idx="20">
                  <c:v>50.410714285714285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55.187499999999993</c:v>
                </c:pt>
                <c:pt idx="25">
                  <c:v>66.901785714285708</c:v>
                </c:pt>
                <c:pt idx="26">
                  <c:v>83.044642857142847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7-4A09-8629-BC88CDEF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TrAdES!$N$1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TrAdES!$B$1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TrAdES!$B$3:$B$77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TrAdES!$E$1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TrAdES!$E$3:$E$78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TrAdES!$I$1:$I$2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TrAdES!$I$3:$I$77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2C5FDB-6293-47B9-BB4A-CDB6129B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E939318-BE16-4DA0-AD1E-F492EDBF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FC14422-0DB4-4630-B4CD-6E7080BC4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67D2386-A918-40E4-B753-3CE1CD3F4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196270</xdr:colOff>
      <xdr:row>14</xdr:row>
      <xdr:rowOff>101166</xdr:rowOff>
    </xdr:from>
    <xdr:to>
      <xdr:col>15</xdr:col>
      <xdr:colOff>340298</xdr:colOff>
      <xdr:row>29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344349</xdr:colOff>
      <xdr:row>8</xdr:row>
      <xdr:rowOff>148906</xdr:rowOff>
    </xdr:from>
    <xdr:to>
      <xdr:col>22</xdr:col>
      <xdr:colOff>181548</xdr:colOff>
      <xdr:row>24</xdr:row>
      <xdr:rowOff>6641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449293</xdr:colOff>
      <xdr:row>8</xdr:row>
      <xdr:rowOff>161746</xdr:rowOff>
    </xdr:from>
    <xdr:to>
      <xdr:col>29</xdr:col>
      <xdr:colOff>286492</xdr:colOff>
      <xdr:row>24</xdr:row>
      <xdr:rowOff>19481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40A042-748B-472C-A54B-90519C77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18</xdr:row>
      <xdr:rowOff>126675</xdr:rowOff>
    </xdr:from>
    <xdr:to>
      <xdr:col>2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477243</xdr:colOff>
      <xdr:row>0</xdr:row>
      <xdr:rowOff>151405</xdr:rowOff>
    </xdr:from>
    <xdr:to>
      <xdr:col>21</xdr:col>
      <xdr:colOff>238124</xdr:colOff>
      <xdr:row>19</xdr:row>
      <xdr:rowOff>19844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146662</xdr:colOff>
      <xdr:row>17</xdr:row>
      <xdr:rowOff>111088</xdr:rowOff>
    </xdr:from>
    <xdr:to>
      <xdr:col>15</xdr:col>
      <xdr:colOff>181549</xdr:colOff>
      <xdr:row>32</xdr:row>
      <xdr:rowOff>171568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17677</xdr:colOff>
      <xdr:row>6</xdr:row>
      <xdr:rowOff>170620</xdr:rowOff>
    </xdr:from>
    <xdr:to>
      <xdr:col>15</xdr:col>
      <xdr:colOff>141860</xdr:colOff>
      <xdr:row>22</xdr:row>
      <xdr:rowOff>22740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770945</xdr:colOff>
      <xdr:row>4</xdr:row>
      <xdr:rowOff>122200</xdr:rowOff>
    </xdr:from>
    <xdr:to>
      <xdr:col>23</xdr:col>
      <xdr:colOff>129160</xdr:colOff>
      <xdr:row>19</xdr:row>
      <xdr:rowOff>182680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FBAE6-0808-4C51-9B03-B313D49BE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685800</xdr:colOff>
      <xdr:row>26</xdr:row>
      <xdr:rowOff>114300</xdr:rowOff>
    </xdr:from>
    <xdr:to>
      <xdr:col>18</xdr:col>
      <xdr:colOff>132915</xdr:colOff>
      <xdr:row>42</xdr:row>
      <xdr:rowOff>162080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B3E69-AA9F-4A58-ABEF-FB9EBF9E9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0210C6-304D-4D13-9609-A4AA46B56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B1F4EA-C8D8-4808-933F-7451A5A53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146661</xdr:colOff>
      <xdr:row>0</xdr:row>
      <xdr:rowOff>71401</xdr:rowOff>
    </xdr:from>
    <xdr:to>
      <xdr:col>25</xdr:col>
      <xdr:colOff>22798</xdr:colOff>
      <xdr:row>15</xdr:row>
      <xdr:rowOff>141802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559CB-E64E-47FC-B736-BE5F613C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1610</xdr:colOff>
      <xdr:row>19</xdr:row>
      <xdr:rowOff>9496</xdr:rowOff>
    </xdr:from>
    <xdr:to>
      <xdr:col>30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153566</xdr:colOff>
      <xdr:row>2</xdr:row>
      <xdr:rowOff>3693</xdr:rowOff>
    </xdr:from>
    <xdr:to>
      <xdr:col>29</xdr:col>
      <xdr:colOff>439316</xdr:colOff>
      <xdr:row>18</xdr:row>
      <xdr:rowOff>103219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tabSelected="1" zoomScale="96" zoomScaleNormal="96" workbookViewId="0">
      <selection activeCell="Q13" sqref="Q13"/>
    </sheetView>
  </sheetViews>
  <sheetFormatPr defaultColWidth="9.140625" defaultRowHeight="13.5" x14ac:dyDescent="0.25"/>
  <cols>
    <col min="1" max="1" width="4.5703125" style="57" bestFit="1" customWidth="1"/>
    <col min="2" max="2" width="9.7109375" style="57" bestFit="1" customWidth="1"/>
    <col min="3" max="3" width="6.7109375" style="57" bestFit="1" customWidth="1"/>
    <col min="4" max="4" width="11.7109375" style="57" bestFit="1" customWidth="1"/>
    <col min="5" max="5" width="14.140625" style="65" bestFit="1" customWidth="1"/>
    <col min="6" max="6" width="13" style="57" customWidth="1"/>
    <col min="7" max="8" width="5.85546875" style="57" customWidth="1"/>
    <col min="9" max="9" width="9.7109375" style="57" customWidth="1"/>
    <col min="10" max="10" width="6" style="57" bestFit="1" customWidth="1"/>
    <col min="11" max="11" width="4.85546875" style="57" bestFit="1" customWidth="1"/>
    <col min="12" max="12" width="8.7109375" style="57" bestFit="1" customWidth="1"/>
    <col min="13" max="13" width="9.140625" style="57"/>
    <col min="14" max="14" width="12.140625" style="57" bestFit="1" customWidth="1"/>
    <col min="15" max="15" width="13.85546875" style="57" bestFit="1" customWidth="1"/>
    <col min="16" max="16" width="12.42578125" style="57" bestFit="1" customWidth="1"/>
    <col min="17" max="17" width="12.140625" style="57" bestFit="1" customWidth="1"/>
    <col min="18" max="21" width="9.28515625" style="57" bestFit="1" customWidth="1"/>
    <col min="22" max="23" width="9.140625" style="57"/>
    <col min="24" max="24" width="9.28515625" style="57" bestFit="1" customWidth="1"/>
    <col min="25" max="35" width="9.140625" style="57"/>
    <col min="36" max="36" width="9.140625" style="57" customWidth="1"/>
    <col min="37" max="39" width="9.140625" style="57"/>
    <col min="40" max="40" width="9.28515625" style="57" bestFit="1" customWidth="1"/>
    <col min="41" max="41" width="14" style="57" customWidth="1"/>
    <col min="42" max="42" width="12.28515625" style="57" customWidth="1"/>
    <col min="43" max="43" width="10.140625" style="57" bestFit="1" customWidth="1"/>
    <col min="44" max="44" width="10.140625" style="57" customWidth="1"/>
    <col min="45" max="47" width="9.28515625" style="57" customWidth="1"/>
    <col min="48" max="48" width="9.28515625" style="57" bestFit="1" customWidth="1"/>
    <col min="49" max="49" width="12.28515625" style="57" bestFit="1" customWidth="1"/>
    <col min="50" max="16384" width="9.140625" style="57"/>
  </cols>
  <sheetData>
    <row r="1" spans="1:55" ht="17.25" thickBot="1" x14ac:dyDescent="0.35">
      <c r="A1" s="50" t="s">
        <v>17</v>
      </c>
      <c r="B1" s="51"/>
      <c r="C1" s="52"/>
      <c r="D1" s="51"/>
      <c r="E1" s="53"/>
      <c r="F1" s="54" t="s">
        <v>5</v>
      </c>
      <c r="G1" s="54" t="s">
        <v>6</v>
      </c>
      <c r="H1" s="55" t="s">
        <v>7</v>
      </c>
      <c r="I1" s="120" t="s">
        <v>8</v>
      </c>
      <c r="J1" s="56" t="s">
        <v>9</v>
      </c>
      <c r="K1" s="56" t="s">
        <v>10</v>
      </c>
      <c r="L1" s="56" t="s">
        <v>11</v>
      </c>
      <c r="N1" s="96" t="s">
        <v>68</v>
      </c>
      <c r="O1" s="98" t="s">
        <v>69</v>
      </c>
      <c r="P1" s="97" t="s">
        <v>70</v>
      </c>
      <c r="Q1" s="97" t="s">
        <v>71</v>
      </c>
      <c r="R1" s="97" t="s">
        <v>101</v>
      </c>
      <c r="S1" s="58" t="s">
        <v>23</v>
      </c>
      <c r="AN1" s="59" t="s">
        <v>18</v>
      </c>
      <c r="AO1" s="59"/>
      <c r="AP1" s="59"/>
      <c r="AQ1" s="60">
        <v>25</v>
      </c>
      <c r="AR1" s="60"/>
      <c r="AS1" s="60">
        <v>5</v>
      </c>
      <c r="AT1" s="60"/>
      <c r="AU1" s="60"/>
      <c r="AW1" s="60"/>
      <c r="AX1" s="49"/>
    </row>
    <row r="2" spans="1:55" ht="17.25" thickBot="1" x14ac:dyDescent="0.35">
      <c r="A2" s="61" t="s">
        <v>4</v>
      </c>
      <c r="B2" s="62" t="s">
        <v>103</v>
      </c>
      <c r="C2" s="148" t="s">
        <v>19</v>
      </c>
      <c r="D2" s="144" t="s">
        <v>22</v>
      </c>
      <c r="E2" s="146" t="s">
        <v>104</v>
      </c>
      <c r="F2" s="66" t="str">
        <f>G2&amp;" - "&amp;H2</f>
        <v>21 - 28</v>
      </c>
      <c r="G2" s="67">
        <f>Y4</f>
        <v>21</v>
      </c>
      <c r="H2" s="68">
        <f t="shared" ref="H2:H14" si="0">G2+$Y$3</f>
        <v>28</v>
      </c>
      <c r="I2" s="121">
        <f t="shared" ref="I2:I14" si="1">COUNTIF($B$3:$B$34, "&lt;"&amp;H2)</f>
        <v>1</v>
      </c>
      <c r="J2" s="69">
        <f>I2</f>
        <v>1</v>
      </c>
      <c r="K2" s="70">
        <f t="shared" ref="K2:K14" si="2">J2/$J$15</f>
        <v>3.5714285714285712E-2</v>
      </c>
      <c r="L2" s="71">
        <f t="shared" ref="L2:L14" si="3">I2/$J$15</f>
        <v>3.5714285714285712E-2</v>
      </c>
      <c r="N2" s="90" t="s">
        <v>12</v>
      </c>
      <c r="O2" s="93">
        <f>AVERAGE($B$3:$B$34)</f>
        <v>51.392857142857146</v>
      </c>
      <c r="P2" s="93">
        <f>AVERAGE($B$3:$B$34)</f>
        <v>51.392857142857146</v>
      </c>
      <c r="Q2" s="93">
        <f>AVERAGE($B$3:$B$34)</f>
        <v>51.392857142857146</v>
      </c>
      <c r="R2" s="93">
        <f>AVERAGE($D$3:$D$34)</f>
        <v>51.392857142857146</v>
      </c>
      <c r="V2" s="57" t="s">
        <v>83</v>
      </c>
      <c r="Y2" s="57">
        <f>ROUND(O6/10,0)</f>
        <v>7</v>
      </c>
      <c r="AN2" s="60"/>
      <c r="AO2" s="60" t="s">
        <v>96</v>
      </c>
      <c r="AP2" s="60" t="s">
        <v>97</v>
      </c>
      <c r="AQ2" s="49" t="s">
        <v>20</v>
      </c>
      <c r="AR2" s="49" t="s">
        <v>107</v>
      </c>
      <c r="AS2" s="64" t="s">
        <v>105</v>
      </c>
      <c r="AT2" s="49" t="s">
        <v>99</v>
      </c>
      <c r="AU2" s="62" t="s">
        <v>100</v>
      </c>
      <c r="AV2" s="63" t="s">
        <v>19</v>
      </c>
      <c r="AW2" s="57" t="s">
        <v>102</v>
      </c>
    </row>
    <row r="3" spans="1:55" ht="17.25" thickBot="1" x14ac:dyDescent="0.35">
      <c r="A3" s="5">
        <v>1</v>
      </c>
      <c r="B3" s="72">
        <v>50</v>
      </c>
      <c r="C3" s="73">
        <v>25</v>
      </c>
      <c r="D3" s="145">
        <v>33</v>
      </c>
      <c r="E3" s="147">
        <v>39</v>
      </c>
      <c r="F3" s="75" t="str">
        <f t="shared" ref="F3:F14" si="4">G3&amp;" - "&amp;H3</f>
        <v>28 - 35</v>
      </c>
      <c r="G3" s="76">
        <f>H2</f>
        <v>28</v>
      </c>
      <c r="H3" s="77">
        <f t="shared" si="0"/>
        <v>35</v>
      </c>
      <c r="I3" s="121">
        <f t="shared" si="1"/>
        <v>4</v>
      </c>
      <c r="J3" s="78">
        <f>I3-I2</f>
        <v>3</v>
      </c>
      <c r="K3" s="79">
        <f t="shared" si="2"/>
        <v>0.10714285714285714</v>
      </c>
      <c r="L3" s="80">
        <f t="shared" si="3"/>
        <v>0.14285714285714285</v>
      </c>
      <c r="N3" s="113" t="s">
        <v>80</v>
      </c>
      <c r="O3" s="119">
        <f>MEDIAN(B$3:B$34)</f>
        <v>49</v>
      </c>
      <c r="P3" s="119">
        <f>MEDIAN(C$3:C$34)</f>
        <v>49</v>
      </c>
      <c r="Q3" s="119">
        <f>MEDIAN(D$3:D$34)</f>
        <v>49</v>
      </c>
      <c r="R3" s="119">
        <f>MEDIAN(E$3:E$34)</f>
        <v>49</v>
      </c>
      <c r="V3" s="57" t="s">
        <v>84</v>
      </c>
      <c r="Y3" s="57">
        <f>ROUND(Y2,-LEN(Y2)+1)</f>
        <v>7</v>
      </c>
      <c r="AN3" s="60">
        <v>1</v>
      </c>
      <c r="AO3" s="60">
        <f ca="1">ABS(_xlfn.NORM.INV(RAND(),$AQ$1,$AS$1))</f>
        <v>12.768489818347039</v>
      </c>
      <c r="AP3" s="60">
        <f ca="1">SMALL($AO$3:$AO$30,ROWS(AO$3:AO3))</f>
        <v>12.768489818347039</v>
      </c>
      <c r="AQ3" s="81">
        <f ca="1">AR3+RAND()</f>
        <v>1.4337835140983608</v>
      </c>
      <c r="AR3" s="81">
        <v>1</v>
      </c>
      <c r="AS3" s="49">
        <f ca="1">ROUNDUP(AP3*AQ3,0)</f>
        <v>19</v>
      </c>
      <c r="AT3" s="49">
        <f ca="1">RAND()</f>
        <v>0.21630248251212336</v>
      </c>
      <c r="AU3" s="49">
        <f ca="1">INDEX($AS$3:$AS$30,MATCH(SMALL($AT$3:$AT$30,ROWS(AT$3:AT3)),$AT$3:$AT$30,0))</f>
        <v>70</v>
      </c>
      <c r="AV3" s="49">
        <f ca="1">SMALL($AS$3:$AS$30,ROWS(AV$3:AV3))</f>
        <v>19</v>
      </c>
      <c r="AW3" s="57">
        <f ca="1">VLOOKUP(SMALL($BB$3:$BB$16,AX3),$BB$3:$BC$30,2,0)</f>
        <v>26</v>
      </c>
      <c r="AX3" s="57">
        <v>1</v>
      </c>
      <c r="BA3" s="57">
        <v>1</v>
      </c>
      <c r="BB3" s="57">
        <f ca="1">RAND()</f>
        <v>0.2722690682865484</v>
      </c>
      <c r="BC3" s="57">
        <f ca="1">AV3</f>
        <v>19</v>
      </c>
    </row>
    <row r="4" spans="1:55" ht="17.25" thickBot="1" x14ac:dyDescent="0.35">
      <c r="A4" s="5">
        <v>2</v>
      </c>
      <c r="B4" s="72">
        <v>25</v>
      </c>
      <c r="C4" s="73">
        <v>28</v>
      </c>
      <c r="D4" s="145">
        <v>35</v>
      </c>
      <c r="E4" s="147">
        <v>67</v>
      </c>
      <c r="F4" s="75" t="str">
        <f t="shared" si="4"/>
        <v>35 - 42</v>
      </c>
      <c r="G4" s="76">
        <f t="shared" ref="G4:G13" si="5">H3</f>
        <v>35</v>
      </c>
      <c r="H4" s="77">
        <f t="shared" si="0"/>
        <v>42</v>
      </c>
      <c r="I4" s="121">
        <f t="shared" si="1"/>
        <v>9</v>
      </c>
      <c r="J4" s="78">
        <f t="shared" ref="J4:J14" si="6">I4-I3</f>
        <v>5</v>
      </c>
      <c r="K4" s="79">
        <f t="shared" si="2"/>
        <v>0.17857142857142858</v>
      </c>
      <c r="L4" s="80">
        <f t="shared" si="3"/>
        <v>0.32142857142857145</v>
      </c>
      <c r="N4" s="91" t="s">
        <v>13</v>
      </c>
      <c r="O4" s="94">
        <f>MAX(B$3:B$34)</f>
        <v>90</v>
      </c>
      <c r="P4" s="94">
        <f>MAX(C$3:C$34)</f>
        <v>90</v>
      </c>
      <c r="Q4" s="94">
        <f>MAX(D$3:D$34)</f>
        <v>90</v>
      </c>
      <c r="R4" s="94">
        <f>MAX(E$3:E$34)</f>
        <v>90</v>
      </c>
      <c r="V4" s="57" t="s">
        <v>85</v>
      </c>
      <c r="Y4" s="57">
        <f>Y3*INT(O5/Y3)</f>
        <v>21</v>
      </c>
      <c r="AN4" s="60">
        <v>2</v>
      </c>
      <c r="AO4" s="60">
        <f t="shared" ref="AO4:AO30" ca="1" si="7">ABS(_xlfn.NORM.INV(RAND(),$AQ$1,$AS$1))</f>
        <v>25.470262116301278</v>
      </c>
      <c r="AP4" s="60">
        <f ca="1">SMALL($AO$3:$AO$30,ROWS(AO$3:AO4))</f>
        <v>14.260408902522176</v>
      </c>
      <c r="AQ4" s="81">
        <f t="shared" ref="AQ4:AQ30" ca="1" si="8">AR4+RAND()</f>
        <v>1.8391929561507416</v>
      </c>
      <c r="AR4" s="81">
        <v>1.5</v>
      </c>
      <c r="AS4" s="49">
        <f t="shared" ref="AS4:AS30" ca="1" si="9">ROUNDUP(AP4*AQ4,0)</f>
        <v>27</v>
      </c>
      <c r="AT4" s="49">
        <f t="shared" ref="AT4:AT30" ca="1" si="10">RAND()</f>
        <v>0.6215289669613081</v>
      </c>
      <c r="AU4" s="49">
        <f ca="1">INDEX($AS$3:$AS$30,MATCH(SMALL($AT$3:$AT$30,ROWS(AT$3:AT4)),$AT$3:$AT$30,0))</f>
        <v>41</v>
      </c>
      <c r="AV4" s="49">
        <f ca="1">SMALL($AS$3:$AS$30,ROWS(AV$3:AV4))</f>
        <v>19</v>
      </c>
      <c r="AW4" s="57">
        <f ca="1">VLOOKUP(SMALL($BB$17:$BB$30,AX4),$BB$17:$BC$30,2,0)</f>
        <v>57</v>
      </c>
      <c r="AX4" s="57">
        <v>1</v>
      </c>
      <c r="BA4" s="57">
        <v>2</v>
      </c>
      <c r="BB4" s="57">
        <f t="shared" ref="BB4:BB30" ca="1" si="11">RAND()</f>
        <v>0.42951183977177732</v>
      </c>
      <c r="BC4" s="57">
        <f t="shared" ref="BC4:BC30" ca="1" si="12">AV4</f>
        <v>19</v>
      </c>
    </row>
    <row r="5" spans="1:55" ht="17.25" thickBot="1" x14ac:dyDescent="0.35">
      <c r="A5" s="5">
        <v>3</v>
      </c>
      <c r="B5" s="72">
        <v>33</v>
      </c>
      <c r="C5" s="73">
        <v>31</v>
      </c>
      <c r="D5" s="145">
        <v>48</v>
      </c>
      <c r="E5" s="147">
        <v>50</v>
      </c>
      <c r="F5" s="75" t="str">
        <f t="shared" si="4"/>
        <v>42 - 49</v>
      </c>
      <c r="G5" s="76">
        <f t="shared" si="5"/>
        <v>42</v>
      </c>
      <c r="H5" s="77">
        <f t="shared" si="0"/>
        <v>49</v>
      </c>
      <c r="I5" s="121">
        <f t="shared" si="1"/>
        <v>14</v>
      </c>
      <c r="J5" s="78">
        <f t="shared" si="6"/>
        <v>5</v>
      </c>
      <c r="K5" s="79">
        <f t="shared" si="2"/>
        <v>0.17857142857142858</v>
      </c>
      <c r="L5" s="80">
        <f t="shared" si="3"/>
        <v>0.5</v>
      </c>
      <c r="N5" s="91" t="s">
        <v>14</v>
      </c>
      <c r="O5" s="94">
        <f>MIN(B$3:B$34)</f>
        <v>25</v>
      </c>
      <c r="P5" s="94">
        <f>MIN(C$3:C$34)</f>
        <v>25</v>
      </c>
      <c r="Q5" s="94">
        <f>MIN(D$3:D$34)</f>
        <v>25</v>
      </c>
      <c r="R5" s="94">
        <f>MIN(E$3:E$34)</f>
        <v>25</v>
      </c>
      <c r="V5" s="57" t="s">
        <v>82</v>
      </c>
      <c r="Y5" s="57">
        <f>ROUNDUP(O4/Y3,0)</f>
        <v>13</v>
      </c>
      <c r="AN5" s="60">
        <v>3</v>
      </c>
      <c r="AO5" s="60">
        <f t="shared" ca="1" si="7"/>
        <v>30.171668606758814</v>
      </c>
      <c r="AP5" s="60">
        <f ca="1">SMALL($AO$3:$AO$30,ROWS(AO$3:AO5))</f>
        <v>16.318750629187818</v>
      </c>
      <c r="AQ5" s="81">
        <f t="shared" ca="1" si="8"/>
        <v>2.4563206704920848</v>
      </c>
      <c r="AR5" s="81">
        <v>2</v>
      </c>
      <c r="AS5" s="49">
        <f t="shared" ca="1" si="9"/>
        <v>41</v>
      </c>
      <c r="AT5" s="49">
        <f t="shared" ca="1" si="10"/>
        <v>3.2024466142225316E-2</v>
      </c>
      <c r="AU5" s="49">
        <f ca="1">INDEX($AS$3:$AS$30,MATCH(SMALL($AT$3:$AT$30,ROWS(AT$3:AT5)),$AT$3:$AT$30,0))</f>
        <v>56</v>
      </c>
      <c r="AV5" s="49">
        <f ca="1">SMALL($AS$3:$AS$30,ROWS(AV$3:AV5))</f>
        <v>26</v>
      </c>
      <c r="AW5" s="57">
        <f ca="1">VLOOKUP(SMALL($BB$17:$BB$30,AX5),$BB$17:$BC$30,2,0)</f>
        <v>45</v>
      </c>
      <c r="AX5" s="57">
        <v>2</v>
      </c>
      <c r="BA5" s="57">
        <v>3</v>
      </c>
      <c r="BB5" s="57">
        <f t="shared" ca="1" si="11"/>
        <v>0.84320288662020282</v>
      </c>
      <c r="BC5" s="57">
        <f t="shared" ca="1" si="12"/>
        <v>26</v>
      </c>
    </row>
    <row r="6" spans="1:55" ht="17.25" thickBot="1" x14ac:dyDescent="0.35">
      <c r="A6" s="5">
        <v>4</v>
      </c>
      <c r="B6" s="72">
        <v>72</v>
      </c>
      <c r="C6" s="73">
        <v>33</v>
      </c>
      <c r="D6" s="145">
        <v>28</v>
      </c>
      <c r="E6" s="147">
        <v>35</v>
      </c>
      <c r="F6" s="75" t="str">
        <f t="shared" si="4"/>
        <v>49 - 56</v>
      </c>
      <c r="G6" s="76">
        <f t="shared" si="5"/>
        <v>49</v>
      </c>
      <c r="H6" s="77">
        <f t="shared" si="0"/>
        <v>56</v>
      </c>
      <c r="I6" s="121">
        <f t="shared" si="1"/>
        <v>18</v>
      </c>
      <c r="J6" s="78">
        <f t="shared" si="6"/>
        <v>4</v>
      </c>
      <c r="K6" s="79">
        <f t="shared" si="2"/>
        <v>0.14285714285714285</v>
      </c>
      <c r="L6" s="80">
        <f t="shared" si="3"/>
        <v>0.6428571428571429</v>
      </c>
      <c r="N6" s="91" t="s">
        <v>5</v>
      </c>
      <c r="O6" s="94">
        <f>O4-O5</f>
        <v>65</v>
      </c>
      <c r="P6" s="94">
        <f t="shared" ref="P6:R6" si="13">P4-P5</f>
        <v>65</v>
      </c>
      <c r="Q6" s="94">
        <f t="shared" si="13"/>
        <v>65</v>
      </c>
      <c r="R6" s="94">
        <f t="shared" si="13"/>
        <v>65</v>
      </c>
      <c r="V6" s="65" t="s">
        <v>86</v>
      </c>
      <c r="W6" s="65"/>
      <c r="X6" s="65"/>
      <c r="Y6" s="57">
        <f>Y5*Y3</f>
        <v>91</v>
      </c>
      <c r="AN6" s="60">
        <v>4</v>
      </c>
      <c r="AO6" s="60">
        <f t="shared" ca="1" si="7"/>
        <v>28.442483007048867</v>
      </c>
      <c r="AP6" s="60">
        <f ca="1">SMALL($AO$3:$AO$30,ROWS(AO$3:AO6))</f>
        <v>16.703660340450771</v>
      </c>
      <c r="AQ6" s="81">
        <f t="shared" ca="1" si="8"/>
        <v>1.6576803959212927</v>
      </c>
      <c r="AR6" s="81">
        <v>1</v>
      </c>
      <c r="AS6" s="49">
        <f t="shared" ca="1" si="9"/>
        <v>28</v>
      </c>
      <c r="AT6" s="49">
        <f t="shared" ca="1" si="10"/>
        <v>0.94279914071616844</v>
      </c>
      <c r="AU6" s="49">
        <f ca="1">INDEX($AS$3:$AS$30,MATCH(SMALL($AT$3:$AT$30,ROWS(AT$3:AT6)),$AT$3:$AT$30,0))</f>
        <v>57</v>
      </c>
      <c r="AV6" s="49">
        <f ca="1">SMALL($AS$3:$AS$30,ROWS(AV$3:AV6))</f>
        <v>26</v>
      </c>
      <c r="AW6" s="57">
        <f ca="1">VLOOKUP(SMALL($BB$3:$BB$16,AX6),$BB$3:$BC$30,2,0)</f>
        <v>29</v>
      </c>
      <c r="AX6" s="57">
        <v>2</v>
      </c>
      <c r="BA6" s="57">
        <v>4</v>
      </c>
      <c r="BB6" s="57">
        <f t="shared" ca="1" si="11"/>
        <v>0.16045489365415611</v>
      </c>
      <c r="BC6" s="57">
        <f t="shared" ca="1" si="12"/>
        <v>26</v>
      </c>
    </row>
    <row r="7" spans="1:55" ht="17.25" thickBot="1" x14ac:dyDescent="0.35">
      <c r="A7" s="5">
        <v>5</v>
      </c>
      <c r="B7" s="72">
        <v>67</v>
      </c>
      <c r="C7" s="73">
        <v>35</v>
      </c>
      <c r="D7" s="145">
        <v>25</v>
      </c>
      <c r="E7" s="147">
        <v>28</v>
      </c>
      <c r="F7" s="75" t="str">
        <f t="shared" si="4"/>
        <v>56 - 63</v>
      </c>
      <c r="G7" s="76">
        <f t="shared" si="5"/>
        <v>56</v>
      </c>
      <c r="H7" s="77">
        <f t="shared" si="0"/>
        <v>63</v>
      </c>
      <c r="I7" s="121">
        <f t="shared" si="1"/>
        <v>21</v>
      </c>
      <c r="J7" s="78">
        <f t="shared" si="6"/>
        <v>3</v>
      </c>
      <c r="K7" s="79">
        <f t="shared" si="2"/>
        <v>0.10714285714285714</v>
      </c>
      <c r="L7" s="80">
        <f t="shared" si="3"/>
        <v>0.75</v>
      </c>
      <c r="N7" s="91" t="s">
        <v>15</v>
      </c>
      <c r="O7" s="94">
        <f>_xlfn.STDEV.S(B$3:B$34)</f>
        <v>16.398598146305705</v>
      </c>
      <c r="P7" s="94">
        <f>_xlfn.STDEV.S(C$3:C$34)</f>
        <v>16.398598146305705</v>
      </c>
      <c r="Q7" s="94">
        <f>_xlfn.STDEV.S(D$3:D$34)</f>
        <v>16.398598146305705</v>
      </c>
      <c r="R7" s="94">
        <f>_xlfn.STDEV.S(E$3:E$34)</f>
        <v>16.398598146305705</v>
      </c>
      <c r="V7" s="57" t="s">
        <v>87</v>
      </c>
      <c r="Y7" s="57">
        <v>4</v>
      </c>
      <c r="AN7" s="60">
        <v>5</v>
      </c>
      <c r="AO7" s="60">
        <f t="shared" ca="1" si="7"/>
        <v>25.039612729463627</v>
      </c>
      <c r="AP7" s="60">
        <f ca="1">SMALL($AO$3:$AO$30,ROWS(AO$3:AO7))</f>
        <v>16.724496369749183</v>
      </c>
      <c r="AQ7" s="81">
        <f t="shared" ca="1" si="8"/>
        <v>1.1102890297432515</v>
      </c>
      <c r="AR7" s="81">
        <f>AR3</f>
        <v>1</v>
      </c>
      <c r="AS7" s="49">
        <f t="shared" ca="1" si="9"/>
        <v>19</v>
      </c>
      <c r="AT7" s="49">
        <f t="shared" ca="1" si="10"/>
        <v>0.1700979076579745</v>
      </c>
      <c r="AU7" s="49">
        <f ca="1">INDEX($AS$3:$AS$30,MATCH(SMALL($AT$3:$AT$30,ROWS(AT$3:AT7)),$AT$3:$AT$30,0))</f>
        <v>62</v>
      </c>
      <c r="AV7" s="49">
        <f ca="1">SMALL($AS$3:$AS$30,ROWS(AV$3:AV7))</f>
        <v>27</v>
      </c>
      <c r="AW7" s="57">
        <f ca="1">VLOOKUP(SMALL($BB$3:$BB$16,AX7),$BB$3:$BC$30,2,0)</f>
        <v>36</v>
      </c>
      <c r="AX7" s="57">
        <f>2+AX3</f>
        <v>3</v>
      </c>
      <c r="BA7" s="57">
        <v>5</v>
      </c>
      <c r="BB7" s="57">
        <f t="shared" ca="1" si="11"/>
        <v>0.90564450557758558</v>
      </c>
      <c r="BC7" s="57">
        <f t="shared" ca="1" si="12"/>
        <v>27</v>
      </c>
    </row>
    <row r="8" spans="1:55" ht="17.25" thickBot="1" x14ac:dyDescent="0.35">
      <c r="A8" s="5">
        <v>6</v>
      </c>
      <c r="B8" s="72">
        <v>35</v>
      </c>
      <c r="C8" s="73">
        <v>39</v>
      </c>
      <c r="D8" s="145">
        <v>53</v>
      </c>
      <c r="E8" s="147">
        <v>61</v>
      </c>
      <c r="F8" s="75" t="str">
        <f t="shared" si="4"/>
        <v>63 - 70</v>
      </c>
      <c r="G8" s="76">
        <f t="shared" si="5"/>
        <v>63</v>
      </c>
      <c r="H8" s="77">
        <f t="shared" si="0"/>
        <v>70</v>
      </c>
      <c r="I8" s="121">
        <f t="shared" si="1"/>
        <v>24</v>
      </c>
      <c r="J8" s="78">
        <f t="shared" si="6"/>
        <v>3</v>
      </c>
      <c r="K8" s="79">
        <f t="shared" si="2"/>
        <v>0.10714285714285714</v>
      </c>
      <c r="L8" s="80">
        <f t="shared" si="3"/>
        <v>0.8571428571428571</v>
      </c>
      <c r="N8" s="91" t="s">
        <v>16</v>
      </c>
      <c r="O8" s="94">
        <f>O7/O2</f>
        <v>0.3190832161894091</v>
      </c>
      <c r="P8" s="94">
        <f t="shared" ref="P8:R8" si="14">P7/P2</f>
        <v>0.3190832161894091</v>
      </c>
      <c r="Q8" s="94">
        <f t="shared" si="14"/>
        <v>0.3190832161894091</v>
      </c>
      <c r="R8" s="94">
        <f t="shared" si="14"/>
        <v>0.3190832161894091</v>
      </c>
      <c r="AN8" s="60">
        <v>6</v>
      </c>
      <c r="AO8" s="60">
        <f t="shared" ca="1" si="7"/>
        <v>26.922476411271091</v>
      </c>
      <c r="AP8" s="60">
        <f ca="1">SMALL($AO$3:$AO$30,ROWS(AO$3:AO8))</f>
        <v>17.591376296206256</v>
      </c>
      <c r="AQ8" s="81">
        <f t="shared" ca="1" si="8"/>
        <v>1.7019067088102764</v>
      </c>
      <c r="AR8" s="81">
        <f t="shared" ref="AR8:AR30" si="15">AR4</f>
        <v>1.5</v>
      </c>
      <c r="AS8" s="49">
        <f t="shared" ca="1" si="9"/>
        <v>30</v>
      </c>
      <c r="AT8" s="49">
        <f t="shared" ca="1" si="10"/>
        <v>0.87055918272858157</v>
      </c>
      <c r="AU8" s="49">
        <f ca="1">INDEX($AS$3:$AS$30,MATCH(SMALL($AT$3:$AT$30,ROWS(AT$3:AT8)),$AT$3:$AT$30,0))</f>
        <v>62</v>
      </c>
      <c r="AV8" s="49">
        <f ca="1">SMALL($AS$3:$AS$30,ROWS(AV$3:AV8))</f>
        <v>28</v>
      </c>
      <c r="AW8" s="57">
        <f ca="1">VLOOKUP(SMALL($BB$17:$BB$30,AX8),$BB$17:$BC$30,2,0)</f>
        <v>62</v>
      </c>
      <c r="AX8" s="57">
        <f>2+AX4</f>
        <v>3</v>
      </c>
      <c r="BA8" s="57">
        <v>6</v>
      </c>
      <c r="BB8" s="57">
        <f t="shared" ca="1" si="11"/>
        <v>0.40674092918309923</v>
      </c>
      <c r="BC8" s="57">
        <f t="shared" ca="1" si="12"/>
        <v>28</v>
      </c>
    </row>
    <row r="9" spans="1:55" ht="17.25" thickBot="1" x14ac:dyDescent="0.35">
      <c r="A9" s="5">
        <v>7</v>
      </c>
      <c r="B9" s="72">
        <v>42</v>
      </c>
      <c r="C9" s="73">
        <v>39</v>
      </c>
      <c r="D9" s="145">
        <v>50</v>
      </c>
      <c r="E9" s="147">
        <v>51</v>
      </c>
      <c r="F9" s="75" t="str">
        <f t="shared" si="4"/>
        <v>70 - 77</v>
      </c>
      <c r="G9" s="76">
        <f t="shared" si="5"/>
        <v>70</v>
      </c>
      <c r="H9" s="77">
        <f t="shared" si="0"/>
        <v>77</v>
      </c>
      <c r="I9" s="121">
        <f t="shared" si="1"/>
        <v>26</v>
      </c>
      <c r="J9" s="78">
        <f t="shared" si="6"/>
        <v>2</v>
      </c>
      <c r="K9" s="79">
        <f t="shared" si="2"/>
        <v>7.1428571428571425E-2</v>
      </c>
      <c r="L9" s="80">
        <f t="shared" si="3"/>
        <v>0.9285714285714286</v>
      </c>
      <c r="N9" s="113" t="s">
        <v>81</v>
      </c>
      <c r="O9" s="114">
        <f>O2/O3</f>
        <v>1.0488338192419826</v>
      </c>
      <c r="P9" s="114">
        <f t="shared" ref="P9:R9" si="16">P2/P3</f>
        <v>1.0488338192419826</v>
      </c>
      <c r="Q9" s="114">
        <f t="shared" si="16"/>
        <v>1.0488338192419826</v>
      </c>
      <c r="R9" s="114">
        <f t="shared" si="16"/>
        <v>1.0488338192419826</v>
      </c>
      <c r="AN9" s="60">
        <v>8</v>
      </c>
      <c r="AO9" s="60">
        <f t="shared" ca="1" si="7"/>
        <v>26.486281291664756</v>
      </c>
      <c r="AP9" s="60">
        <f ca="1">SMALL($AO$3:$AO$30,ROWS(AO$3:AO9))</f>
        <v>21.20338297830682</v>
      </c>
      <c r="AQ9" s="81">
        <f t="shared" ca="1" si="8"/>
        <v>2.0753535350376717</v>
      </c>
      <c r="AR9" s="81">
        <f t="shared" si="15"/>
        <v>2</v>
      </c>
      <c r="AS9" s="49">
        <f t="shared" ca="1" si="9"/>
        <v>45</v>
      </c>
      <c r="AT9" s="49">
        <f t="shared" ca="1" si="10"/>
        <v>0.27456016394651406</v>
      </c>
      <c r="AU9" s="49">
        <f ca="1">INDEX($AS$3:$AS$30,MATCH(SMALL($AT$3:$AT$30,ROWS(AT$3:AT9)),$AT$3:$AT$30,0))</f>
        <v>48</v>
      </c>
      <c r="AV9" s="49">
        <f ca="1">SMALL($AS$3:$AS$30,ROWS(AV$3:AV9))</f>
        <v>29</v>
      </c>
      <c r="AW9" s="57">
        <f ca="1">VLOOKUP(SMALL($BB$17:$BB$30,AX9),$BB$17:$BC$30,2,0)</f>
        <v>53</v>
      </c>
      <c r="AX9" s="57">
        <f>2+AX5</f>
        <v>4</v>
      </c>
      <c r="BA9" s="57">
        <v>7</v>
      </c>
      <c r="BB9" s="57">
        <f t="shared" ca="1" si="11"/>
        <v>0.2123961890350905</v>
      </c>
      <c r="BC9" s="57">
        <f t="shared" ca="1" si="12"/>
        <v>29</v>
      </c>
    </row>
    <row r="10" spans="1:55" ht="17.25" thickBot="1" x14ac:dyDescent="0.35">
      <c r="A10" s="5">
        <v>8</v>
      </c>
      <c r="B10" s="72">
        <v>44</v>
      </c>
      <c r="C10" s="73">
        <v>40</v>
      </c>
      <c r="D10" s="145">
        <v>42</v>
      </c>
      <c r="E10" s="147">
        <v>46</v>
      </c>
      <c r="F10" s="75" t="str">
        <f t="shared" si="4"/>
        <v>77 - 84</v>
      </c>
      <c r="G10" s="76">
        <f t="shared" si="5"/>
        <v>77</v>
      </c>
      <c r="H10" s="77">
        <f t="shared" si="0"/>
        <v>84</v>
      </c>
      <c r="I10" s="121">
        <f t="shared" si="1"/>
        <v>27</v>
      </c>
      <c r="J10" s="78">
        <f t="shared" si="6"/>
        <v>1</v>
      </c>
      <c r="K10" s="79">
        <f t="shared" si="2"/>
        <v>3.5714285714285712E-2</v>
      </c>
      <c r="L10" s="80">
        <f t="shared" si="3"/>
        <v>0.9642857142857143</v>
      </c>
      <c r="N10" s="92" t="s">
        <v>72</v>
      </c>
      <c r="O10" s="95">
        <f>O6/O2</f>
        <v>1.2647671994440584</v>
      </c>
      <c r="P10" s="95">
        <f t="shared" ref="P10:R10" si="17">P6/P2</f>
        <v>1.2647671994440584</v>
      </c>
      <c r="Q10" s="95">
        <f t="shared" si="17"/>
        <v>1.2647671994440584</v>
      </c>
      <c r="R10" s="95">
        <f t="shared" si="17"/>
        <v>1.2647671994440584</v>
      </c>
      <c r="AN10" s="60">
        <v>7</v>
      </c>
      <c r="AO10" s="60">
        <f t="shared" ca="1" si="7"/>
        <v>17.591376296206256</v>
      </c>
      <c r="AP10" s="60">
        <f ca="1">SMALL($AO$3:$AO$30,ROWS(AO$3:AO10))</f>
        <v>21.968117629837373</v>
      </c>
      <c r="AQ10" s="81">
        <f t="shared" ca="1" si="8"/>
        <v>1.6059576146539005</v>
      </c>
      <c r="AR10" s="81">
        <f t="shared" si="15"/>
        <v>1</v>
      </c>
      <c r="AS10" s="49">
        <f t="shared" ca="1" si="9"/>
        <v>36</v>
      </c>
      <c r="AT10" s="49">
        <f t="shared" ca="1" si="10"/>
        <v>0.56346026453743081</v>
      </c>
      <c r="AU10" s="49">
        <f ca="1">INDEX($AS$3:$AS$30,MATCH(SMALL($AT$3:$AT$30,ROWS(AT$3:AT10)),$AT$3:$AT$30,0))</f>
        <v>49</v>
      </c>
      <c r="AV10" s="49">
        <f ca="1">SMALL($AS$3:$AS$30,ROWS(AV$3:AV10))</f>
        <v>30</v>
      </c>
      <c r="AW10" s="57">
        <f ca="1">VLOOKUP(SMALL($BB$3:$BB$16,AX10),$BB$3:$BC$30,2,0)</f>
        <v>30</v>
      </c>
      <c r="AX10" s="57">
        <f>2+AX6</f>
        <v>4</v>
      </c>
      <c r="BA10" s="57">
        <v>8</v>
      </c>
      <c r="BB10" s="57">
        <f t="shared" ca="1" si="11"/>
        <v>0.26333530309656228</v>
      </c>
      <c r="BC10" s="57">
        <f t="shared" ca="1" si="12"/>
        <v>30</v>
      </c>
    </row>
    <row r="11" spans="1:55" ht="17.25" thickBot="1" x14ac:dyDescent="0.35">
      <c r="A11" s="5">
        <v>9</v>
      </c>
      <c r="B11" s="72">
        <v>51</v>
      </c>
      <c r="C11" s="73">
        <v>41</v>
      </c>
      <c r="D11" s="145">
        <v>40</v>
      </c>
      <c r="E11" s="147">
        <v>48</v>
      </c>
      <c r="F11" s="75" t="str">
        <f t="shared" si="4"/>
        <v>84 - 91</v>
      </c>
      <c r="G11" s="76">
        <f t="shared" si="5"/>
        <v>84</v>
      </c>
      <c r="H11" s="77">
        <f t="shared" si="0"/>
        <v>91</v>
      </c>
      <c r="I11" s="121">
        <f t="shared" si="1"/>
        <v>28</v>
      </c>
      <c r="J11" s="78">
        <f t="shared" si="6"/>
        <v>1</v>
      </c>
      <c r="K11" s="79">
        <f t="shared" si="2"/>
        <v>3.5714285714285712E-2</v>
      </c>
      <c r="L11" s="80">
        <f t="shared" si="3"/>
        <v>1</v>
      </c>
      <c r="AN11" s="60">
        <v>12</v>
      </c>
      <c r="AO11" s="60">
        <f t="shared" ca="1" si="7"/>
        <v>25.109804013189265</v>
      </c>
      <c r="AP11" s="60">
        <f ca="1">SMALL($AO$3:$AO$30,ROWS(AO$3:AO11))</f>
        <v>22.775464623143495</v>
      </c>
      <c r="AQ11" s="81">
        <f t="shared" ca="1" si="8"/>
        <v>1.8096089177617882</v>
      </c>
      <c r="AR11" s="81">
        <f t="shared" si="15"/>
        <v>1</v>
      </c>
      <c r="AS11" s="49">
        <f t="shared" ca="1" si="9"/>
        <v>42</v>
      </c>
      <c r="AT11" s="49">
        <f t="shared" ca="1" si="10"/>
        <v>0.17978222657458875</v>
      </c>
      <c r="AU11" s="49">
        <f ca="1">INDEX($AS$3:$AS$30,MATCH(SMALL($AT$3:$AT$30,ROWS(AT$3:AT11)),$AT$3:$AT$30,0))</f>
        <v>19</v>
      </c>
      <c r="AV11" s="49">
        <f ca="1">SMALL($AS$3:$AS$30,ROWS(AV$3:AV11))</f>
        <v>36</v>
      </c>
      <c r="AW11" s="57">
        <f ca="1">VLOOKUP(SMALL($BB$3:$BB$16,AX11),$BB$3:$BC$30,2,0)</f>
        <v>19</v>
      </c>
      <c r="AX11" s="57">
        <f t="shared" ref="AX11:AX30" si="18">2+AX7</f>
        <v>5</v>
      </c>
      <c r="BA11" s="57">
        <v>9</v>
      </c>
      <c r="BB11" s="57">
        <f t="shared" ca="1" si="11"/>
        <v>0.22602959973352899</v>
      </c>
      <c r="BC11" s="57">
        <f t="shared" ca="1" si="12"/>
        <v>36</v>
      </c>
    </row>
    <row r="12" spans="1:55" ht="17.25" thickBot="1" x14ac:dyDescent="0.35">
      <c r="A12" s="5">
        <v>10</v>
      </c>
      <c r="B12" s="72">
        <v>39</v>
      </c>
      <c r="C12" s="73">
        <v>42</v>
      </c>
      <c r="D12" s="145">
        <v>46</v>
      </c>
      <c r="E12" s="147">
        <v>56</v>
      </c>
      <c r="F12" s="75" t="str">
        <f t="shared" si="4"/>
        <v>91 - 98</v>
      </c>
      <c r="G12" s="76">
        <f t="shared" si="5"/>
        <v>91</v>
      </c>
      <c r="H12" s="77">
        <f t="shared" si="0"/>
        <v>98</v>
      </c>
      <c r="I12" s="121">
        <f t="shared" si="1"/>
        <v>28</v>
      </c>
      <c r="J12" s="78">
        <f t="shared" si="6"/>
        <v>0</v>
      </c>
      <c r="K12" s="79">
        <f t="shared" si="2"/>
        <v>0</v>
      </c>
      <c r="L12" s="80">
        <f t="shared" si="3"/>
        <v>1</v>
      </c>
      <c r="AN12" s="60">
        <v>9</v>
      </c>
      <c r="AO12" s="60">
        <f t="shared" ca="1" si="7"/>
        <v>25.917764612672517</v>
      </c>
      <c r="AP12" s="60">
        <f ca="1">SMALL($AO$3:$AO$30,ROWS(AO$3:AO12))</f>
        <v>22.924022289768036</v>
      </c>
      <c r="AQ12" s="81">
        <f t="shared" ca="1" si="8"/>
        <v>1.8471909107724045</v>
      </c>
      <c r="AR12" s="81">
        <f t="shared" si="15"/>
        <v>1.5</v>
      </c>
      <c r="AS12" s="49">
        <f t="shared" ca="1" si="9"/>
        <v>43</v>
      </c>
      <c r="AT12" s="49">
        <f t="shared" ca="1" si="10"/>
        <v>0.78554550077055452</v>
      </c>
      <c r="AU12" s="49">
        <f ca="1">INDEX($AS$3:$AS$30,MATCH(SMALL($AT$3:$AT$30,ROWS(AT$3:AT12)),$AT$3:$AT$30,0))</f>
        <v>42</v>
      </c>
      <c r="AV12" s="49">
        <f ca="1">SMALL($AS$3:$AS$30,ROWS(AV$3:AV12))</f>
        <v>39</v>
      </c>
      <c r="AW12" s="57">
        <f ca="1">VLOOKUP(SMALL($BB$17:$BB$30,AX12),$BB$17:$BC$30,2,0)</f>
        <v>56</v>
      </c>
      <c r="AX12" s="57">
        <f t="shared" si="18"/>
        <v>5</v>
      </c>
      <c r="BA12" s="57">
        <v>10</v>
      </c>
      <c r="BB12" s="57">
        <f t="shared" ca="1" si="11"/>
        <v>0.97303392870242578</v>
      </c>
      <c r="BC12" s="57">
        <f t="shared" ca="1" si="12"/>
        <v>39</v>
      </c>
    </row>
    <row r="13" spans="1:55" ht="17.25" thickBot="1" x14ac:dyDescent="0.35">
      <c r="A13" s="5">
        <v>11</v>
      </c>
      <c r="B13" s="72">
        <v>46</v>
      </c>
      <c r="C13" s="73">
        <v>44</v>
      </c>
      <c r="D13" s="145">
        <v>72</v>
      </c>
      <c r="E13" s="147">
        <v>72</v>
      </c>
      <c r="F13" s="75" t="str">
        <f t="shared" si="4"/>
        <v>98 - 105</v>
      </c>
      <c r="G13" s="76">
        <f t="shared" si="5"/>
        <v>98</v>
      </c>
      <c r="H13" s="77">
        <f t="shared" si="0"/>
        <v>105</v>
      </c>
      <c r="I13" s="121">
        <f t="shared" si="1"/>
        <v>28</v>
      </c>
      <c r="J13" s="78">
        <f t="shared" si="6"/>
        <v>0</v>
      </c>
      <c r="K13" s="79">
        <f t="shared" si="2"/>
        <v>0</v>
      </c>
      <c r="L13" s="80">
        <f t="shared" si="3"/>
        <v>1</v>
      </c>
      <c r="AN13" s="60">
        <v>10</v>
      </c>
      <c r="AO13" s="60">
        <f t="shared" ca="1" si="7"/>
        <v>16.703660340450771</v>
      </c>
      <c r="AP13" s="60">
        <f ca="1">SMALL($AO$3:$AO$30,ROWS(AO$3:AO13))</f>
        <v>23.128401951062504</v>
      </c>
      <c r="AQ13" s="81">
        <f t="shared" ca="1" si="8"/>
        <v>2.4093072224151659</v>
      </c>
      <c r="AR13" s="81">
        <f t="shared" si="15"/>
        <v>2</v>
      </c>
      <c r="AS13" s="49">
        <f t="shared" ca="1" si="9"/>
        <v>56</v>
      </c>
      <c r="AT13" s="49">
        <f t="shared" ca="1" si="10"/>
        <v>3.3305849407462618E-2</v>
      </c>
      <c r="AU13" s="49">
        <f ca="1">INDEX($AS$3:$AS$30,MATCH(SMALL($AT$3:$AT$30,ROWS(AT$3:AT13)),$AT$3:$AT$30,0))</f>
        <v>19</v>
      </c>
      <c r="AV13" s="49">
        <f ca="1">SMALL($AS$3:$AS$30,ROWS(AV$3:AV13))</f>
        <v>41</v>
      </c>
      <c r="AW13" s="57">
        <f ca="1">VLOOKUP(SMALL($BB$17:$BB$30,AX13),$BB$17:$BC$30,2,0)</f>
        <v>62</v>
      </c>
      <c r="AX13" s="57">
        <f t="shared" si="18"/>
        <v>6</v>
      </c>
      <c r="BA13" s="57">
        <v>11</v>
      </c>
      <c r="BB13" s="57">
        <f t="shared" ca="1" si="11"/>
        <v>0.29499885363889267</v>
      </c>
      <c r="BC13" s="57">
        <f t="shared" ca="1" si="12"/>
        <v>41</v>
      </c>
    </row>
    <row r="14" spans="1:55" ht="17.25" thickBot="1" x14ac:dyDescent="0.35">
      <c r="A14" s="5">
        <v>12</v>
      </c>
      <c r="B14" s="72">
        <v>41</v>
      </c>
      <c r="C14" s="73">
        <v>46</v>
      </c>
      <c r="D14" s="145">
        <v>31</v>
      </c>
      <c r="E14" s="147">
        <v>40</v>
      </c>
      <c r="F14" s="82" t="str">
        <f t="shared" si="4"/>
        <v>105 - 112</v>
      </c>
      <c r="G14" s="83">
        <f>H13</f>
        <v>105</v>
      </c>
      <c r="H14" s="84">
        <f t="shared" si="0"/>
        <v>112</v>
      </c>
      <c r="I14" s="122">
        <f t="shared" si="1"/>
        <v>28</v>
      </c>
      <c r="J14" s="85">
        <f t="shared" si="6"/>
        <v>0</v>
      </c>
      <c r="K14" s="86">
        <f t="shared" si="2"/>
        <v>0</v>
      </c>
      <c r="L14" s="87">
        <f t="shared" si="3"/>
        <v>1</v>
      </c>
      <c r="AN14" s="60">
        <v>11</v>
      </c>
      <c r="AO14" s="60">
        <f t="shared" ca="1" si="7"/>
        <v>27.170148270772525</v>
      </c>
      <c r="AP14" s="60">
        <f ca="1">SMALL($AO$3:$AO$30,ROWS(AO$3:AO14))</f>
        <v>24.710293071183312</v>
      </c>
      <c r="AQ14" s="81">
        <f t="shared" ca="1" si="8"/>
        <v>1.0186485410353714</v>
      </c>
      <c r="AR14" s="81">
        <f t="shared" si="15"/>
        <v>1</v>
      </c>
      <c r="AS14" s="49">
        <f t="shared" ca="1" si="9"/>
        <v>26</v>
      </c>
      <c r="AT14" s="49">
        <f t="shared" ca="1" si="10"/>
        <v>0.80884453724019223</v>
      </c>
      <c r="AU14" s="49">
        <f ca="1">INDEX($AS$3:$AS$30,MATCH(SMALL($AT$3:$AT$30,ROWS(AT$3:AT14)),$AT$3:$AT$30,0))</f>
        <v>58</v>
      </c>
      <c r="AV14" s="49">
        <f ca="1">SMALL($AS$3:$AS$30,ROWS(AV$3:AV14))</f>
        <v>41</v>
      </c>
      <c r="AW14" s="57">
        <f ca="1">VLOOKUP(SMALL($BB$3:$BB$16,AX14),$BB$3:$BC$30,2,0)</f>
        <v>41</v>
      </c>
      <c r="AX14" s="57">
        <f t="shared" si="18"/>
        <v>6</v>
      </c>
      <c r="BA14" s="57">
        <v>12</v>
      </c>
      <c r="BB14" s="57">
        <f t="shared" ca="1" si="11"/>
        <v>0.68278637928753849</v>
      </c>
      <c r="BC14" s="57">
        <f t="shared" ca="1" si="12"/>
        <v>41</v>
      </c>
    </row>
    <row r="15" spans="1:55" ht="16.5" x14ac:dyDescent="0.3">
      <c r="A15" s="5">
        <v>13</v>
      </c>
      <c r="B15" s="72">
        <v>69</v>
      </c>
      <c r="C15" s="73">
        <v>47</v>
      </c>
      <c r="D15" s="145">
        <v>44</v>
      </c>
      <c r="E15" s="147">
        <v>42</v>
      </c>
      <c r="F15" s="88"/>
      <c r="G15" s="78"/>
      <c r="H15" s="78"/>
      <c r="I15" s="78"/>
      <c r="J15" s="78">
        <f>SUM(J2:J14)</f>
        <v>28</v>
      </c>
      <c r="K15" s="79">
        <f>SUM(K2:K14)</f>
        <v>0.99999999999999978</v>
      </c>
      <c r="L15" s="79"/>
      <c r="AN15" s="60">
        <v>14</v>
      </c>
      <c r="AO15" s="60">
        <f t="shared" ca="1" si="7"/>
        <v>31.04086219794214</v>
      </c>
      <c r="AP15" s="60">
        <f ca="1">SMALL($AO$3:$AO$30,ROWS(AO$3:AO15))</f>
        <v>25.039612729463627</v>
      </c>
      <c r="AQ15" s="81">
        <f t="shared" ca="1" si="8"/>
        <v>1.6251338224412399</v>
      </c>
      <c r="AR15" s="81">
        <f t="shared" si="15"/>
        <v>1</v>
      </c>
      <c r="AS15" s="49">
        <f t="shared" ca="1" si="9"/>
        <v>41</v>
      </c>
      <c r="AT15" s="49">
        <f t="shared" ca="1" si="10"/>
        <v>0.98351947981262045</v>
      </c>
      <c r="AU15" s="49">
        <f ca="1">INDEX($AS$3:$AS$30,MATCH(SMALL($AT$3:$AT$30,ROWS(AT$3:AT15)),$AT$3:$AT$30,0))</f>
        <v>45</v>
      </c>
      <c r="AV15" s="49">
        <f ca="1">SMALL($AS$3:$AS$30,ROWS(AV$3:AV15))</f>
        <v>42</v>
      </c>
      <c r="AW15" s="57">
        <f ca="1">VLOOKUP(SMALL($BB$3:$BB$16,AX15),$BB$3:$BC$30,2,0)</f>
        <v>28</v>
      </c>
      <c r="AX15" s="57">
        <f t="shared" si="18"/>
        <v>7</v>
      </c>
      <c r="BA15" s="57">
        <v>13</v>
      </c>
      <c r="BB15" s="57">
        <f t="shared" ca="1" si="11"/>
        <v>0.49770159459518737</v>
      </c>
      <c r="BC15" s="57">
        <f t="shared" ca="1" si="12"/>
        <v>42</v>
      </c>
    </row>
    <row r="16" spans="1:55" ht="16.5" x14ac:dyDescent="0.3">
      <c r="A16" s="5">
        <v>14</v>
      </c>
      <c r="B16" s="72">
        <v>28</v>
      </c>
      <c r="C16" s="73">
        <v>48</v>
      </c>
      <c r="D16" s="145">
        <v>39</v>
      </c>
      <c r="E16" s="147">
        <v>72</v>
      </c>
      <c r="F16" s="111"/>
      <c r="G16" s="111"/>
      <c r="H16" s="111"/>
      <c r="I16" s="111"/>
      <c r="J16" s="65"/>
      <c r="K16" s="65"/>
      <c r="L16" s="111"/>
      <c r="M16" s="65"/>
      <c r="N16" s="65"/>
      <c r="Q16" s="65"/>
      <c r="R16" s="65"/>
      <c r="S16" s="65"/>
      <c r="T16" s="65"/>
      <c r="Y16" s="65"/>
      <c r="Z16" s="65"/>
      <c r="AN16" s="60">
        <v>16</v>
      </c>
      <c r="AO16" s="60">
        <f t="shared" ca="1" si="7"/>
        <v>26.988270609476864</v>
      </c>
      <c r="AP16" s="60">
        <f ca="1">SMALL($AO$3:$AO$30,ROWS(AO$3:AO16))</f>
        <v>25.109804013189265</v>
      </c>
      <c r="AQ16" s="81">
        <f t="shared" ca="1" si="8"/>
        <v>2.2797307218170753</v>
      </c>
      <c r="AR16" s="81">
        <f t="shared" si="15"/>
        <v>1.5</v>
      </c>
      <c r="AS16" s="49">
        <f t="shared" ca="1" si="9"/>
        <v>58</v>
      </c>
      <c r="AT16" s="49">
        <f t="shared" ca="1" si="10"/>
        <v>0.27423828457974353</v>
      </c>
      <c r="AU16" s="49">
        <f ca="1">INDEX($AS$3:$AS$30,MATCH(SMALL($AT$3:$AT$30,ROWS(AT$3:AT16)),$AT$3:$AT$30,0))</f>
        <v>39</v>
      </c>
      <c r="AV16" s="49">
        <f ca="1">SMALL($AS$3:$AS$30,ROWS(AV$3:AV16))</f>
        <v>43</v>
      </c>
      <c r="AW16" s="57">
        <f ca="1">VLOOKUP(SMALL($BB$17:$BB$30,AX16),$BB$17:$BC$30,2,0)</f>
        <v>70</v>
      </c>
      <c r="AX16" s="57">
        <f t="shared" si="18"/>
        <v>7</v>
      </c>
      <c r="BA16" s="57">
        <v>14</v>
      </c>
      <c r="BB16" s="57">
        <f t="shared" ca="1" si="11"/>
        <v>0.5998307851806588</v>
      </c>
      <c r="BC16" s="57">
        <f t="shared" ca="1" si="12"/>
        <v>43</v>
      </c>
    </row>
    <row r="17" spans="1:63" ht="16.5" x14ac:dyDescent="0.3">
      <c r="A17" s="5">
        <v>15</v>
      </c>
      <c r="B17" s="72">
        <v>82</v>
      </c>
      <c r="C17" s="73">
        <v>50</v>
      </c>
      <c r="D17" s="145">
        <v>72</v>
      </c>
      <c r="E17" s="147">
        <v>53</v>
      </c>
      <c r="F17" s="65"/>
      <c r="G17" s="65"/>
      <c r="H17" s="65"/>
      <c r="I17" s="65"/>
      <c r="J17" s="112"/>
      <c r="K17" s="112"/>
      <c r="L17" s="65"/>
      <c r="M17" s="65"/>
      <c r="N17" s="65"/>
      <c r="Q17" s="65"/>
      <c r="R17" s="65"/>
      <c r="S17" s="65"/>
      <c r="T17" s="65"/>
      <c r="Y17" s="65"/>
      <c r="Z17" s="65"/>
      <c r="AN17" s="60">
        <v>18</v>
      </c>
      <c r="AO17" s="60">
        <f t="shared" ca="1" si="7"/>
        <v>21.968117629837373</v>
      </c>
      <c r="AP17" s="60">
        <f ca="1">SMALL($AO$3:$AO$30,ROWS(AO$3:AO17))</f>
        <v>25.470262116301278</v>
      </c>
      <c r="AQ17" s="81">
        <f t="shared" ca="1" si="8"/>
        <v>2.2175905738593111</v>
      </c>
      <c r="AR17" s="81">
        <f t="shared" si="15"/>
        <v>2</v>
      </c>
      <c r="AS17" s="49">
        <f t="shared" ca="1" si="9"/>
        <v>57</v>
      </c>
      <c r="AT17" s="49">
        <f t="shared" ca="1" si="10"/>
        <v>5.6579097286890589E-2</v>
      </c>
      <c r="AU17" s="49">
        <f ca="1">INDEX($AS$3:$AS$30,MATCH(SMALL($AT$3:$AT$30,ROWS(AT$3:AT17)),$AT$3:$AT$30,0))</f>
        <v>26</v>
      </c>
      <c r="AV17" s="49">
        <f ca="1">SMALL($AS$3:$AS$30,ROWS(AV$3:AV17))</f>
        <v>43</v>
      </c>
      <c r="AW17" s="57">
        <f ca="1">VLOOKUP(SMALL($BB$17:$BB$30,AX17),$BB$17:$BC$30,2,0)</f>
        <v>43</v>
      </c>
      <c r="AX17" s="57">
        <f t="shared" si="18"/>
        <v>8</v>
      </c>
      <c r="BA17" s="57">
        <v>15</v>
      </c>
      <c r="BB17" s="57">
        <f t="shared" ca="1" si="11"/>
        <v>0.50387232928233083</v>
      </c>
      <c r="BC17" s="57">
        <f t="shared" ca="1" si="12"/>
        <v>43</v>
      </c>
    </row>
    <row r="18" spans="1:63" ht="16.5" x14ac:dyDescent="0.3">
      <c r="A18" s="5">
        <v>16</v>
      </c>
      <c r="B18" s="72">
        <v>65</v>
      </c>
      <c r="C18" s="73">
        <v>51</v>
      </c>
      <c r="D18" s="145">
        <v>51</v>
      </c>
      <c r="E18" s="147">
        <v>41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N18" s="60">
        <v>13</v>
      </c>
      <c r="AO18" s="60">
        <f t="shared" ca="1" si="7"/>
        <v>25.8209343861135</v>
      </c>
      <c r="AP18" s="60">
        <f ca="1">SMALL($AO$3:$AO$30,ROWS(AO$3:AO18))</f>
        <v>25.8209343861135</v>
      </c>
      <c r="AQ18" s="81">
        <f t="shared" ca="1" si="8"/>
        <v>1.1227303987729527</v>
      </c>
      <c r="AR18" s="81">
        <f t="shared" si="15"/>
        <v>1</v>
      </c>
      <c r="AS18" s="49">
        <f t="shared" ca="1" si="9"/>
        <v>29</v>
      </c>
      <c r="AT18" s="49">
        <f t="shared" ca="1" si="10"/>
        <v>0.46025864305300768</v>
      </c>
      <c r="AU18" s="49">
        <f ca="1">INDEX($AS$3:$AS$30,MATCH(SMALL($AT$3:$AT$30,ROWS(AT$3:AT18)),$AT$3:$AT$30,0))</f>
        <v>43</v>
      </c>
      <c r="AV18" s="49">
        <f ca="1">SMALL($AS$3:$AS$30,ROWS(AV$3:AV18))</f>
        <v>45</v>
      </c>
      <c r="AW18" s="57">
        <f ca="1">VLOOKUP(SMALL($BB$3:$BB$16,AX18),$BB$3:$BC$30,2,0)</f>
        <v>19</v>
      </c>
      <c r="AX18" s="57">
        <f t="shared" si="18"/>
        <v>8</v>
      </c>
      <c r="BA18" s="57">
        <v>16</v>
      </c>
      <c r="BB18" s="57">
        <f t="shared" ca="1" si="11"/>
        <v>0.14653253727455073</v>
      </c>
      <c r="BC18" s="57">
        <f t="shared" ca="1" si="12"/>
        <v>45</v>
      </c>
    </row>
    <row r="19" spans="1:63" ht="16.5" x14ac:dyDescent="0.3">
      <c r="A19" s="5">
        <v>17</v>
      </c>
      <c r="B19" s="72">
        <v>47</v>
      </c>
      <c r="C19" s="73">
        <v>51</v>
      </c>
      <c r="D19" s="145">
        <v>41</v>
      </c>
      <c r="E19" s="147">
        <v>25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N19" s="60">
        <v>17</v>
      </c>
      <c r="AO19" s="60">
        <f t="shared" ca="1" si="7"/>
        <v>16.724496369749183</v>
      </c>
      <c r="AP19" s="60">
        <f ca="1">SMALL($AO$3:$AO$30,ROWS(AO$3:AO19))</f>
        <v>25.917764612672517</v>
      </c>
      <c r="AQ19" s="81">
        <f t="shared" ca="1" si="8"/>
        <v>1.0012431734434246</v>
      </c>
      <c r="AR19" s="81">
        <f t="shared" si="15"/>
        <v>1</v>
      </c>
      <c r="AS19" s="49">
        <f t="shared" ca="1" si="9"/>
        <v>26</v>
      </c>
      <c r="AT19" s="49">
        <f t="shared" ca="1" si="10"/>
        <v>0.30098569585749646</v>
      </c>
      <c r="AU19" s="49">
        <f ca="1">INDEX($AS$3:$AS$30,MATCH(SMALL($AT$3:$AT$30,ROWS(AT$3:AT19)),$AT$3:$AT$30,0))</f>
        <v>48</v>
      </c>
      <c r="AV19" s="49">
        <f ca="1">SMALL($AS$3:$AS$30,ROWS(AV$3:AV19))</f>
        <v>48</v>
      </c>
      <c r="AW19" s="57">
        <f ca="1">VLOOKUP(SMALL($BB$3:$BB$16,AX19),$BB$3:$BC$30,2,0)</f>
        <v>42</v>
      </c>
      <c r="AX19" s="57">
        <f t="shared" si="18"/>
        <v>9</v>
      </c>
      <c r="BA19" s="57">
        <v>17</v>
      </c>
      <c r="BB19" s="57">
        <f t="shared" ca="1" si="11"/>
        <v>0.71038333932241027</v>
      </c>
      <c r="BC19" s="57">
        <f t="shared" ca="1" si="12"/>
        <v>48</v>
      </c>
    </row>
    <row r="20" spans="1:63" ht="16.5" x14ac:dyDescent="0.3">
      <c r="A20" s="5">
        <v>18</v>
      </c>
      <c r="B20" s="72">
        <v>53</v>
      </c>
      <c r="C20" s="73">
        <v>53</v>
      </c>
      <c r="D20" s="145">
        <v>65</v>
      </c>
      <c r="E20" s="147">
        <v>69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N20" s="60">
        <v>15</v>
      </c>
      <c r="AO20" s="60">
        <f t="shared" ca="1" si="7"/>
        <v>16.318750629187818</v>
      </c>
      <c r="AP20" s="60">
        <f ca="1">SMALL($AO$3:$AO$30,ROWS(AO$3:AO20))</f>
        <v>26.303546797404643</v>
      </c>
      <c r="AQ20" s="81">
        <f t="shared" ca="1" si="8"/>
        <v>2.0013677616954269</v>
      </c>
      <c r="AR20" s="81">
        <f t="shared" si="15"/>
        <v>1.5</v>
      </c>
      <c r="AS20" s="49">
        <f t="shared" ca="1" si="9"/>
        <v>53</v>
      </c>
      <c r="AT20" s="49">
        <f t="shared" ca="1" si="10"/>
        <v>0.58316429233212541</v>
      </c>
      <c r="AU20" s="49">
        <f ca="1">INDEX($AS$3:$AS$30,MATCH(SMALL($AT$3:$AT$30,ROWS(AT$3:AT20)),$AT$3:$AT$30,0))</f>
        <v>29</v>
      </c>
      <c r="AV20" s="49">
        <f ca="1">SMALL($AS$3:$AS$30,ROWS(AV$3:AV20))</f>
        <v>48</v>
      </c>
      <c r="AW20" s="57">
        <f ca="1">VLOOKUP(SMALL($BB$17:$BB$30,AX20),$BB$17:$BC$30,2,0)</f>
        <v>57</v>
      </c>
      <c r="AX20" s="57">
        <f t="shared" si="18"/>
        <v>9</v>
      </c>
      <c r="BA20" s="57">
        <v>18</v>
      </c>
      <c r="BB20" s="57">
        <f t="shared" ca="1" si="11"/>
        <v>0.72358223434007396</v>
      </c>
      <c r="BC20" s="57">
        <f t="shared" ca="1" si="12"/>
        <v>48</v>
      </c>
    </row>
    <row r="21" spans="1:63" ht="16.5" x14ac:dyDescent="0.3">
      <c r="A21" s="5">
        <v>19</v>
      </c>
      <c r="B21" s="72">
        <v>90</v>
      </c>
      <c r="C21" s="73">
        <v>56</v>
      </c>
      <c r="D21" s="145">
        <v>67</v>
      </c>
      <c r="E21" s="147">
        <v>90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N21" s="60">
        <v>19</v>
      </c>
      <c r="AO21" s="60">
        <f t="shared" ca="1" si="7"/>
        <v>21.20338297830682</v>
      </c>
      <c r="AP21" s="60">
        <f ca="1">SMALL($AO$3:$AO$30,ROWS(AO$3:AO21))</f>
        <v>26.486281291664756</v>
      </c>
      <c r="AQ21" s="81">
        <f t="shared" ca="1" si="8"/>
        <v>2.1231189704722317</v>
      </c>
      <c r="AR21" s="81">
        <f t="shared" si="15"/>
        <v>2</v>
      </c>
      <c r="AS21" s="49">
        <f t="shared" ca="1" si="9"/>
        <v>57</v>
      </c>
      <c r="AT21" s="49">
        <f t="shared" ca="1" si="10"/>
        <v>0.73454384158684727</v>
      </c>
      <c r="AU21" s="49">
        <f ca="1">INDEX($AS$3:$AS$30,MATCH(SMALL($AT$3:$AT$30,ROWS(AT$3:AT21)),$AT$3:$AT$30,0))</f>
        <v>36</v>
      </c>
      <c r="AV21" s="49">
        <f ca="1">SMALL($AS$3:$AS$30,ROWS(AV$3:AV21))</f>
        <v>49</v>
      </c>
      <c r="AW21" s="57">
        <f ca="1">VLOOKUP(SMALL($BB$17:$BB$30,AX21),$BB$17:$BC$30,2,0)</f>
        <v>48</v>
      </c>
      <c r="AX21" s="57">
        <f t="shared" si="18"/>
        <v>10</v>
      </c>
      <c r="BA21" s="57">
        <v>19</v>
      </c>
      <c r="BB21" s="57">
        <f t="shared" ca="1" si="11"/>
        <v>0.91047028091330173</v>
      </c>
      <c r="BC21" s="57">
        <f t="shared" ca="1" si="12"/>
        <v>49</v>
      </c>
    </row>
    <row r="22" spans="1:63" ht="16.5" x14ac:dyDescent="0.3">
      <c r="A22" s="5">
        <v>20</v>
      </c>
      <c r="B22" s="72">
        <v>56</v>
      </c>
      <c r="C22" s="73">
        <v>61</v>
      </c>
      <c r="D22" s="145">
        <v>51</v>
      </c>
      <c r="E22" s="147">
        <v>33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N22" s="60">
        <v>20</v>
      </c>
      <c r="AO22" s="60">
        <f t="shared" ca="1" si="7"/>
        <v>14.260408902522176</v>
      </c>
      <c r="AP22" s="60">
        <f ca="1">SMALL($AO$3:$AO$30,ROWS(AO$3:AO22))</f>
        <v>26.922476411271091</v>
      </c>
      <c r="AQ22" s="81">
        <f t="shared" ca="1" si="8"/>
        <v>1.7716477159621953</v>
      </c>
      <c r="AR22" s="81">
        <f t="shared" si="15"/>
        <v>1</v>
      </c>
      <c r="AS22" s="49">
        <f t="shared" ca="1" si="9"/>
        <v>48</v>
      </c>
      <c r="AT22" s="49">
        <f t="shared" ca="1" si="10"/>
        <v>0.10757534358674681</v>
      </c>
      <c r="AU22" s="49">
        <f ca="1">INDEX($AS$3:$AS$30,MATCH(SMALL($AT$3:$AT$30,ROWS(AT$3:AT22)),$AT$3:$AT$30,0))</f>
        <v>53</v>
      </c>
      <c r="AV22" s="49">
        <f ca="1">SMALL($AS$3:$AS$30,ROWS(AV$3:AV22))</f>
        <v>53</v>
      </c>
      <c r="AW22" s="57">
        <f ca="1">VLOOKUP(SMALL($BB$3:$BB$16,AX22),$BB$3:$BC$30,2,0)</f>
        <v>43</v>
      </c>
      <c r="AX22" s="57">
        <f t="shared" si="18"/>
        <v>10</v>
      </c>
      <c r="BA22" s="57">
        <v>20</v>
      </c>
      <c r="BB22" s="57">
        <f t="shared" ca="1" si="11"/>
        <v>0.31680968362678619</v>
      </c>
      <c r="BC22" s="57">
        <f t="shared" ca="1" si="12"/>
        <v>53</v>
      </c>
    </row>
    <row r="23" spans="1:63" ht="16.5" x14ac:dyDescent="0.3">
      <c r="A23" s="5">
        <v>21</v>
      </c>
      <c r="B23" s="72">
        <v>51</v>
      </c>
      <c r="C23" s="73">
        <v>62</v>
      </c>
      <c r="D23" s="145">
        <v>56</v>
      </c>
      <c r="E23" s="147">
        <v>31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N23" s="60">
        <v>24</v>
      </c>
      <c r="AO23" s="60">
        <f t="shared" ca="1" si="7"/>
        <v>28.329830255107467</v>
      </c>
      <c r="AP23" s="60">
        <f ca="1">SMALL($AO$3:$AO$30,ROWS(AO$3:AO23))</f>
        <v>26.988270609476864</v>
      </c>
      <c r="AQ23" s="81">
        <f t="shared" ca="1" si="8"/>
        <v>1.7701700754162852</v>
      </c>
      <c r="AR23" s="81">
        <f t="shared" si="15"/>
        <v>1</v>
      </c>
      <c r="AS23" s="49">
        <f t="shared" ca="1" si="9"/>
        <v>48</v>
      </c>
      <c r="AT23" s="49">
        <f t="shared" ca="1" si="10"/>
        <v>0.42131785931020704</v>
      </c>
      <c r="AU23" s="49">
        <f ca="1">INDEX($AS$3:$AS$30,MATCH(SMALL($AT$3:$AT$30,ROWS(AT$3:AT23)),$AT$3:$AT$30,0))</f>
        <v>27</v>
      </c>
      <c r="AV23" s="49">
        <f ca="1">SMALL($AS$3:$AS$30,ROWS(AV$3:AV23))</f>
        <v>56</v>
      </c>
      <c r="AW23" s="57">
        <f ca="1">VLOOKUP(SMALL($BB$3:$BB$16,AX23),$BB$3:$BC$30,2,0)</f>
        <v>41</v>
      </c>
      <c r="AX23" s="57">
        <f t="shared" si="18"/>
        <v>11</v>
      </c>
      <c r="BA23" s="57">
        <v>21</v>
      </c>
      <c r="BB23" s="57">
        <f t="shared" ca="1" si="11"/>
        <v>0.39586036683067993</v>
      </c>
      <c r="BC23" s="57">
        <f t="shared" ca="1" si="12"/>
        <v>56</v>
      </c>
    </row>
    <row r="24" spans="1:63" ht="16.5" x14ac:dyDescent="0.3">
      <c r="A24" s="5">
        <v>22</v>
      </c>
      <c r="B24" s="72">
        <v>40</v>
      </c>
      <c r="C24" s="73">
        <v>65</v>
      </c>
      <c r="D24" s="145">
        <v>69</v>
      </c>
      <c r="E24" s="147">
        <v>82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N24" s="60">
        <v>22</v>
      </c>
      <c r="AO24" s="60">
        <f t="shared" ca="1" si="7"/>
        <v>23.128401951062504</v>
      </c>
      <c r="AP24" s="60">
        <f ca="1">SMALL($AO$3:$AO$30,ROWS(AO$3:AO24))</f>
        <v>27.170148270772525</v>
      </c>
      <c r="AQ24" s="81">
        <f t="shared" ca="1" si="8"/>
        <v>1.7818709251329956</v>
      </c>
      <c r="AR24" s="81">
        <f t="shared" si="15"/>
        <v>1.5</v>
      </c>
      <c r="AS24" s="49">
        <f t="shared" ca="1" si="9"/>
        <v>49</v>
      </c>
      <c r="AT24" s="49">
        <f t="shared" ca="1" si="10"/>
        <v>0.169287641815136</v>
      </c>
      <c r="AU24" s="49">
        <f ca="1">INDEX($AS$3:$AS$30,MATCH(SMALL($AT$3:$AT$30,ROWS(AT$3:AT24)),$AT$3:$AT$30,0))</f>
        <v>57</v>
      </c>
      <c r="AV24" s="49">
        <f ca="1">SMALL($AS$3:$AS$30,ROWS(AV$3:AV24))</f>
        <v>57</v>
      </c>
      <c r="AW24" s="57">
        <f ca="1">VLOOKUP(SMALL($BB$17:$BB$30,AX24),$BB$17:$BC$30,2,0)</f>
        <v>48</v>
      </c>
      <c r="AX24" s="57">
        <f t="shared" si="18"/>
        <v>11</v>
      </c>
      <c r="BA24" s="57">
        <v>22</v>
      </c>
      <c r="BB24" s="57">
        <f t="shared" ca="1" si="11"/>
        <v>3.7237084146461208E-2</v>
      </c>
      <c r="BC24" s="57">
        <f t="shared" ca="1" si="12"/>
        <v>57</v>
      </c>
    </row>
    <row r="25" spans="1:63" ht="16.5" x14ac:dyDescent="0.3">
      <c r="A25" s="5">
        <v>23</v>
      </c>
      <c r="B25" s="72">
        <v>61</v>
      </c>
      <c r="C25" s="73">
        <v>67</v>
      </c>
      <c r="D25" s="145">
        <v>82</v>
      </c>
      <c r="E25" s="147">
        <v>62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N25" s="60">
        <v>23</v>
      </c>
      <c r="AO25" s="60">
        <f t="shared" ca="1" si="7"/>
        <v>26.303546797404643</v>
      </c>
      <c r="AP25" s="60">
        <f ca="1">SMALL($AO$3:$AO$30,ROWS(AO$3:AO25))</f>
        <v>27.704686342292455</v>
      </c>
      <c r="AQ25" s="81">
        <f t="shared" ca="1" si="8"/>
        <v>2.5071712306944884</v>
      </c>
      <c r="AR25" s="81">
        <f t="shared" si="15"/>
        <v>2</v>
      </c>
      <c r="AS25" s="49">
        <f t="shared" ca="1" si="9"/>
        <v>70</v>
      </c>
      <c r="AT25" s="49">
        <f t="shared" ca="1" si="10"/>
        <v>0.8033369331083936</v>
      </c>
      <c r="AU25" s="49">
        <f ca="1">INDEX($AS$3:$AS$30,MATCH(SMALL($AT$3:$AT$30,ROWS(AT$3:AT25)),$AT$3:$AT$30,0))</f>
        <v>43</v>
      </c>
      <c r="AV25" s="49">
        <f ca="1">SMALL($AS$3:$AS$30,ROWS(AV$3:AV25))</f>
        <v>57</v>
      </c>
      <c r="AW25" s="57">
        <f ca="1">VLOOKUP(SMALL($BB$17:$BB$30,AX25),$BB$17:$BC$30,2,0)</f>
        <v>70</v>
      </c>
      <c r="AX25" s="57">
        <f t="shared" si="18"/>
        <v>12</v>
      </c>
      <c r="BA25" s="57">
        <v>23</v>
      </c>
      <c r="BB25" s="57">
        <f t="shared" ca="1" si="11"/>
        <v>0.67061454124275488</v>
      </c>
      <c r="BC25" s="57">
        <f t="shared" ca="1" si="12"/>
        <v>57</v>
      </c>
    </row>
    <row r="26" spans="1:63" ht="16.5" x14ac:dyDescent="0.3">
      <c r="A26" s="5">
        <v>24</v>
      </c>
      <c r="B26" s="72">
        <v>72</v>
      </c>
      <c r="C26" s="73">
        <v>69</v>
      </c>
      <c r="D26" s="145">
        <v>39</v>
      </c>
      <c r="E26" s="147">
        <v>47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N26" s="60">
        <v>25</v>
      </c>
      <c r="AO26" s="60">
        <f t="shared" ca="1" si="7"/>
        <v>22.775464623143495</v>
      </c>
      <c r="AP26" s="60">
        <f ca="1">SMALL($AO$3:$AO$30,ROWS(AO$3:AO26))</f>
        <v>28.329830255107467</v>
      </c>
      <c r="AQ26" s="81">
        <f t="shared" ca="1" si="8"/>
        <v>1.3577656297225915</v>
      </c>
      <c r="AR26" s="81">
        <f t="shared" si="15"/>
        <v>1</v>
      </c>
      <c r="AS26" s="49">
        <f t="shared" ca="1" si="9"/>
        <v>39</v>
      </c>
      <c r="AT26" s="49">
        <f t="shared" ca="1" si="10"/>
        <v>0.29064678861692872</v>
      </c>
      <c r="AU26" s="49">
        <f ca="1">INDEX($AS$3:$AS$30,MATCH(SMALL($AT$3:$AT$30,ROWS(AT$3:AT26)),$AT$3:$AT$30,0))</f>
        <v>70</v>
      </c>
      <c r="AV26" s="49">
        <f ca="1">SMALL($AS$3:$AS$30,ROWS(AV$3:AV26))</f>
        <v>58</v>
      </c>
      <c r="AW26" s="57">
        <f ca="1">VLOOKUP(SMALL($BB$3:$BB$16,AX26),$BB$3:$BC$30,2,0)</f>
        <v>26</v>
      </c>
      <c r="AX26" s="57">
        <f t="shared" si="18"/>
        <v>12</v>
      </c>
      <c r="BA26" s="57">
        <v>24</v>
      </c>
      <c r="BB26" s="57">
        <f t="shared" ca="1" si="11"/>
        <v>0.95282501466747493</v>
      </c>
      <c r="BC26" s="57">
        <f t="shared" ca="1" si="12"/>
        <v>58</v>
      </c>
    </row>
    <row r="27" spans="1:63" ht="16.5" x14ac:dyDescent="0.3">
      <c r="A27" s="5">
        <v>25</v>
      </c>
      <c r="B27" s="72">
        <v>39</v>
      </c>
      <c r="C27" s="73">
        <v>72</v>
      </c>
      <c r="D27" s="145">
        <v>47</v>
      </c>
      <c r="E27" s="147">
        <v>39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60">
        <v>21</v>
      </c>
      <c r="AO27" s="60">
        <f t="shared" ca="1" si="7"/>
        <v>22.924022289768036</v>
      </c>
      <c r="AP27" s="60">
        <f ca="1">SMALL($AO$3:$AO$30,ROWS(AO$3:AO27))</f>
        <v>28.442483007048867</v>
      </c>
      <c r="AQ27" s="81">
        <f t="shared" ca="1" si="8"/>
        <v>1.4859288578675023</v>
      </c>
      <c r="AR27" s="81">
        <f t="shared" si="15"/>
        <v>1</v>
      </c>
      <c r="AS27" s="49">
        <f t="shared" ca="1" si="9"/>
        <v>43</v>
      </c>
      <c r="AT27" s="49">
        <f t="shared" ca="1" si="10"/>
        <v>0.37123995897017148</v>
      </c>
      <c r="AU27" s="49">
        <f ca="1">INDEX($AS$3:$AS$30,MATCH(SMALL($AT$3:$AT$30,ROWS(AT$3:AT27)),$AT$3:$AT$30,0))</f>
        <v>26</v>
      </c>
      <c r="AV27" s="49">
        <f ca="1">SMALL($AS$3:$AS$30,ROWS(AV$3:AV27))</f>
        <v>62</v>
      </c>
      <c r="AW27" s="57">
        <f ca="1">VLOOKUP(SMALL($BB$3:$BB$16,AX27),$BB$3:$BC$30,2,0)</f>
        <v>27</v>
      </c>
      <c r="AX27" s="57">
        <f t="shared" si="18"/>
        <v>13</v>
      </c>
      <c r="BA27" s="57">
        <v>25</v>
      </c>
      <c r="BB27" s="57">
        <f t="shared" ca="1" si="11"/>
        <v>0.42758227822609485</v>
      </c>
      <c r="BC27" s="57">
        <f t="shared" ca="1" si="12"/>
        <v>62</v>
      </c>
    </row>
    <row r="28" spans="1:63" ht="16.5" x14ac:dyDescent="0.3">
      <c r="A28" s="5">
        <v>26</v>
      </c>
      <c r="B28" s="72">
        <v>31</v>
      </c>
      <c r="C28" s="73">
        <v>72</v>
      </c>
      <c r="D28" s="145">
        <v>61</v>
      </c>
      <c r="E28" s="147">
        <v>51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60">
        <v>27</v>
      </c>
      <c r="AO28" s="60">
        <f t="shared" ca="1" si="7"/>
        <v>24.710293071183312</v>
      </c>
      <c r="AP28" s="60">
        <f ca="1">SMALL($AO$3:$AO$30,ROWS(AO$3:AO28))</f>
        <v>28.6539540298647</v>
      </c>
      <c r="AQ28" s="81">
        <f t="shared" ca="1" si="8"/>
        <v>2.4125004581925165</v>
      </c>
      <c r="AR28" s="81">
        <f t="shared" si="15"/>
        <v>1.5</v>
      </c>
      <c r="AS28" s="49">
        <f t="shared" ca="1" si="9"/>
        <v>70</v>
      </c>
      <c r="AT28" s="49">
        <f t="shared" ca="1" si="10"/>
        <v>2.8673837525357015E-2</v>
      </c>
      <c r="AU28" s="49">
        <f ca="1">INDEX($AS$3:$AS$30,MATCH(SMALL($AT$3:$AT$30,ROWS(AT$3:AT28)),$AT$3:$AT$30,0))</f>
        <v>30</v>
      </c>
      <c r="AV28" s="49">
        <f ca="1">SMALL($AS$3:$AS$30,ROWS(AV$3:AV28))</f>
        <v>62</v>
      </c>
      <c r="AW28" s="57">
        <f ca="1">VLOOKUP(SMALL($BB$17:$BB$30,AX28),$BB$17:$BC$30,2,0)</f>
        <v>49</v>
      </c>
      <c r="AX28" s="57">
        <f t="shared" si="18"/>
        <v>13</v>
      </c>
      <c r="BA28" s="57">
        <v>26</v>
      </c>
      <c r="BB28" s="57">
        <f t="shared" ca="1" si="11"/>
        <v>0.30594503459277111</v>
      </c>
      <c r="BC28" s="57">
        <f t="shared" ca="1" si="12"/>
        <v>62</v>
      </c>
    </row>
    <row r="29" spans="1:63" ht="16.5" x14ac:dyDescent="0.3">
      <c r="A29" s="5">
        <v>27</v>
      </c>
      <c r="B29" s="72">
        <v>62</v>
      </c>
      <c r="C29" s="73">
        <v>82</v>
      </c>
      <c r="D29" s="145">
        <v>90</v>
      </c>
      <c r="E29" s="147">
        <v>65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60">
        <v>26</v>
      </c>
      <c r="AO29" s="60">
        <f t="shared" ca="1" si="7"/>
        <v>27.704686342292455</v>
      </c>
      <c r="AP29" s="60">
        <f ca="1">SMALL($AO$3:$AO$30,ROWS(AO$3:AO29))</f>
        <v>30.171668606758814</v>
      </c>
      <c r="AQ29" s="81">
        <f t="shared" ca="1" si="8"/>
        <v>2.0381557607271095</v>
      </c>
      <c r="AR29" s="81">
        <f t="shared" si="15"/>
        <v>2</v>
      </c>
      <c r="AS29" s="49">
        <f t="shared" ca="1" si="9"/>
        <v>62</v>
      </c>
      <c r="AT29" s="49">
        <f t="shared" ca="1" si="10"/>
        <v>5.7676289901495537E-2</v>
      </c>
      <c r="AU29" s="49">
        <f ca="1">INDEX($AS$3:$AS$30,MATCH(SMALL($AT$3:$AT$30,ROWS(AT$3:AT29)),$AT$3:$AT$30,0))</f>
        <v>28</v>
      </c>
      <c r="AV29" s="49">
        <f ca="1">SMALL($AS$3:$AS$30,ROWS(AV$3:AV29))</f>
        <v>70</v>
      </c>
      <c r="AW29" s="57">
        <f ca="1">VLOOKUP(SMALL($BB$17:$BB$30,AX29),$BB$17:$BC$30,2,0)</f>
        <v>58</v>
      </c>
      <c r="AX29" s="57">
        <f t="shared" si="18"/>
        <v>14</v>
      </c>
      <c r="BA29" s="57">
        <v>27</v>
      </c>
      <c r="BB29" s="57">
        <f t="shared" ca="1" si="11"/>
        <v>0.77291904793614685</v>
      </c>
      <c r="BC29" s="57">
        <f t="shared" ca="1" si="12"/>
        <v>70</v>
      </c>
    </row>
    <row r="30" spans="1:63" ht="16.5" x14ac:dyDescent="0.3">
      <c r="A30" s="5">
        <v>28</v>
      </c>
      <c r="B30" s="72">
        <v>48</v>
      </c>
      <c r="C30" s="73">
        <v>90</v>
      </c>
      <c r="D30" s="145">
        <v>62</v>
      </c>
      <c r="E30" s="147">
        <v>44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60">
        <v>33</v>
      </c>
      <c r="AO30" s="60">
        <f t="shared" ca="1" si="7"/>
        <v>28.6539540298647</v>
      </c>
      <c r="AP30" s="60">
        <f ca="1">SMALL($AO$3:$AO$30,ROWS(AO$3:AO30))</f>
        <v>31.04086219794214</v>
      </c>
      <c r="AQ30" s="81">
        <f t="shared" ca="1" si="8"/>
        <v>1.9831464666986562</v>
      </c>
      <c r="AR30" s="81">
        <f t="shared" si="15"/>
        <v>1</v>
      </c>
      <c r="AS30" s="49">
        <f t="shared" ca="1" si="9"/>
        <v>62</v>
      </c>
      <c r="AT30" s="49">
        <f t="shared" ca="1" si="10"/>
        <v>8.3645916959151911E-2</v>
      </c>
      <c r="AU30" s="49">
        <f ca="1">INDEX($AS$3:$AS$30,MATCH(SMALL($AT$3:$AT$30,ROWS(AT$3:AT30)),$AT$3:$AT$30,0))</f>
        <v>41</v>
      </c>
      <c r="AV30" s="49">
        <f ca="1">SMALL($AS$3:$AS$30,ROWS(AV$3:AV30))</f>
        <v>70</v>
      </c>
      <c r="AW30" s="57">
        <f ca="1">VLOOKUP(SMALL($BB$3:$BB$16,AX30),$BB$3:$BC$30,2,0)</f>
        <v>39</v>
      </c>
      <c r="AX30" s="57">
        <f t="shared" si="18"/>
        <v>14</v>
      </c>
      <c r="BA30" s="57">
        <v>28</v>
      </c>
      <c r="BB30" s="57">
        <f t="shared" ca="1" si="11"/>
        <v>0.48899585358377651</v>
      </c>
      <c r="BC30" s="57">
        <f t="shared" ca="1" si="12"/>
        <v>70</v>
      </c>
    </row>
    <row r="31" spans="1:63" ht="15" x14ac:dyDescent="0.25">
      <c r="A31"/>
      <c r="B31"/>
      <c r="C31"/>
      <c r="D31"/>
      <c r="E31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/>
      <c r="AO32"/>
      <c r="AP32"/>
      <c r="AQ32"/>
      <c r="AR32"/>
      <c r="AS32" s="118">
        <f ca="1">SUM(AS3:AS30)</f>
        <v>1224</v>
      </c>
      <c r="AT32"/>
      <c r="AU32" s="118">
        <f ca="1">SUM(AU3:AU30)</f>
        <v>1224</v>
      </c>
      <c r="AV32" s="118">
        <f ca="1">SUM(AV3:AV30)</f>
        <v>1224</v>
      </c>
      <c r="AW32" s="118">
        <f ca="1">SUM(AW3:AW30)</f>
        <v>1224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41">
        <f t="shared" ref="A35:A62" si="19">A3</f>
        <v>1</v>
      </c>
      <c r="B35" s="41">
        <f>SUM(B$3:B3)</f>
        <v>50</v>
      </c>
      <c r="C35" s="41">
        <f>SUM(C$3:C3)</f>
        <v>25</v>
      </c>
      <c r="D35" s="41">
        <f>SUM(D$3:D3)</f>
        <v>33</v>
      </c>
      <c r="E35" s="41">
        <f>SUM(E$3:E3)</f>
        <v>39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41">
        <f t="shared" si="19"/>
        <v>2</v>
      </c>
      <c r="B36" s="41">
        <f>SUM(B$3:B4)</f>
        <v>75</v>
      </c>
      <c r="C36" s="41">
        <f>SUM(C$3:C4)</f>
        <v>53</v>
      </c>
      <c r="D36" s="41">
        <f>SUM(D$3:D4)</f>
        <v>68</v>
      </c>
      <c r="E36" s="41">
        <f>SUM(E$3:E4)</f>
        <v>106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41">
        <f t="shared" si="19"/>
        <v>3</v>
      </c>
      <c r="B37" s="41">
        <f>SUM(B$3:B5)</f>
        <v>108</v>
      </c>
      <c r="C37" s="41">
        <f>SUM(C$3:C5)</f>
        <v>84</v>
      </c>
      <c r="D37" s="41">
        <f>SUM(D$3:D5)</f>
        <v>116</v>
      </c>
      <c r="E37" s="41">
        <f>SUM(E$3:E5)</f>
        <v>156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41">
        <f t="shared" si="19"/>
        <v>4</v>
      </c>
      <c r="B38" s="41">
        <f>SUM(B$3:B6)</f>
        <v>180</v>
      </c>
      <c r="C38" s="41">
        <f>SUM(C$3:C6)</f>
        <v>117</v>
      </c>
      <c r="D38" s="41">
        <f>SUM(D$3:D6)</f>
        <v>144</v>
      </c>
      <c r="E38" s="41">
        <f>SUM(E$3:E6)</f>
        <v>191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41">
        <f t="shared" si="19"/>
        <v>5</v>
      </c>
      <c r="B39" s="41">
        <f>SUM(B$3:B7)</f>
        <v>247</v>
      </c>
      <c r="C39" s="41">
        <f>SUM(C$3:C7)</f>
        <v>152</v>
      </c>
      <c r="D39" s="41">
        <f>SUM(D$3:D7)</f>
        <v>169</v>
      </c>
      <c r="E39" s="41">
        <f>SUM(E$3:E7)</f>
        <v>219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41">
        <f t="shared" si="19"/>
        <v>6</v>
      </c>
      <c r="B40" s="41">
        <f>SUM(B$3:B8)</f>
        <v>282</v>
      </c>
      <c r="C40" s="41">
        <f>SUM(C$3:C8)</f>
        <v>191</v>
      </c>
      <c r="D40" s="41">
        <f>SUM(D$3:D8)</f>
        <v>222</v>
      </c>
      <c r="E40" s="41">
        <f>SUM(E$3:E8)</f>
        <v>280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41">
        <f t="shared" si="19"/>
        <v>7</v>
      </c>
      <c r="B41" s="41">
        <f>SUM(B$3:B9)</f>
        <v>324</v>
      </c>
      <c r="C41" s="41">
        <f>SUM(C$3:C9)</f>
        <v>230</v>
      </c>
      <c r="D41" s="41">
        <f>SUM(D$3:D9)</f>
        <v>272</v>
      </c>
      <c r="E41" s="41">
        <f>SUM(E$3:E9)</f>
        <v>331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41">
        <f t="shared" si="19"/>
        <v>8</v>
      </c>
      <c r="B42" s="41">
        <f>SUM(B$3:B10)</f>
        <v>368</v>
      </c>
      <c r="C42" s="41">
        <f>SUM(C$3:C10)</f>
        <v>270</v>
      </c>
      <c r="D42" s="41">
        <f>SUM(D$3:D10)</f>
        <v>314</v>
      </c>
      <c r="E42" s="41">
        <f>SUM(E$3:E10)</f>
        <v>377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41">
        <f t="shared" si="19"/>
        <v>9</v>
      </c>
      <c r="B43" s="41">
        <f>SUM(B$3:B11)</f>
        <v>419</v>
      </c>
      <c r="C43" s="41">
        <f>SUM(C$3:C11)</f>
        <v>311</v>
      </c>
      <c r="D43" s="41">
        <f>SUM(D$3:D11)</f>
        <v>354</v>
      </c>
      <c r="E43" s="41">
        <f>SUM(E$3:E11)</f>
        <v>425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41">
        <f t="shared" si="19"/>
        <v>10</v>
      </c>
      <c r="B44" s="41">
        <f>SUM(B$3:B12)</f>
        <v>458</v>
      </c>
      <c r="C44" s="41">
        <f>SUM(C$3:C12)</f>
        <v>353</v>
      </c>
      <c r="D44" s="41">
        <f>SUM(D$3:D12)</f>
        <v>400</v>
      </c>
      <c r="E44" s="41">
        <f>SUM(E$3:E12)</f>
        <v>481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41">
        <f t="shared" si="19"/>
        <v>11</v>
      </c>
      <c r="B45" s="41">
        <f>SUM(B$3:B13)</f>
        <v>504</v>
      </c>
      <c r="C45" s="41">
        <f>SUM(C$3:C13)</f>
        <v>397</v>
      </c>
      <c r="D45" s="41">
        <f>SUM(D$3:D13)</f>
        <v>472</v>
      </c>
      <c r="E45" s="41">
        <f>SUM(E$3:E13)</f>
        <v>553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41">
        <f t="shared" si="19"/>
        <v>12</v>
      </c>
      <c r="B46" s="41">
        <f>SUM(B$3:B14)</f>
        <v>545</v>
      </c>
      <c r="C46" s="41">
        <f>SUM(C$3:C14)</f>
        <v>443</v>
      </c>
      <c r="D46" s="41">
        <f>SUM(D$3:D14)</f>
        <v>503</v>
      </c>
      <c r="E46" s="41">
        <f>SUM(E$3:E14)</f>
        <v>593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41">
        <f t="shared" si="19"/>
        <v>13</v>
      </c>
      <c r="B47" s="41">
        <f>SUM(B$3:B15)</f>
        <v>614</v>
      </c>
      <c r="C47" s="41">
        <f>SUM(C$3:C15)</f>
        <v>490</v>
      </c>
      <c r="D47" s="41">
        <f>SUM(D$3:D15)</f>
        <v>547</v>
      </c>
      <c r="E47" s="41">
        <f>SUM(E$3:E15)</f>
        <v>635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41">
        <f t="shared" si="19"/>
        <v>14</v>
      </c>
      <c r="B48" s="41">
        <f>SUM(B$3:B16)</f>
        <v>642</v>
      </c>
      <c r="C48" s="41">
        <f>SUM(C$3:C16)</f>
        <v>538</v>
      </c>
      <c r="D48" s="41">
        <f>SUM(D$3:D16)</f>
        <v>586</v>
      </c>
      <c r="E48" s="41">
        <f>SUM(E$3:E16)</f>
        <v>707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41">
        <f t="shared" si="19"/>
        <v>15</v>
      </c>
      <c r="B49" s="41">
        <f>SUM(B$3:B17)</f>
        <v>724</v>
      </c>
      <c r="C49" s="41">
        <f>SUM(C$3:C17)</f>
        <v>588</v>
      </c>
      <c r="D49" s="41">
        <f>SUM(D$3:D17)</f>
        <v>658</v>
      </c>
      <c r="E49" s="41">
        <f>SUM(E$3:E17)</f>
        <v>760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41">
        <f t="shared" si="19"/>
        <v>16</v>
      </c>
      <c r="B50" s="41">
        <f>SUM(B$3:B18)</f>
        <v>789</v>
      </c>
      <c r="C50" s="41">
        <f>SUM(C$3:C18)</f>
        <v>639</v>
      </c>
      <c r="D50" s="41">
        <f>SUM(D$3:D18)</f>
        <v>709</v>
      </c>
      <c r="E50" s="41">
        <f>SUM(E$3:E18)</f>
        <v>801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41">
        <f t="shared" si="19"/>
        <v>17</v>
      </c>
      <c r="B51" s="41">
        <f>SUM(B$3:B19)</f>
        <v>836</v>
      </c>
      <c r="C51" s="41">
        <f>SUM(C$3:C19)</f>
        <v>690</v>
      </c>
      <c r="D51" s="41">
        <f>SUM(D$3:D19)</f>
        <v>750</v>
      </c>
      <c r="E51" s="41">
        <f>SUM(E$3:E19)</f>
        <v>826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41">
        <f t="shared" si="19"/>
        <v>18</v>
      </c>
      <c r="B52" s="41">
        <f>SUM(B$3:B20)</f>
        <v>889</v>
      </c>
      <c r="C52" s="41">
        <f>SUM(C$3:C20)</f>
        <v>743</v>
      </c>
      <c r="D52" s="41">
        <f>SUM(D$3:D20)</f>
        <v>815</v>
      </c>
      <c r="E52" s="41">
        <f>SUM(E$3:E20)</f>
        <v>895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41">
        <f t="shared" si="19"/>
        <v>19</v>
      </c>
      <c r="B53" s="41">
        <f>SUM(B$3:B21)</f>
        <v>979</v>
      </c>
      <c r="C53" s="41">
        <f>SUM(C$3:C21)</f>
        <v>799</v>
      </c>
      <c r="D53" s="41">
        <f>SUM(D$3:D21)</f>
        <v>882</v>
      </c>
      <c r="E53" s="41">
        <f>SUM(E$3:E21)</f>
        <v>985</v>
      </c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41">
        <f t="shared" si="19"/>
        <v>20</v>
      </c>
      <c r="B54" s="41">
        <f>SUM(B$3:B22)</f>
        <v>1035</v>
      </c>
      <c r="C54" s="41">
        <f>SUM(C$3:C22)</f>
        <v>860</v>
      </c>
      <c r="D54" s="41">
        <f>SUM(D$3:D22)</f>
        <v>933</v>
      </c>
      <c r="E54" s="41">
        <f>SUM(E$3:E22)</f>
        <v>1018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41">
        <f t="shared" si="19"/>
        <v>21</v>
      </c>
      <c r="B55" s="41">
        <f>SUM(B$3:B23)</f>
        <v>1086</v>
      </c>
      <c r="C55" s="41">
        <f>SUM(C$3:C23)</f>
        <v>922</v>
      </c>
      <c r="D55" s="41">
        <f>SUM(D$3:D23)</f>
        <v>989</v>
      </c>
      <c r="E55" s="41">
        <f>SUM(E$3:E23)</f>
        <v>1049</v>
      </c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41">
        <f t="shared" si="19"/>
        <v>22</v>
      </c>
      <c r="B56" s="41">
        <f>SUM(B$3:B24)</f>
        <v>1126</v>
      </c>
      <c r="C56" s="41">
        <f>SUM(C$3:C24)</f>
        <v>987</v>
      </c>
      <c r="D56" s="41">
        <f>SUM(D$3:D24)</f>
        <v>1058</v>
      </c>
      <c r="E56" s="41">
        <f>SUM(E$3:E24)</f>
        <v>1131</v>
      </c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41">
        <f t="shared" si="19"/>
        <v>23</v>
      </c>
      <c r="B57" s="41">
        <f>SUM(B$3:B25)</f>
        <v>1187</v>
      </c>
      <c r="C57" s="41">
        <f>SUM(C$3:C25)</f>
        <v>1054</v>
      </c>
      <c r="D57" s="41">
        <f>SUM(D$3:D25)</f>
        <v>1140</v>
      </c>
      <c r="E57" s="41">
        <f>SUM(E$3:E25)</f>
        <v>1193</v>
      </c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41">
        <f t="shared" si="19"/>
        <v>24</v>
      </c>
      <c r="B58" s="41">
        <f>SUM(B$3:B26)</f>
        <v>1259</v>
      </c>
      <c r="C58" s="41">
        <f>SUM(C$3:C26)</f>
        <v>1123</v>
      </c>
      <c r="D58" s="41">
        <f>SUM(D$3:D26)</f>
        <v>1179</v>
      </c>
      <c r="E58" s="41">
        <f>SUM(E$3:E26)</f>
        <v>1240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41">
        <f t="shared" si="19"/>
        <v>25</v>
      </c>
      <c r="B59" s="41">
        <f>SUM(B$3:B27)</f>
        <v>1298</v>
      </c>
      <c r="C59" s="41">
        <f>SUM(C$3:C27)</f>
        <v>1195</v>
      </c>
      <c r="D59" s="41">
        <f>SUM(D$3:D27)</f>
        <v>1226</v>
      </c>
      <c r="E59" s="41">
        <f>SUM(E$3:E27)</f>
        <v>1279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41">
        <f t="shared" si="19"/>
        <v>26</v>
      </c>
      <c r="B60" s="41">
        <f>SUM(B$3:B28)</f>
        <v>1329</v>
      </c>
      <c r="C60" s="41">
        <f>SUM(C$3:C28)</f>
        <v>1267</v>
      </c>
      <c r="D60" s="41">
        <f>SUM(D$3:D28)</f>
        <v>1287</v>
      </c>
      <c r="E60" s="41">
        <f>SUM(E$3:E28)</f>
        <v>1330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41">
        <f t="shared" si="19"/>
        <v>27</v>
      </c>
      <c r="B61" s="41">
        <f>SUM(B$3:B29)</f>
        <v>1391</v>
      </c>
      <c r="C61" s="41">
        <f>SUM(C$3:C29)</f>
        <v>1349</v>
      </c>
      <c r="D61" s="41">
        <f>SUM(D$3:D29)</f>
        <v>1377</v>
      </c>
      <c r="E61" s="41">
        <f>SUM(E$3:E29)</f>
        <v>1395</v>
      </c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41">
        <f t="shared" si="19"/>
        <v>28</v>
      </c>
      <c r="B62" s="41">
        <f>SUM(B$3:B30)</f>
        <v>1439</v>
      </c>
      <c r="C62" s="41">
        <f>SUM(C$3:C30)</f>
        <v>1439</v>
      </c>
      <c r="D62" s="41">
        <f>SUM(D$3:D30)</f>
        <v>1439</v>
      </c>
      <c r="E62" s="41">
        <f>SUM(E$3:E30)</f>
        <v>1439</v>
      </c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/>
      <c r="AQ87"/>
      <c r="AR87"/>
      <c r="AS87"/>
      <c r="AT87"/>
      <c r="AU87"/>
      <c r="AV87" s="41"/>
      <c r="AX87"/>
    </row>
    <row r="88" spans="27:63" ht="17.25" thickBot="1" x14ac:dyDescent="0.35"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/>
      <c r="AQ88"/>
      <c r="AR88"/>
      <c r="AS88" s="118">
        <f ca="1">SUM(AS3:AS86)</f>
        <v>2448</v>
      </c>
      <c r="AT88" s="118">
        <f t="shared" ref="AT88:AW88" ca="1" si="20">SUM(AT3:AT86)</f>
        <v>11.225500593497447</v>
      </c>
      <c r="AU88" s="118">
        <f t="shared" ca="1" si="20"/>
        <v>2448</v>
      </c>
      <c r="AV88" s="118">
        <f t="shared" ca="1" si="20"/>
        <v>2448</v>
      </c>
      <c r="AW88" s="118">
        <f t="shared" ca="1" si="20"/>
        <v>2448</v>
      </c>
      <c r="AX88"/>
    </row>
    <row r="89" spans="27:63" ht="17.25" thickBot="1" x14ac:dyDescent="0.35"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/>
      <c r="AQ89"/>
      <c r="AR89"/>
      <c r="AS89" s="64" t="s">
        <v>98</v>
      </c>
      <c r="AT89" s="49" t="s">
        <v>99</v>
      </c>
      <c r="AU89" s="62" t="s">
        <v>100</v>
      </c>
      <c r="AV89" s="63" t="s">
        <v>19</v>
      </c>
      <c r="AW89" s="57" t="s">
        <v>106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81"/>
      <c r="AR93" s="81"/>
      <c r="AS93"/>
      <c r="AT93"/>
      <c r="AU93"/>
      <c r="AX93"/>
    </row>
    <row r="94" spans="27:63" ht="16.5" x14ac:dyDescent="0.3">
      <c r="AP94"/>
      <c r="AQ94" s="81"/>
      <c r="AR94" s="81"/>
      <c r="AS94"/>
      <c r="AT94"/>
      <c r="AU94"/>
      <c r="AX94"/>
    </row>
    <row r="95" spans="27:63" ht="16.5" x14ac:dyDescent="0.3">
      <c r="AP95"/>
      <c r="AQ95" s="81"/>
      <c r="AR95" s="81"/>
      <c r="AS95"/>
      <c r="AT95"/>
      <c r="AU95"/>
      <c r="AX95"/>
    </row>
    <row r="96" spans="27:63" ht="16.5" x14ac:dyDescent="0.3">
      <c r="AP96"/>
      <c r="AQ96" s="81"/>
      <c r="AR96" s="81"/>
      <c r="AS96"/>
      <c r="AT96"/>
      <c r="AU96"/>
      <c r="AX96"/>
    </row>
    <row r="97" spans="42:50" ht="16.5" x14ac:dyDescent="0.3">
      <c r="AP97"/>
      <c r="AQ97" s="81"/>
      <c r="AR97" s="81"/>
      <c r="AS97"/>
      <c r="AT97"/>
      <c r="AU97"/>
      <c r="AX97"/>
    </row>
    <row r="98" spans="42:50" ht="16.5" x14ac:dyDescent="0.3">
      <c r="AP98"/>
      <c r="AQ98" s="81"/>
      <c r="AR98" s="81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41"/>
      <c r="B126" s="41"/>
      <c r="C126" s="41"/>
      <c r="D126" s="41"/>
      <c r="E126" s="41"/>
      <c r="AP126"/>
      <c r="AQ126"/>
      <c r="AR126"/>
      <c r="AS126"/>
      <c r="AT126"/>
      <c r="AU126"/>
    </row>
    <row r="127" spans="1:47" ht="16.5" x14ac:dyDescent="0.3">
      <c r="A127" s="41"/>
      <c r="B127" s="41"/>
      <c r="C127" s="41"/>
      <c r="D127" s="41"/>
      <c r="E127" s="41"/>
      <c r="AP127"/>
      <c r="AQ127"/>
      <c r="AR127"/>
      <c r="AS127"/>
      <c r="AT127"/>
      <c r="AU127"/>
    </row>
    <row r="128" spans="1:47" ht="16.5" x14ac:dyDescent="0.3">
      <c r="A128" s="41"/>
      <c r="B128" s="41"/>
      <c r="C128" s="41"/>
      <c r="D128" s="41"/>
      <c r="E128" s="41"/>
      <c r="AP128"/>
      <c r="AQ128"/>
      <c r="AR128"/>
      <c r="AS128"/>
      <c r="AT128"/>
      <c r="AU128"/>
    </row>
    <row r="129" spans="1:47" ht="16.5" x14ac:dyDescent="0.3">
      <c r="A129" s="41"/>
      <c r="B129" s="41"/>
      <c r="C129" s="41"/>
      <c r="D129" s="41"/>
      <c r="E129" s="41"/>
      <c r="AP129"/>
      <c r="AQ129"/>
      <c r="AR129"/>
      <c r="AS129"/>
      <c r="AT129"/>
      <c r="AU129"/>
    </row>
    <row r="130" spans="1:47" ht="16.5" x14ac:dyDescent="0.3">
      <c r="A130" s="41"/>
      <c r="B130" s="41"/>
      <c r="C130" s="41"/>
      <c r="D130" s="41"/>
      <c r="E130" s="41"/>
      <c r="AP130"/>
      <c r="AQ130"/>
      <c r="AR130"/>
      <c r="AS130"/>
      <c r="AT130"/>
      <c r="AU130"/>
    </row>
    <row r="131" spans="1:47" ht="16.5" x14ac:dyDescent="0.3">
      <c r="A131" s="41"/>
      <c r="B131" s="41"/>
      <c r="C131" s="41"/>
      <c r="D131" s="41"/>
      <c r="E131" s="41"/>
      <c r="AP131"/>
      <c r="AQ131"/>
      <c r="AR131"/>
      <c r="AS131"/>
      <c r="AT131"/>
      <c r="AU131"/>
    </row>
    <row r="132" spans="1:47" ht="16.5" x14ac:dyDescent="0.3">
      <c r="A132" s="41"/>
      <c r="B132" s="41"/>
      <c r="C132" s="41"/>
      <c r="D132" s="41"/>
      <c r="E132" s="41"/>
      <c r="AP132"/>
      <c r="AQ132"/>
      <c r="AR132"/>
      <c r="AS132"/>
      <c r="AT132"/>
      <c r="AU132"/>
    </row>
    <row r="133" spans="1:47" ht="16.5" x14ac:dyDescent="0.3">
      <c r="A133" s="41"/>
      <c r="B133" s="41"/>
      <c r="C133" s="41"/>
      <c r="D133" s="41"/>
      <c r="E133" s="41"/>
      <c r="AP133"/>
      <c r="AQ133"/>
      <c r="AR133"/>
      <c r="AS133"/>
      <c r="AT133"/>
      <c r="AU133"/>
    </row>
    <row r="134" spans="1:47" ht="16.5" x14ac:dyDescent="0.3">
      <c r="A134" s="41"/>
      <c r="B134" s="41"/>
      <c r="C134" s="41"/>
      <c r="D134" s="41"/>
      <c r="E134" s="41"/>
      <c r="AP134"/>
      <c r="AQ134"/>
      <c r="AR134"/>
      <c r="AS134"/>
      <c r="AT134"/>
      <c r="AU134"/>
    </row>
    <row r="135" spans="1:47" ht="16.5" x14ac:dyDescent="0.3">
      <c r="A135" s="41"/>
      <c r="B135" s="41"/>
      <c r="C135" s="41"/>
      <c r="D135" s="41"/>
      <c r="E135" s="41"/>
      <c r="AP135"/>
      <c r="AQ135"/>
      <c r="AR135"/>
      <c r="AS135"/>
      <c r="AT135"/>
      <c r="AU135"/>
    </row>
    <row r="136" spans="1:47" ht="16.5" x14ac:dyDescent="0.3">
      <c r="A136" s="41"/>
      <c r="B136" s="41"/>
      <c r="C136" s="41"/>
      <c r="D136" s="41"/>
      <c r="E136" s="41"/>
      <c r="AP136"/>
      <c r="AQ136"/>
      <c r="AR136"/>
      <c r="AS136"/>
      <c r="AT136"/>
      <c r="AU136"/>
    </row>
    <row r="137" spans="1:47" ht="16.5" x14ac:dyDescent="0.3">
      <c r="A137" s="41"/>
      <c r="B137" s="41"/>
      <c r="C137" s="41"/>
      <c r="D137" s="41"/>
      <c r="E137" s="41"/>
      <c r="AP137"/>
      <c r="AQ137"/>
      <c r="AR137"/>
      <c r="AS137"/>
      <c r="AT137"/>
      <c r="AU137"/>
    </row>
    <row r="138" spans="1:47" ht="16.5" x14ac:dyDescent="0.3">
      <c r="A138" s="41"/>
      <c r="B138" s="41"/>
      <c r="C138" s="41"/>
      <c r="D138" s="41"/>
      <c r="E138" s="41"/>
      <c r="AP138"/>
      <c r="AQ138"/>
      <c r="AR138"/>
      <c r="AS138"/>
      <c r="AT138"/>
      <c r="AU138"/>
    </row>
    <row r="139" spans="1:47" ht="16.5" x14ac:dyDescent="0.3">
      <c r="A139" s="41"/>
      <c r="B139" s="41"/>
      <c r="C139" s="41"/>
      <c r="D139" s="41"/>
      <c r="E139" s="41"/>
      <c r="AP139"/>
      <c r="AQ139"/>
      <c r="AR139"/>
      <c r="AS139"/>
      <c r="AT139"/>
      <c r="AU139"/>
    </row>
    <row r="140" spans="1:47" ht="16.5" x14ac:dyDescent="0.3">
      <c r="A140" s="41"/>
      <c r="B140" s="41"/>
      <c r="C140" s="41"/>
      <c r="D140" s="41"/>
      <c r="E140" s="41"/>
      <c r="AP140"/>
      <c r="AQ140"/>
      <c r="AR140"/>
      <c r="AS140"/>
      <c r="AT140"/>
      <c r="AU140"/>
    </row>
    <row r="141" spans="1:47" ht="16.5" x14ac:dyDescent="0.3">
      <c r="A141" s="41"/>
      <c r="B141" s="41"/>
      <c r="C141" s="41"/>
      <c r="D141" s="41"/>
      <c r="E141" s="41"/>
      <c r="AP141"/>
      <c r="AQ141"/>
      <c r="AR141"/>
      <c r="AS141"/>
      <c r="AT141"/>
      <c r="AU141"/>
    </row>
    <row r="142" spans="1:47" ht="16.5" x14ac:dyDescent="0.3">
      <c r="A142" s="41"/>
      <c r="B142" s="41"/>
      <c r="C142" s="41"/>
      <c r="D142" s="41"/>
      <c r="E142" s="41"/>
      <c r="AP142"/>
      <c r="AQ142"/>
      <c r="AR142"/>
      <c r="AS142"/>
      <c r="AT142"/>
      <c r="AU142"/>
    </row>
    <row r="143" spans="1:47" ht="16.5" x14ac:dyDescent="0.3">
      <c r="A143" s="41"/>
      <c r="B143" s="41"/>
      <c r="C143" s="41"/>
      <c r="D143" s="41"/>
      <c r="E143" s="41"/>
      <c r="AP143"/>
      <c r="AQ143"/>
      <c r="AR143"/>
      <c r="AS143"/>
      <c r="AT143"/>
      <c r="AU143"/>
    </row>
    <row r="144" spans="1:47" ht="16.5" x14ac:dyDescent="0.3">
      <c r="A144" s="41"/>
      <c r="B144" s="41"/>
      <c r="C144" s="41"/>
      <c r="D144" s="41"/>
      <c r="E144" s="41"/>
      <c r="AP144"/>
      <c r="AQ144"/>
      <c r="AR144"/>
      <c r="AS144"/>
      <c r="AT144"/>
      <c r="AU144"/>
    </row>
    <row r="145" spans="1:47" ht="16.5" x14ac:dyDescent="0.3">
      <c r="A145" s="41"/>
      <c r="B145" s="41"/>
      <c r="C145" s="41"/>
      <c r="D145" s="41"/>
      <c r="E145" s="41"/>
      <c r="AP145"/>
      <c r="AQ145"/>
      <c r="AR145"/>
      <c r="AS145"/>
      <c r="AT145"/>
      <c r="AU145"/>
    </row>
    <row r="146" spans="1:47" ht="16.5" x14ac:dyDescent="0.3">
      <c r="A146" s="41"/>
      <c r="B146" s="41"/>
      <c r="C146" s="41"/>
      <c r="D146" s="41"/>
      <c r="E146" s="41"/>
      <c r="AP146"/>
      <c r="AQ146"/>
      <c r="AR146"/>
      <c r="AS146"/>
      <c r="AT146"/>
      <c r="AU146"/>
    </row>
    <row r="147" spans="1:47" ht="16.5" x14ac:dyDescent="0.3">
      <c r="A147" s="41"/>
      <c r="B147" s="41"/>
      <c r="C147" s="41"/>
      <c r="D147" s="41"/>
      <c r="E147" s="41"/>
      <c r="AP147"/>
      <c r="AQ147"/>
      <c r="AR147"/>
      <c r="AS147"/>
      <c r="AT147"/>
      <c r="AU147"/>
    </row>
    <row r="148" spans="1:47" ht="16.5" x14ac:dyDescent="0.3">
      <c r="A148" s="41"/>
      <c r="B148" s="41"/>
      <c r="C148" s="41"/>
      <c r="D148" s="41"/>
      <c r="E148" s="41"/>
      <c r="AP148"/>
      <c r="AQ148"/>
      <c r="AR148"/>
      <c r="AS148"/>
      <c r="AT148"/>
      <c r="AU148"/>
    </row>
    <row r="149" spans="1:47" ht="16.5" x14ac:dyDescent="0.3">
      <c r="A149" s="41"/>
      <c r="B149" s="41"/>
      <c r="C149" s="41"/>
      <c r="D149" s="41"/>
      <c r="E149" s="41"/>
      <c r="AP149"/>
      <c r="AQ149"/>
      <c r="AR149"/>
      <c r="AS149"/>
      <c r="AT149"/>
      <c r="AU149"/>
    </row>
    <row r="150" spans="1:47" ht="16.5" x14ac:dyDescent="0.3">
      <c r="A150" s="41"/>
      <c r="B150" s="41"/>
      <c r="C150" s="41"/>
      <c r="D150" s="41"/>
      <c r="E150" s="41"/>
      <c r="AP150"/>
      <c r="AQ150"/>
      <c r="AR150"/>
      <c r="AS150"/>
      <c r="AT150"/>
      <c r="AU150"/>
    </row>
    <row r="151" spans="1:47" ht="16.5" x14ac:dyDescent="0.3">
      <c r="A151" s="41"/>
      <c r="B151" s="41"/>
      <c r="C151" s="41"/>
      <c r="D151" s="41"/>
      <c r="E151" s="41"/>
      <c r="AP151"/>
      <c r="AQ151"/>
      <c r="AR151"/>
      <c r="AS151"/>
      <c r="AT151"/>
      <c r="AU151"/>
    </row>
    <row r="152" spans="1:47" ht="16.5" x14ac:dyDescent="0.3">
      <c r="A152" s="41"/>
      <c r="B152" s="41"/>
      <c r="C152" s="41"/>
      <c r="D152" s="41"/>
      <c r="E152" s="41"/>
      <c r="AP152"/>
      <c r="AQ152"/>
      <c r="AR152"/>
      <c r="AS152"/>
      <c r="AT152"/>
      <c r="AU152"/>
    </row>
    <row r="153" spans="1:47" ht="16.5" x14ac:dyDescent="0.3">
      <c r="A153" s="41"/>
      <c r="B153" s="41"/>
      <c r="C153" s="41"/>
      <c r="D153" s="41"/>
      <c r="E153" s="41"/>
      <c r="AP153"/>
      <c r="AQ153"/>
      <c r="AR153"/>
      <c r="AS153"/>
      <c r="AT153"/>
      <c r="AU153"/>
    </row>
    <row r="154" spans="1:47" ht="16.5" x14ac:dyDescent="0.3">
      <c r="A154" s="41"/>
      <c r="B154" s="41"/>
      <c r="C154" s="41"/>
      <c r="D154" s="41"/>
      <c r="E154" s="41"/>
      <c r="AP154"/>
      <c r="AQ154"/>
      <c r="AR154"/>
      <c r="AS154"/>
      <c r="AT154"/>
      <c r="AU154"/>
    </row>
    <row r="155" spans="1:47" ht="16.5" x14ac:dyDescent="0.3">
      <c r="A155" s="41"/>
      <c r="B155" s="41"/>
      <c r="C155" s="41"/>
      <c r="D155" s="41"/>
      <c r="E155" s="41"/>
      <c r="AP155"/>
      <c r="AQ155"/>
      <c r="AR155"/>
      <c r="AS155"/>
      <c r="AT155"/>
      <c r="AU155"/>
    </row>
    <row r="156" spans="1:47" ht="16.5" x14ac:dyDescent="0.3">
      <c r="A156" s="41"/>
      <c r="B156" s="41"/>
      <c r="C156" s="41"/>
      <c r="D156" s="41"/>
      <c r="E156" s="41"/>
      <c r="AP156"/>
      <c r="AQ156"/>
      <c r="AR156"/>
      <c r="AS156"/>
      <c r="AT156"/>
      <c r="AU156"/>
    </row>
    <row r="157" spans="1:47" ht="16.5" x14ac:dyDescent="0.3">
      <c r="A157" s="41"/>
      <c r="B157" s="41"/>
      <c r="C157" s="41"/>
      <c r="D157" s="41"/>
      <c r="E157" s="41"/>
      <c r="AP157"/>
      <c r="AQ157"/>
      <c r="AR157"/>
      <c r="AS157"/>
      <c r="AT157"/>
      <c r="AU157"/>
    </row>
    <row r="158" spans="1:47" ht="16.5" x14ac:dyDescent="0.3">
      <c r="A158" s="41"/>
      <c r="B158" s="41"/>
      <c r="C158" s="41"/>
      <c r="D158" s="41"/>
      <c r="E158" s="41"/>
      <c r="AP158"/>
      <c r="AQ158"/>
      <c r="AR158"/>
      <c r="AS158"/>
      <c r="AT158"/>
      <c r="AU158"/>
    </row>
    <row r="159" spans="1:47" ht="16.5" x14ac:dyDescent="0.3">
      <c r="A159" s="41"/>
      <c r="B159" s="41"/>
      <c r="C159" s="41"/>
      <c r="D159" s="41"/>
      <c r="E159" s="41"/>
      <c r="AP159"/>
      <c r="AQ159"/>
      <c r="AR159"/>
      <c r="AS159"/>
      <c r="AT159"/>
      <c r="AU159"/>
    </row>
    <row r="160" spans="1:47" ht="16.5" x14ac:dyDescent="0.3">
      <c r="A160" s="41"/>
      <c r="B160" s="41"/>
      <c r="C160" s="41"/>
      <c r="D160" s="41"/>
      <c r="E160" s="41"/>
      <c r="AP160"/>
      <c r="AQ160"/>
      <c r="AR160"/>
      <c r="AS160"/>
      <c r="AT160"/>
      <c r="AU160"/>
    </row>
    <row r="161" spans="1:47" ht="16.5" x14ac:dyDescent="0.3">
      <c r="A161" s="41"/>
      <c r="B161" s="41"/>
      <c r="C161" s="41"/>
      <c r="D161" s="41"/>
      <c r="E161" s="41"/>
      <c r="AP161"/>
      <c r="AQ161"/>
      <c r="AR161"/>
      <c r="AS161"/>
      <c r="AT161"/>
      <c r="AU161"/>
    </row>
    <row r="162" spans="1:47" ht="16.5" x14ac:dyDescent="0.3">
      <c r="A162" s="41"/>
      <c r="B162" s="41"/>
      <c r="C162" s="41"/>
      <c r="D162" s="41"/>
      <c r="E162" s="41"/>
      <c r="AP162"/>
      <c r="AQ162"/>
      <c r="AR162"/>
      <c r="AS162"/>
      <c r="AT162"/>
      <c r="AU162"/>
    </row>
    <row r="163" spans="1:47" ht="16.5" x14ac:dyDescent="0.3">
      <c r="A163" s="41"/>
      <c r="B163" s="41"/>
      <c r="C163" s="41"/>
      <c r="D163" s="41"/>
      <c r="E163" s="41"/>
      <c r="AP163"/>
      <c r="AQ163"/>
      <c r="AR163"/>
      <c r="AS163"/>
      <c r="AT163"/>
      <c r="AU163"/>
    </row>
    <row r="164" spans="1:47" ht="16.5" x14ac:dyDescent="0.3">
      <c r="A164" s="41"/>
      <c r="B164" s="41"/>
      <c r="C164" s="41"/>
      <c r="D164" s="41"/>
      <c r="E164" s="41"/>
      <c r="AP164"/>
      <c r="AQ164"/>
      <c r="AR164"/>
      <c r="AS164"/>
      <c r="AT164"/>
      <c r="AU164"/>
    </row>
    <row r="165" spans="1:47" ht="16.5" x14ac:dyDescent="0.3">
      <c r="A165" s="41"/>
      <c r="B165" s="41"/>
      <c r="C165" s="41"/>
      <c r="D165" s="41"/>
      <c r="E165" s="41"/>
      <c r="AP165"/>
      <c r="AQ165"/>
      <c r="AR165"/>
      <c r="AS165"/>
      <c r="AT165"/>
      <c r="AU165"/>
    </row>
    <row r="166" spans="1:47" ht="16.5" x14ac:dyDescent="0.3">
      <c r="A166" s="41"/>
      <c r="B166" s="41"/>
      <c r="C166" s="41"/>
      <c r="D166" s="41"/>
      <c r="E166" s="41"/>
      <c r="AP166"/>
      <c r="AQ166"/>
      <c r="AR166"/>
      <c r="AS166"/>
      <c r="AT166"/>
      <c r="AU166"/>
    </row>
    <row r="167" spans="1:47" ht="16.5" x14ac:dyDescent="0.3">
      <c r="A167" s="41"/>
      <c r="B167" s="41"/>
      <c r="C167" s="41"/>
      <c r="D167" s="41"/>
      <c r="E167" s="41"/>
      <c r="AP167"/>
      <c r="AQ167"/>
      <c r="AR167"/>
      <c r="AS167"/>
      <c r="AT167"/>
      <c r="AU167"/>
    </row>
    <row r="168" spans="1:47" ht="16.5" x14ac:dyDescent="0.3">
      <c r="A168" s="41"/>
      <c r="B168" s="41"/>
      <c r="C168" s="41"/>
      <c r="D168" s="41"/>
      <c r="E168" s="41"/>
      <c r="AP168"/>
      <c r="AQ168"/>
      <c r="AR168"/>
      <c r="AS168"/>
      <c r="AT168"/>
      <c r="AU168"/>
    </row>
    <row r="169" spans="1:47" ht="16.5" x14ac:dyDescent="0.3">
      <c r="A169" s="41"/>
      <c r="B169" s="41"/>
      <c r="C169" s="41"/>
      <c r="D169" s="41"/>
      <c r="E169" s="41"/>
      <c r="AP169"/>
      <c r="AQ169"/>
      <c r="AR169"/>
      <c r="AS169"/>
      <c r="AT169"/>
      <c r="AU169"/>
    </row>
    <row r="170" spans="1:47" ht="16.5" x14ac:dyDescent="0.3">
      <c r="A170" s="41"/>
      <c r="B170" s="41"/>
      <c r="C170" s="41"/>
      <c r="D170" s="41"/>
      <c r="E170" s="41"/>
      <c r="AP170"/>
      <c r="AQ170"/>
      <c r="AR170"/>
      <c r="AS170"/>
      <c r="AT170"/>
      <c r="AU170"/>
    </row>
    <row r="171" spans="1:47" ht="16.5" x14ac:dyDescent="0.3">
      <c r="A171" s="41"/>
      <c r="B171" s="41"/>
      <c r="C171" s="41"/>
      <c r="D171" s="41"/>
      <c r="E171" s="41"/>
      <c r="AP171"/>
      <c r="AQ171"/>
      <c r="AR171"/>
      <c r="AS171"/>
      <c r="AT171"/>
      <c r="AU171"/>
    </row>
    <row r="172" spans="1:47" ht="16.5" x14ac:dyDescent="0.3">
      <c r="A172" s="41"/>
      <c r="B172" s="41"/>
      <c r="C172" s="41"/>
      <c r="D172" s="41"/>
      <c r="E172" s="41"/>
      <c r="AP172"/>
      <c r="AQ172"/>
      <c r="AR172"/>
      <c r="AS172"/>
      <c r="AT172"/>
      <c r="AU172"/>
    </row>
    <row r="173" spans="1:47" ht="16.5" x14ac:dyDescent="0.3">
      <c r="A173" s="41"/>
      <c r="B173" s="41"/>
      <c r="C173" s="41"/>
      <c r="D173" s="41"/>
      <c r="E173" s="41"/>
      <c r="AP173"/>
      <c r="AQ173"/>
      <c r="AR173"/>
      <c r="AS173"/>
      <c r="AT173"/>
      <c r="AU173"/>
    </row>
    <row r="174" spans="1:47" ht="16.5" x14ac:dyDescent="0.3">
      <c r="A174" s="41"/>
      <c r="B174" s="41"/>
      <c r="C174" s="41"/>
      <c r="D174" s="41"/>
      <c r="E174" s="41"/>
      <c r="AP174"/>
      <c r="AQ174"/>
      <c r="AR174"/>
      <c r="AS174"/>
      <c r="AT174"/>
      <c r="AU174"/>
    </row>
    <row r="175" spans="1:47" ht="16.5" x14ac:dyDescent="0.3">
      <c r="A175" s="41"/>
      <c r="B175" s="41"/>
      <c r="C175" s="41"/>
      <c r="D175" s="41"/>
      <c r="E175" s="41"/>
      <c r="AP175"/>
      <c r="AQ175"/>
      <c r="AR175"/>
      <c r="AS175"/>
      <c r="AT175"/>
      <c r="AU175"/>
    </row>
    <row r="176" spans="1:47" ht="16.5" x14ac:dyDescent="0.3">
      <c r="A176" s="41"/>
      <c r="B176" s="41"/>
      <c r="C176" s="41"/>
      <c r="D176" s="41"/>
      <c r="E176" s="41"/>
      <c r="AP176"/>
      <c r="AQ176"/>
      <c r="AR176"/>
      <c r="AS176"/>
      <c r="AT176"/>
      <c r="AU176"/>
    </row>
    <row r="177" spans="1:47" ht="16.5" x14ac:dyDescent="0.3">
      <c r="A177" s="41"/>
      <c r="B177" s="41"/>
      <c r="C177" s="41"/>
      <c r="D177" s="41"/>
      <c r="E177" s="41"/>
      <c r="AP177"/>
      <c r="AQ177"/>
      <c r="AR177"/>
      <c r="AS177"/>
      <c r="AT177"/>
      <c r="AU177"/>
    </row>
    <row r="178" spans="1:47" ht="16.5" x14ac:dyDescent="0.3">
      <c r="A178" s="41"/>
      <c r="B178" s="41"/>
      <c r="C178" s="41"/>
      <c r="D178" s="41"/>
      <c r="E178" s="41"/>
      <c r="AP178"/>
      <c r="AQ178"/>
      <c r="AR178"/>
      <c r="AS178"/>
      <c r="AT178"/>
      <c r="AU178"/>
    </row>
    <row r="179" spans="1:47" ht="16.5" x14ac:dyDescent="0.3">
      <c r="A179" s="41"/>
      <c r="B179" s="41"/>
      <c r="C179" s="41"/>
      <c r="D179" s="41"/>
      <c r="E179" s="41"/>
      <c r="AP179"/>
      <c r="AQ179"/>
      <c r="AR179"/>
      <c r="AS179"/>
      <c r="AT179"/>
      <c r="AU179"/>
    </row>
    <row r="180" spans="1:47" ht="16.5" x14ac:dyDescent="0.3">
      <c r="A180" s="41"/>
      <c r="B180" s="41"/>
      <c r="C180" s="41"/>
      <c r="D180" s="41"/>
      <c r="E180" s="41"/>
      <c r="AP180"/>
      <c r="AQ180"/>
      <c r="AR180"/>
      <c r="AS180"/>
      <c r="AT180"/>
      <c r="AU180"/>
    </row>
    <row r="181" spans="1:47" ht="16.5" x14ac:dyDescent="0.3">
      <c r="A181" s="41"/>
      <c r="B181" s="41"/>
      <c r="C181" s="41"/>
      <c r="D181" s="41"/>
      <c r="E181" s="41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V2" sqref="V2:W48"/>
    </sheetView>
  </sheetViews>
  <sheetFormatPr defaultColWidth="9.140625" defaultRowHeight="15" x14ac:dyDescent="0.25"/>
  <cols>
    <col min="1" max="1" width="4.5703125" style="57" bestFit="1" customWidth="1"/>
    <col min="2" max="2" width="9.7109375" style="57" bestFit="1" customWidth="1"/>
    <col min="3" max="3" width="13" style="57" customWidth="1"/>
    <col min="4" max="4" width="8.7109375" style="57" customWidth="1"/>
    <col min="5" max="5" width="5.85546875" style="57" customWidth="1"/>
    <col min="6" max="6" width="9.7109375" style="57" customWidth="1"/>
    <col min="7" max="7" width="10.7109375" style="57" customWidth="1"/>
    <col min="8" max="8" width="7.28515625" style="57" customWidth="1"/>
    <col min="9" max="9" width="8.7109375" style="57" bestFit="1" customWidth="1"/>
    <col min="10" max="10" width="9.140625" style="57"/>
    <col min="11" max="11" width="12.140625" style="57" bestFit="1" customWidth="1"/>
    <col min="12" max="12" width="13.85546875" style="57" bestFit="1" customWidth="1"/>
    <col min="13" max="13" width="12.42578125" style="57" bestFit="1" customWidth="1"/>
    <col min="14" max="14" width="12.140625" style="57" bestFit="1" customWidth="1"/>
    <col min="15" max="18" width="9.28515625" style="57" bestFit="1" customWidth="1"/>
    <col min="19" max="20" width="9.140625" style="57"/>
    <col min="21" max="21" width="9.28515625" style="57" bestFit="1" customWidth="1"/>
    <col min="22" max="32" width="9.140625" style="57"/>
    <col min="33" max="33" width="9.140625" style="57" customWidth="1"/>
    <col min="34" max="36" width="9.140625" style="57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57"/>
  </cols>
  <sheetData>
    <row r="1" spans="1:43" customFormat="1" ht="15.75" thickBot="1" x14ac:dyDescent="0.3">
      <c r="J1" t="s">
        <v>115</v>
      </c>
      <c r="K1" s="123">
        <v>2.2929434185014169E-2</v>
      </c>
    </row>
    <row r="2" spans="1:43" ht="17.25" thickBot="1" x14ac:dyDescent="0.35">
      <c r="A2" s="61" t="s">
        <v>4</v>
      </c>
      <c r="B2" s="62" t="s">
        <v>103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1</v>
      </c>
      <c r="I2" s="1" t="s">
        <v>113</v>
      </c>
      <c r="J2" s="1" t="s">
        <v>114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26">
        <v>1</v>
      </c>
      <c r="B3" s="72">
        <v>50</v>
      </c>
      <c r="C3" s="1">
        <f>B3</f>
        <v>50</v>
      </c>
      <c r="D3" s="124">
        <f>B3-C3</f>
        <v>0</v>
      </c>
      <c r="E3" s="1">
        <f>ABS(D3)</f>
        <v>0</v>
      </c>
      <c r="F3" s="124">
        <f>D3^2</f>
        <v>0</v>
      </c>
      <c r="G3" s="124">
        <f>E3/B3</f>
        <v>0</v>
      </c>
      <c r="H3" s="124">
        <f>AVERAGE(E$3:E3)</f>
        <v>0</v>
      </c>
      <c r="I3" s="124">
        <f>AVERAGE(F$3:F3)</f>
        <v>0</v>
      </c>
      <c r="J3" s="124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26">
        <v>2</v>
      </c>
      <c r="B4" s="72">
        <v>63</v>
      </c>
      <c r="C4" s="124">
        <f>(1-$K$1)*C3+$K$1*B3</f>
        <v>50.000000000000007</v>
      </c>
      <c r="D4" s="124">
        <f t="shared" ref="D4:D30" si="0">B4-C4</f>
        <v>12.999999999999993</v>
      </c>
      <c r="E4" s="1">
        <f t="shared" ref="E4:E30" si="1">ABS(D4)</f>
        <v>12.999999999999993</v>
      </c>
      <c r="F4" s="124">
        <f t="shared" ref="F4:F30" si="2">D4^2</f>
        <v>168.99999999999983</v>
      </c>
      <c r="G4" s="124">
        <f t="shared" ref="G4:G30" si="3">E4/B4</f>
        <v>0.20634920634920623</v>
      </c>
      <c r="H4" s="124">
        <f>AVERAGE(E$3:E4)</f>
        <v>6.4999999999999964</v>
      </c>
      <c r="I4" s="124">
        <f>AVERAGE(F$3:F4)</f>
        <v>84.499999999999915</v>
      </c>
      <c r="J4" s="124">
        <f>AVERAGE(G$3:G4)</f>
        <v>0.10317460317460311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26">
        <v>3</v>
      </c>
      <c r="B5" s="72">
        <v>50</v>
      </c>
      <c r="C5" s="124">
        <f t="shared" ref="C5:C31" si="4">(1-$K$1)*C4+$K$1*B4</f>
        <v>50.298082644405198</v>
      </c>
      <c r="D5" s="124">
        <f t="shared" si="0"/>
        <v>-0.29808264440519849</v>
      </c>
      <c r="E5" s="1">
        <f t="shared" si="1"/>
        <v>0.29808264440519849</v>
      </c>
      <c r="F5" s="124">
        <f t="shared" si="2"/>
        <v>8.8853262895596016E-2</v>
      </c>
      <c r="G5" s="124">
        <f t="shared" si="3"/>
        <v>5.9616528881039701E-3</v>
      </c>
      <c r="H5" s="124">
        <f>AVERAGE(E$3:E5)</f>
        <v>4.4326942148017308</v>
      </c>
      <c r="I5" s="124">
        <f>AVERAGE(F$3:F5)</f>
        <v>56.362951087631807</v>
      </c>
      <c r="J5" s="124">
        <f>AVERAGE(G$3:G5)</f>
        <v>7.0770286412436725E-2</v>
      </c>
      <c r="K5"/>
      <c r="L5"/>
      <c r="M5" s="123">
        <f>J30</f>
        <v>0.27699277587378907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26">
        <v>4</v>
      </c>
      <c r="B6" s="72">
        <v>44</v>
      </c>
      <c r="C6" s="124">
        <f t="shared" si="4"/>
        <v>50.29124777802862</v>
      </c>
      <c r="D6" s="124">
        <f t="shared" si="0"/>
        <v>-6.2912477780286196</v>
      </c>
      <c r="E6" s="1">
        <f t="shared" si="1"/>
        <v>6.2912477780286196</v>
      </c>
      <c r="F6" s="124">
        <f t="shared" si="2"/>
        <v>39.579798604550042</v>
      </c>
      <c r="G6" s="124">
        <f t="shared" si="3"/>
        <v>0.142982904046105</v>
      </c>
      <c r="H6" s="124">
        <f>AVERAGE(E$3:E6)</f>
        <v>4.8973326056084527</v>
      </c>
      <c r="I6" s="124">
        <f>AVERAGE(F$3:F6)</f>
        <v>52.167162966861362</v>
      </c>
      <c r="J6" s="124">
        <f>AVERAGE(G$3:G6)</f>
        <v>8.8823440820853805E-2</v>
      </c>
      <c r="K6"/>
      <c r="L6">
        <f>L3</f>
        <v>0</v>
      </c>
      <c r="M6">
        <f t="dataTable" ref="M6:M16" dt2D="0" dtr="0" r1="K1"/>
        <v>0.28844314349640193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26">
        <v>5</v>
      </c>
      <c r="B7" s="72">
        <v>49</v>
      </c>
      <c r="C7" s="124">
        <f t="shared" si="4"/>
        <v>50.146993026160693</v>
      </c>
      <c r="D7" s="124">
        <f t="shared" si="0"/>
        <v>-1.1469930261606933</v>
      </c>
      <c r="E7" s="1">
        <f t="shared" si="1"/>
        <v>1.1469930261606933</v>
      </c>
      <c r="F7" s="124">
        <f t="shared" si="2"/>
        <v>1.3155930020612649</v>
      </c>
      <c r="G7" s="124">
        <f t="shared" si="3"/>
        <v>2.3408020942054967E-2</v>
      </c>
      <c r="H7" s="124">
        <f>AVERAGE(E$3:E7)</f>
        <v>4.1472646897189005</v>
      </c>
      <c r="I7" s="124">
        <f>AVERAGE(F$3:F7)</f>
        <v>41.996848973901344</v>
      </c>
      <c r="J7" s="124">
        <f>AVERAGE(G$3:G7)</f>
        <v>7.5740356845094031E-2</v>
      </c>
      <c r="K7"/>
      <c r="L7">
        <f>L6+L$4</f>
        <v>0.1</v>
      </c>
      <c r="M7">
        <v>0.25412777244823331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26">
        <v>6</v>
      </c>
      <c r="B8" s="72">
        <v>48</v>
      </c>
      <c r="C8" s="124">
        <f t="shared" si="4"/>
        <v>50.120693125056675</v>
      </c>
      <c r="D8" s="124">
        <f t="shared" si="0"/>
        <v>-2.1206931250566754</v>
      </c>
      <c r="E8" s="1">
        <f t="shared" si="1"/>
        <v>2.1206931250566754</v>
      </c>
      <c r="F8" s="124">
        <f t="shared" si="2"/>
        <v>4.4973393306626477</v>
      </c>
      <c r="G8" s="124">
        <f t="shared" si="3"/>
        <v>4.4181106772014068E-2</v>
      </c>
      <c r="H8" s="124">
        <f>AVERAGE(E$3:E8)</f>
        <v>3.8095027622751965</v>
      </c>
      <c r="I8" s="124">
        <f>AVERAGE(F$3:F8)</f>
        <v>35.746930700028223</v>
      </c>
      <c r="J8" s="124">
        <f>AVERAGE(G$3:G8)</f>
        <v>7.0480481832914041E-2</v>
      </c>
      <c r="K8"/>
      <c r="L8">
        <f t="shared" ref="L8:L16" si="5">L7+L$4</f>
        <v>0.2</v>
      </c>
      <c r="M8">
        <v>0.24014491822127096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26">
        <v>7</v>
      </c>
      <c r="B9" s="72">
        <v>42</v>
      </c>
      <c r="C9" s="124">
        <f t="shared" si="4"/>
        <v>50.072066831619075</v>
      </c>
      <c r="D9" s="124">
        <f t="shared" si="0"/>
        <v>-8.0720668316190753</v>
      </c>
      <c r="E9" s="1">
        <f t="shared" si="1"/>
        <v>8.0720668316190753</v>
      </c>
      <c r="F9" s="124">
        <f t="shared" si="2"/>
        <v>65.158262934124821</v>
      </c>
      <c r="G9" s="124">
        <f t="shared" si="3"/>
        <v>0.19219206741950179</v>
      </c>
      <c r="H9" s="124">
        <f>AVERAGE(E$3:E9)</f>
        <v>4.4184404864671789</v>
      </c>
      <c r="I9" s="124">
        <f>AVERAGE(F$3:F9)</f>
        <v>39.94854959061346</v>
      </c>
      <c r="J9" s="124">
        <f>AVERAGE(G$3:G9)</f>
        <v>8.7867851202426586E-2</v>
      </c>
      <c r="K9"/>
      <c r="L9">
        <f t="shared" si="5"/>
        <v>0.30000000000000004</v>
      </c>
      <c r="M9">
        <v>0.23953052212731918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26">
        <v>8</v>
      </c>
      <c r="B10" s="72">
        <v>49</v>
      </c>
      <c r="C10" s="124">
        <f t="shared" si="4"/>
        <v>49.886978906466432</v>
      </c>
      <c r="D10" s="124">
        <f t="shared" si="0"/>
        <v>-0.88697890646643174</v>
      </c>
      <c r="E10" s="1">
        <f t="shared" si="1"/>
        <v>0.88697890646643174</v>
      </c>
      <c r="F10" s="124">
        <f t="shared" si="2"/>
        <v>0.78673158051638703</v>
      </c>
      <c r="G10" s="124">
        <f t="shared" si="3"/>
        <v>1.8101610336049626E-2</v>
      </c>
      <c r="H10" s="124">
        <f>AVERAGE(E$3:E10)</f>
        <v>3.9770077889670858</v>
      </c>
      <c r="I10" s="124">
        <f>AVERAGE(F$3:F10)</f>
        <v>35.053322339351325</v>
      </c>
      <c r="J10" s="124">
        <f>AVERAGE(G$3:G10)</f>
        <v>7.9147071094129468E-2</v>
      </c>
      <c r="K10"/>
      <c r="L10">
        <f t="shared" si="5"/>
        <v>0.4</v>
      </c>
      <c r="M10">
        <v>0.24450408034858426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26">
        <v>9</v>
      </c>
      <c r="B11" s="72">
        <v>50</v>
      </c>
      <c r="C11" s="124">
        <f t="shared" si="4"/>
        <v>49.866640982007119</v>
      </c>
      <c r="D11" s="124">
        <f t="shared" si="0"/>
        <v>0.13335901799288052</v>
      </c>
      <c r="E11" s="1">
        <f t="shared" si="1"/>
        <v>0.13335901799288052</v>
      </c>
      <c r="F11" s="124">
        <f t="shared" si="2"/>
        <v>1.7784627680025433E-2</v>
      </c>
      <c r="G11" s="124">
        <f t="shared" si="3"/>
        <v>2.6671803598576106E-3</v>
      </c>
      <c r="H11" s="124">
        <f>AVERAGE(E$3:E11)</f>
        <v>3.5499357033032855</v>
      </c>
      <c r="I11" s="124">
        <f>AVERAGE(F$3:F11)</f>
        <v>31.160484815832294</v>
      </c>
      <c r="J11" s="124">
        <f>AVERAGE(G$3:G11)</f>
        <v>7.0649305456988151E-2</v>
      </c>
      <c r="K11"/>
      <c r="L11">
        <f t="shared" si="5"/>
        <v>0.5</v>
      </c>
      <c r="M11">
        <v>0.24830237017684512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26">
        <v>10</v>
      </c>
      <c r="B12" s="72">
        <v>48</v>
      </c>
      <c r="C12" s="124">
        <f t="shared" si="4"/>
        <v>49.869698828833172</v>
      </c>
      <c r="D12" s="124">
        <f t="shared" si="0"/>
        <v>-1.8696988288331724</v>
      </c>
      <c r="E12" s="1">
        <f t="shared" si="1"/>
        <v>1.8696988288331724</v>
      </c>
      <c r="F12" s="124">
        <f t="shared" si="2"/>
        <v>3.4957737105401363</v>
      </c>
      <c r="G12" s="124">
        <f t="shared" si="3"/>
        <v>3.8952058934024425E-2</v>
      </c>
      <c r="H12" s="124">
        <f>AVERAGE(E$3:E12)</f>
        <v>3.3819120158562739</v>
      </c>
      <c r="I12" s="124">
        <f>AVERAGE(F$3:F12)</f>
        <v>28.394013705303081</v>
      </c>
      <c r="J12" s="124">
        <f>AVERAGE(G$3:G12)</f>
        <v>6.7479580804691769E-2</v>
      </c>
      <c r="K12"/>
      <c r="L12">
        <f t="shared" si="5"/>
        <v>0.6</v>
      </c>
      <c r="M12">
        <v>0.25131492136940292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26">
        <v>11</v>
      </c>
      <c r="B13" s="72">
        <v>44</v>
      </c>
      <c r="C13" s="124">
        <f t="shared" si="4"/>
        <v>49.826827692591642</v>
      </c>
      <c r="D13" s="124">
        <f t="shared" si="0"/>
        <v>-5.8268276925916425</v>
      </c>
      <c r="E13" s="1">
        <f t="shared" si="1"/>
        <v>5.8268276925916425</v>
      </c>
      <c r="F13" s="124">
        <f t="shared" si="2"/>
        <v>33.951920959152844</v>
      </c>
      <c r="G13" s="124">
        <f t="shared" si="3"/>
        <v>0.13242790210435551</v>
      </c>
      <c r="H13" s="124">
        <f>AVERAGE(E$3:E13)</f>
        <v>3.6041770773776709</v>
      </c>
      <c r="I13" s="124">
        <f>AVERAGE(F$3:F13)</f>
        <v>28.899278001107607</v>
      </c>
      <c r="J13" s="124">
        <f>AVERAGE(G$3:G13)</f>
        <v>7.3383973650115744E-2</v>
      </c>
      <c r="K13"/>
      <c r="L13">
        <f t="shared" si="5"/>
        <v>0.7</v>
      </c>
      <c r="M13">
        <v>0.25305169582340331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26">
        <v>12</v>
      </c>
      <c r="B14" s="72">
        <v>66</v>
      </c>
      <c r="C14" s="124">
        <f t="shared" si="4"/>
        <v>49.693221830506943</v>
      </c>
      <c r="D14" s="124">
        <f t="shared" si="0"/>
        <v>16.306778169493057</v>
      </c>
      <c r="E14" s="1">
        <f t="shared" si="1"/>
        <v>16.306778169493057</v>
      </c>
      <c r="F14" s="124">
        <f t="shared" si="2"/>
        <v>265.91101426905533</v>
      </c>
      <c r="G14" s="124">
        <f t="shared" si="3"/>
        <v>0.24707239650747057</v>
      </c>
      <c r="H14" s="124">
        <f>AVERAGE(E$3:E14)</f>
        <v>4.6627271683872866</v>
      </c>
      <c r="I14" s="124">
        <f>AVERAGE(F$3:F14)</f>
        <v>48.650256023436583</v>
      </c>
      <c r="J14" s="124">
        <f>AVERAGE(G$3:G14)</f>
        <v>8.7858008888228645E-2</v>
      </c>
      <c r="K14"/>
      <c r="L14">
        <f t="shared" si="5"/>
        <v>0.79999999999999993</v>
      </c>
      <c r="M14">
        <v>0.25751098421100377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26">
        <v>13</v>
      </c>
      <c r="B15" s="72">
        <v>30</v>
      </c>
      <c r="C15" s="124">
        <f t="shared" si="4"/>
        <v>50.067127027313965</v>
      </c>
      <c r="D15" s="124">
        <f t="shared" si="0"/>
        <v>-20.067127027313965</v>
      </c>
      <c r="E15" s="1">
        <f t="shared" si="1"/>
        <v>20.067127027313965</v>
      </c>
      <c r="F15" s="124">
        <f t="shared" si="2"/>
        <v>402.68958713035465</v>
      </c>
      <c r="G15" s="124">
        <f t="shared" si="3"/>
        <v>0.66890423424379886</v>
      </c>
      <c r="H15" s="124">
        <f>AVERAGE(E$3:E15)</f>
        <v>5.8476810036893392</v>
      </c>
      <c r="I15" s="124">
        <f>AVERAGE(F$3:F15)</f>
        <v>75.884050723968741</v>
      </c>
      <c r="J15" s="124">
        <f>AVERAGE(G$3:G15)</f>
        <v>0.13255387237711866</v>
      </c>
      <c r="K15"/>
      <c r="L15">
        <f t="shared" si="5"/>
        <v>0.89999999999999991</v>
      </c>
      <c r="M15">
        <v>0.26869247680404323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26">
        <v>14</v>
      </c>
      <c r="B16" s="72">
        <v>59</v>
      </c>
      <c r="C16" s="124">
        <f t="shared" si="4"/>
        <v>49.606999158858855</v>
      </c>
      <c r="D16" s="124">
        <f t="shared" si="0"/>
        <v>9.393000841141145</v>
      </c>
      <c r="E16" s="1">
        <f t="shared" si="1"/>
        <v>9.393000841141145</v>
      </c>
      <c r="F16" s="124">
        <f t="shared" si="2"/>
        <v>88.228464801678257</v>
      </c>
      <c r="G16" s="124">
        <f t="shared" si="3"/>
        <v>0.15920340408713804</v>
      </c>
      <c r="H16" s="124">
        <f>AVERAGE(E$3:E16)</f>
        <v>6.1009181349358963</v>
      </c>
      <c r="I16" s="124">
        <f>AVERAGE(F$3:F16)</f>
        <v>76.765794586662281</v>
      </c>
      <c r="J16" s="124">
        <f>AVERAGE(G$3:G16)</f>
        <v>0.13445741035640574</v>
      </c>
      <c r="K16" s="6"/>
      <c r="L16">
        <f t="shared" si="5"/>
        <v>0.99999999999999989</v>
      </c>
      <c r="M16" s="6">
        <v>0.28297497184823406</v>
      </c>
      <c r="N16" s="6"/>
      <c r="O16" s="6"/>
      <c r="P16" s="6"/>
      <c r="Q16" s="6"/>
      <c r="R16" s="6"/>
      <c r="S16" s="6"/>
      <c r="T16" s="6"/>
      <c r="U16" s="6"/>
      <c r="V16"/>
      <c r="W16" s="6"/>
      <c r="X16" s="6"/>
      <c r="Y16" s="6"/>
      <c r="Z16" s="6"/>
      <c r="AA16" s="6"/>
      <c r="AB16" s="6"/>
      <c r="AC16" s="65"/>
      <c r="AD16" s="65"/>
      <c r="AE16" s="65"/>
      <c r="AF16" s="65"/>
      <c r="AG16" s="65"/>
      <c r="AH16" s="65"/>
      <c r="AI16" s="65"/>
      <c r="AJ16" s="65"/>
      <c r="AK16" s="6"/>
      <c r="AL16" s="6"/>
      <c r="AM16" s="6"/>
      <c r="AN16" s="6"/>
      <c r="AO16" s="6"/>
      <c r="AP16" s="6"/>
      <c r="AQ16" s="6"/>
    </row>
    <row r="17" spans="1:60" ht="16.5" x14ac:dyDescent="0.3">
      <c r="A17" s="126">
        <v>15</v>
      </c>
      <c r="B17" s="72">
        <v>49</v>
      </c>
      <c r="C17" s="124">
        <f t="shared" si="4"/>
        <v>49.822375353445587</v>
      </c>
      <c r="D17" s="124">
        <f t="shared" si="0"/>
        <v>-0.82237535344558665</v>
      </c>
      <c r="E17" s="1">
        <f t="shared" si="1"/>
        <v>0.82237535344558665</v>
      </c>
      <c r="F17" s="124">
        <f t="shared" si="2"/>
        <v>0.67630122195475362</v>
      </c>
      <c r="G17" s="124">
        <f t="shared" si="3"/>
        <v>1.6783170478481359E-2</v>
      </c>
      <c r="H17" s="124">
        <f>AVERAGE(E$3:E17)</f>
        <v>5.7490152828365426</v>
      </c>
      <c r="I17" s="124">
        <f>AVERAGE(F$3:F17)</f>
        <v>71.693161695681766</v>
      </c>
      <c r="J17" s="124">
        <f>AVERAGE(G$3:G17)</f>
        <v>0.12661246103121079</v>
      </c>
      <c r="K17" s="65"/>
      <c r="L17"/>
      <c r="M17" s="65">
        <f>MIN(M6:M16)</f>
        <v>0.23953052212731918</v>
      </c>
      <c r="N17" s="65"/>
      <c r="O17" s="65"/>
      <c r="P17" s="65"/>
      <c r="Q17" s="65"/>
      <c r="R17" s="65"/>
      <c r="S17" s="65"/>
      <c r="T17" s="65"/>
      <c r="U17" s="65"/>
      <c r="V17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"/>
      <c r="AL17" s="6"/>
      <c r="AM17" s="6"/>
      <c r="AN17" s="6"/>
      <c r="AO17" s="6"/>
      <c r="AP17" s="6"/>
      <c r="AQ17" s="6"/>
    </row>
    <row r="18" spans="1:60" ht="16.5" x14ac:dyDescent="0.3">
      <c r="A18" s="126">
        <v>16</v>
      </c>
      <c r="B18" s="72">
        <v>37</v>
      </c>
      <c r="C18" s="124">
        <f t="shared" si="4"/>
        <v>49.803518751903383</v>
      </c>
      <c r="D18" s="124">
        <f t="shared" si="0"/>
        <v>-12.803518751903383</v>
      </c>
      <c r="E18" s="1">
        <f t="shared" si="1"/>
        <v>12.803518751903383</v>
      </c>
      <c r="F18" s="124">
        <f t="shared" si="2"/>
        <v>163.93009243034155</v>
      </c>
      <c r="G18" s="124">
        <f t="shared" si="3"/>
        <v>0.34604104734874008</v>
      </c>
      <c r="H18" s="124">
        <f>AVERAGE(E$3:E18)</f>
        <v>6.1899217496532204</v>
      </c>
      <c r="I18" s="124">
        <f>AVERAGE(F$3:F18)</f>
        <v>77.457969866598006</v>
      </c>
      <c r="J18" s="124">
        <f>AVERAGE(G$3:G18)</f>
        <v>0.14032674767605635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"/>
      <c r="AL18" s="6"/>
      <c r="AM18" s="6"/>
      <c r="AN18" s="6"/>
      <c r="AO18" s="6"/>
      <c r="AP18" s="6"/>
      <c r="AQ18" s="6"/>
    </row>
    <row r="19" spans="1:60" ht="16.5" x14ac:dyDescent="0.3">
      <c r="A19" s="126">
        <v>17</v>
      </c>
      <c r="B19" s="72">
        <v>58</v>
      </c>
      <c r="C19" s="124">
        <f t="shared" si="4"/>
        <v>49.509941311345024</v>
      </c>
      <c r="D19" s="124">
        <f t="shared" si="0"/>
        <v>8.490058688654976</v>
      </c>
      <c r="E19" s="1">
        <f t="shared" si="1"/>
        <v>8.490058688654976</v>
      </c>
      <c r="F19" s="124">
        <f t="shared" si="2"/>
        <v>72.081096536805845</v>
      </c>
      <c r="G19" s="124">
        <f t="shared" si="3"/>
        <v>0.14638032221818925</v>
      </c>
      <c r="H19" s="124">
        <f>AVERAGE(E$3:E19)</f>
        <v>6.3252239225356766</v>
      </c>
      <c r="I19" s="124">
        <f>AVERAGE(F$3:F19)</f>
        <v>77.141683200139653</v>
      </c>
      <c r="J19" s="124">
        <f>AVERAGE(G$3:G19)</f>
        <v>0.1406828402961818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"/>
      <c r="AL19" s="6"/>
      <c r="AM19" s="6"/>
      <c r="AN19" s="6"/>
      <c r="AO19" s="6"/>
      <c r="AP19" s="6"/>
      <c r="AQ19" s="6"/>
    </row>
    <row r="20" spans="1:60" ht="16.5" x14ac:dyDescent="0.3">
      <c r="A20" s="126">
        <v>18</v>
      </c>
      <c r="B20" s="72">
        <v>49</v>
      </c>
      <c r="C20" s="124">
        <f t="shared" si="4"/>
        <v>49.704613553273447</v>
      </c>
      <c r="D20" s="124">
        <f t="shared" si="0"/>
        <v>-0.70461355327344677</v>
      </c>
      <c r="E20" s="1">
        <f t="shared" si="1"/>
        <v>0.70461355327344677</v>
      </c>
      <c r="F20" s="124">
        <f t="shared" si="2"/>
        <v>0.49648025945663243</v>
      </c>
      <c r="G20" s="124">
        <f t="shared" si="3"/>
        <v>1.4379868434151975E-2</v>
      </c>
      <c r="H20" s="124">
        <f>AVERAGE(E$3:E20)</f>
        <v>6.0129677909099968</v>
      </c>
      <c r="I20" s="124">
        <f>AVERAGE(F$3:F20)</f>
        <v>72.883616370101706</v>
      </c>
      <c r="J20" s="124">
        <f>AVERAGE(G$3:G20)</f>
        <v>0.13366600852606905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"/>
      <c r="AL20" s="6"/>
      <c r="AM20" s="6"/>
      <c r="AN20" s="6"/>
      <c r="AO20" s="6"/>
      <c r="AP20" s="6"/>
      <c r="AQ20" s="6"/>
    </row>
    <row r="21" spans="1:60" ht="16.5" x14ac:dyDescent="0.3">
      <c r="A21" s="126">
        <v>19</v>
      </c>
      <c r="B21" s="72">
        <v>23</v>
      </c>
      <c r="C21" s="124">
        <f t="shared" si="4"/>
        <v>49.688457163177794</v>
      </c>
      <c r="D21" s="124">
        <f t="shared" si="0"/>
        <v>-26.688457163177794</v>
      </c>
      <c r="E21" s="1">
        <f t="shared" si="1"/>
        <v>26.688457163177794</v>
      </c>
      <c r="F21" s="124">
        <f t="shared" si="2"/>
        <v>712.27374575077613</v>
      </c>
      <c r="G21" s="124">
        <f t="shared" si="3"/>
        <v>1.1603677027468606</v>
      </c>
      <c r="H21" s="124">
        <f>AVERAGE(E$3:E21)</f>
        <v>7.1011514420819859</v>
      </c>
      <c r="I21" s="124">
        <f>AVERAGE(F$3:F21)</f>
        <v>106.53572844276879</v>
      </c>
      <c r="J21" s="124">
        <f>AVERAGE(G$3:G21)</f>
        <v>0.18770293980084754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"/>
      <c r="AL21" s="6"/>
      <c r="AM21" s="6"/>
      <c r="AN21" s="6"/>
      <c r="AO21" s="6"/>
      <c r="AP21" s="6"/>
      <c r="AQ21" s="6"/>
    </row>
    <row r="22" spans="1:60" ht="16.5" x14ac:dyDescent="0.3">
      <c r="A22" s="126">
        <v>20</v>
      </c>
      <c r="B22" s="72">
        <v>27</v>
      </c>
      <c r="C22" s="124">
        <f t="shared" si="4"/>
        <v>49.076505941155141</v>
      </c>
      <c r="D22" s="124">
        <f t="shared" si="0"/>
        <v>-22.076505941155141</v>
      </c>
      <c r="E22" s="1">
        <f t="shared" si="1"/>
        <v>22.076505941155141</v>
      </c>
      <c r="F22" s="124">
        <f t="shared" si="2"/>
        <v>487.37211456985824</v>
      </c>
      <c r="G22" s="124">
        <f t="shared" si="3"/>
        <v>0.81764836819093112</v>
      </c>
      <c r="H22" s="124">
        <f>AVERAGE(E$3:E22)</f>
        <v>7.8499191670356439</v>
      </c>
      <c r="I22" s="124">
        <f>AVERAGE(F$3:F22)</f>
        <v>125.57754774912326</v>
      </c>
      <c r="J22" s="124">
        <f>AVERAGE(G$3:G22)</f>
        <v>0.21920021122035172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"/>
      <c r="AL22" s="6"/>
      <c r="AM22" s="6"/>
      <c r="AN22" s="6"/>
      <c r="AO22" s="6"/>
      <c r="AP22" s="6"/>
      <c r="AQ22" s="6"/>
    </row>
    <row r="23" spans="1:60" ht="16.5" x14ac:dyDescent="0.3">
      <c r="A23" s="126">
        <v>21</v>
      </c>
      <c r="B23" s="72">
        <v>23</v>
      </c>
      <c r="C23" s="124">
        <f t="shared" si="4"/>
        <v>48.570304151142352</v>
      </c>
      <c r="D23" s="124">
        <f t="shared" si="0"/>
        <v>-25.570304151142352</v>
      </c>
      <c r="E23" s="1">
        <f t="shared" si="1"/>
        <v>25.570304151142352</v>
      </c>
      <c r="F23" s="124">
        <f t="shared" si="2"/>
        <v>653.84045438192777</v>
      </c>
      <c r="G23" s="124">
        <f t="shared" si="3"/>
        <v>1.1117523543974936</v>
      </c>
      <c r="H23" s="124">
        <f>AVERAGE(E$3:E23)</f>
        <v>8.6937470234216772</v>
      </c>
      <c r="I23" s="124">
        <f>AVERAGE(F$3:F23)</f>
        <v>150.73292425544727</v>
      </c>
      <c r="J23" s="124">
        <f>AVERAGE(G$3:G23)</f>
        <v>0.26170269422878706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"/>
      <c r="AL23" s="6"/>
      <c r="AM23" s="6"/>
      <c r="AN23" s="6"/>
      <c r="AO23" s="6"/>
      <c r="AP23" s="6"/>
      <c r="AQ23" s="6"/>
    </row>
    <row r="24" spans="1:60" ht="16.5" x14ac:dyDescent="0.3">
      <c r="A24" s="126">
        <v>22</v>
      </c>
      <c r="B24" s="72">
        <v>39</v>
      </c>
      <c r="C24" s="124">
        <f t="shared" si="4"/>
        <v>47.983991545017943</v>
      </c>
      <c r="D24" s="124">
        <f t="shared" si="0"/>
        <v>-8.9839915450179433</v>
      </c>
      <c r="E24" s="1">
        <f t="shared" si="1"/>
        <v>8.9839915450179433</v>
      </c>
      <c r="F24" s="124">
        <f t="shared" si="2"/>
        <v>80.712104080953893</v>
      </c>
      <c r="G24" s="124">
        <f t="shared" si="3"/>
        <v>0.23035875756456264</v>
      </c>
      <c r="H24" s="124">
        <f>AVERAGE(E$3:E24)</f>
        <v>8.7069399562215075</v>
      </c>
      <c r="I24" s="124">
        <f>AVERAGE(F$3:F24)</f>
        <v>147.55015970206122</v>
      </c>
      <c r="J24" s="124">
        <f>AVERAGE(G$3:G24)</f>
        <v>0.26027796983495866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"/>
      <c r="AL24" s="6"/>
      <c r="AM24" s="6"/>
      <c r="AN24" s="6"/>
      <c r="AO24" s="6"/>
      <c r="AP24" s="6"/>
      <c r="AQ24" s="6"/>
    </row>
    <row r="25" spans="1:60" ht="16.5" x14ac:dyDescent="0.3">
      <c r="A25" s="126">
        <v>23</v>
      </c>
      <c r="B25" s="72">
        <v>35</v>
      </c>
      <c r="C25" s="124">
        <f t="shared" si="4"/>
        <v>47.777993702167734</v>
      </c>
      <c r="D25" s="124">
        <f t="shared" si="0"/>
        <v>-12.777993702167734</v>
      </c>
      <c r="E25" s="1">
        <f t="shared" si="1"/>
        <v>12.777993702167734</v>
      </c>
      <c r="F25" s="124">
        <f t="shared" si="2"/>
        <v>163.27712305263827</v>
      </c>
      <c r="G25" s="124">
        <f t="shared" si="3"/>
        <v>0.36508553434764957</v>
      </c>
      <c r="H25" s="124">
        <f>AVERAGE(E$3:E25)</f>
        <v>8.8839422930017786</v>
      </c>
      <c r="I25" s="124">
        <f>AVERAGE(F$3:F25)</f>
        <v>148.23394071730371</v>
      </c>
      <c r="J25" s="124">
        <f>AVERAGE(G$3:G25)</f>
        <v>0.26483482046594525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"/>
      <c r="AL25" s="6"/>
      <c r="AM25" s="6"/>
      <c r="AN25" s="6"/>
      <c r="AO25" s="6"/>
      <c r="AP25" s="6"/>
      <c r="AQ25" s="6"/>
    </row>
    <row r="26" spans="1:60" ht="16.5" x14ac:dyDescent="0.3">
      <c r="A26" s="126">
        <v>24</v>
      </c>
      <c r="B26" s="72">
        <v>27</v>
      </c>
      <c r="C26" s="124">
        <f t="shared" si="4"/>
        <v>47.485001536557355</v>
      </c>
      <c r="D26" s="124">
        <f t="shared" si="0"/>
        <v>-20.485001536557355</v>
      </c>
      <c r="E26" s="1">
        <f t="shared" si="1"/>
        <v>20.485001536557355</v>
      </c>
      <c r="F26" s="124">
        <f t="shared" si="2"/>
        <v>419.63528795275721</v>
      </c>
      <c r="G26" s="124">
        <f t="shared" si="3"/>
        <v>0.75870376061323541</v>
      </c>
      <c r="H26" s="124">
        <f>AVERAGE(E$3:E26)</f>
        <v>9.3673197614832606</v>
      </c>
      <c r="I26" s="124">
        <f>AVERAGE(F$3:F26)</f>
        <v>159.54233018544758</v>
      </c>
      <c r="J26" s="124">
        <f>AVERAGE(G$3:G26)</f>
        <v>0.28541269297208233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"/>
      <c r="AL26" s="6"/>
      <c r="AM26" s="6"/>
      <c r="AN26" s="6"/>
      <c r="AO26" s="6"/>
      <c r="AP26" s="6"/>
      <c r="AQ26" s="6"/>
    </row>
    <row r="27" spans="1:60" ht="16.5" x14ac:dyDescent="0.3">
      <c r="A27" s="126">
        <v>25</v>
      </c>
      <c r="B27" s="72">
        <v>71</v>
      </c>
      <c r="C27" s="124">
        <f t="shared" si="4"/>
        <v>47.015292042044955</v>
      </c>
      <c r="D27" s="124">
        <f t="shared" si="0"/>
        <v>23.984707957955045</v>
      </c>
      <c r="E27" s="1">
        <f t="shared" si="1"/>
        <v>23.984707957955045</v>
      </c>
      <c r="F27" s="124">
        <f t="shared" si="2"/>
        <v>575.26621582839209</v>
      </c>
      <c r="G27" s="124">
        <f t="shared" si="3"/>
        <v>0.33781278814021193</v>
      </c>
      <c r="H27" s="124">
        <f>AVERAGE(E$3:E27)</f>
        <v>9.9520152893421319</v>
      </c>
      <c r="I27" s="124">
        <f>AVERAGE(F$3:F27)</f>
        <v>176.17128561116536</v>
      </c>
      <c r="J27" s="124">
        <f>AVERAGE(G$3:G27)</f>
        <v>0.28750869677880753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"/>
      <c r="AL27" s="6"/>
      <c r="AM27" s="6"/>
      <c r="AN27" s="6"/>
      <c r="AO27" s="6"/>
      <c r="AP27" s="6"/>
      <c r="AQ27" s="6"/>
    </row>
    <row r="28" spans="1:60" ht="16.5" x14ac:dyDescent="0.3">
      <c r="A28" s="126">
        <v>26</v>
      </c>
      <c r="B28" s="72">
        <v>61</v>
      </c>
      <c r="C28" s="124">
        <f t="shared" si="4"/>
        <v>47.565247824613671</v>
      </c>
      <c r="D28" s="124">
        <f t="shared" si="0"/>
        <v>13.434752175386329</v>
      </c>
      <c r="E28" s="1">
        <f t="shared" si="1"/>
        <v>13.434752175386329</v>
      </c>
      <c r="F28" s="124">
        <f t="shared" si="2"/>
        <v>180.4925660140477</v>
      </c>
      <c r="G28" s="124">
        <f t="shared" si="3"/>
        <v>0.22024183894075949</v>
      </c>
      <c r="H28" s="124">
        <f>AVERAGE(E$3:E28)</f>
        <v>10.085966708036137</v>
      </c>
      <c r="I28" s="124">
        <f>AVERAGE(F$3:F28)</f>
        <v>176.33748870358392</v>
      </c>
      <c r="J28" s="124">
        <f>AVERAGE(G$3:G28)</f>
        <v>0.28492150993888254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"/>
      <c r="AL28" s="6"/>
      <c r="AM28" s="6"/>
      <c r="AN28" s="6"/>
      <c r="AO28" s="6"/>
      <c r="AP28" s="6"/>
      <c r="AQ28" s="6"/>
    </row>
    <row r="29" spans="1:60" ht="16.5" x14ac:dyDescent="0.3">
      <c r="A29" s="126">
        <v>27</v>
      </c>
      <c r="B29" s="72">
        <v>47</v>
      </c>
      <c r="C29" s="124">
        <f t="shared" si="4"/>
        <v>47.873299090411166</v>
      </c>
      <c r="D29" s="124">
        <f t="shared" si="0"/>
        <v>-0.87329909041116593</v>
      </c>
      <c r="E29" s="1">
        <f t="shared" si="1"/>
        <v>0.87329909041116593</v>
      </c>
      <c r="F29" s="124">
        <f t="shared" si="2"/>
        <v>0.76265130131296976</v>
      </c>
      <c r="G29" s="124">
        <f t="shared" si="3"/>
        <v>1.8580831710875871E-2</v>
      </c>
      <c r="H29" s="124">
        <f>AVERAGE(E$3:E29)</f>
        <v>9.7447567962722506</v>
      </c>
      <c r="I29" s="124">
        <f>AVERAGE(F$3:F29)</f>
        <v>169.83471694794426</v>
      </c>
      <c r="J29" s="124">
        <f>AVERAGE(G$3:G29)</f>
        <v>0.27505704037488232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"/>
      <c r="AL29" s="6"/>
      <c r="AM29" s="6"/>
      <c r="AN29" s="6"/>
      <c r="AO29" s="6"/>
      <c r="AP29" s="6"/>
      <c r="AQ29" s="6"/>
    </row>
    <row r="30" spans="1:60" ht="16.5" x14ac:dyDescent="0.3">
      <c r="A30" s="126">
        <v>28</v>
      </c>
      <c r="B30" s="72">
        <v>36</v>
      </c>
      <c r="C30" s="124">
        <f t="shared" si="4"/>
        <v>47.853274836393751</v>
      </c>
      <c r="D30" s="124">
        <f t="shared" si="0"/>
        <v>-11.853274836393751</v>
      </c>
      <c r="E30" s="1">
        <f t="shared" si="1"/>
        <v>11.853274836393751</v>
      </c>
      <c r="F30" s="124">
        <f t="shared" si="2"/>
        <v>140.50012434708532</v>
      </c>
      <c r="G30" s="124">
        <f t="shared" si="3"/>
        <v>0.32925763434427086</v>
      </c>
      <c r="H30" s="124">
        <f>AVERAGE(E$3:E30)</f>
        <v>9.8200610119908767</v>
      </c>
      <c r="I30" s="124">
        <f>AVERAGE(F$3:F30)</f>
        <v>168.78705292648502</v>
      </c>
      <c r="J30" s="124">
        <f>AVERAGE(G$3:G30)</f>
        <v>0.27699277587378907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"/>
      <c r="AL30" s="6"/>
      <c r="AM30" s="6"/>
      <c r="AN30" s="6"/>
      <c r="AO30" s="6"/>
      <c r="AP30" s="6"/>
      <c r="AQ30" s="6"/>
    </row>
    <row r="31" spans="1:60" ht="16.5" x14ac:dyDescent="0.3">
      <c r="A31" s="125">
        <v>29</v>
      </c>
      <c r="B31"/>
      <c r="C31" s="124">
        <f t="shared" si="4"/>
        <v>47.581485951155777</v>
      </c>
      <c r="D31" s="112"/>
      <c r="E31" s="1"/>
      <c r="F31" s="124"/>
      <c r="G31" s="124"/>
      <c r="H31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"/>
      <c r="AL31" s="6"/>
      <c r="AM31" s="6"/>
      <c r="AN31" s="6"/>
      <c r="AO31" s="6"/>
      <c r="AP31" s="6"/>
      <c r="AQ31" s="6"/>
      <c r="BD31"/>
      <c r="BE31"/>
      <c r="BF31"/>
      <c r="BG31"/>
      <c r="BH31"/>
    </row>
    <row r="32" spans="1:60" x14ac:dyDescent="0.25">
      <c r="A32"/>
      <c r="B32"/>
      <c r="C32" s="6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"/>
      <c r="AL32" s="6"/>
      <c r="AM32" s="6"/>
      <c r="AN32" s="6"/>
      <c r="AO32" s="6"/>
      <c r="AP32" s="6"/>
      <c r="AQ32" s="6"/>
      <c r="BD32"/>
      <c r="BE32"/>
      <c r="BF32"/>
      <c r="BG32"/>
      <c r="BH32"/>
    </row>
    <row r="33" spans="1:60" x14ac:dyDescent="0.25">
      <c r="A33"/>
      <c r="B33"/>
      <c r="C33" s="6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"/>
      <c r="AL33" s="6"/>
      <c r="AM33" s="6"/>
      <c r="AN33" s="6"/>
      <c r="AO33" s="6"/>
      <c r="AP33" s="6"/>
      <c r="AQ33" s="6"/>
      <c r="BD33"/>
      <c r="BE33"/>
      <c r="BF33"/>
      <c r="BG33"/>
      <c r="BH33"/>
    </row>
    <row r="34" spans="1:60" x14ac:dyDescent="0.25">
      <c r="A34"/>
      <c r="B34"/>
      <c r="C34" s="6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"/>
      <c r="AL34" s="6"/>
      <c r="AM34" s="6"/>
      <c r="AN34" s="6"/>
      <c r="AO34" s="6"/>
      <c r="AP34" s="6"/>
      <c r="AQ34" s="6"/>
      <c r="BD34"/>
      <c r="BE34"/>
      <c r="BF34"/>
      <c r="BG34"/>
      <c r="BH34"/>
    </row>
    <row r="35" spans="1:60" x14ac:dyDescent="0.25">
      <c r="A35"/>
      <c r="B35"/>
      <c r="C35" s="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"/>
      <c r="AL35" s="6"/>
      <c r="AM35" s="6"/>
      <c r="AN35" s="6"/>
      <c r="AO35" s="6"/>
      <c r="AP35" s="6"/>
      <c r="AQ35" s="6"/>
      <c r="BD35"/>
      <c r="BE35"/>
      <c r="BF35"/>
      <c r="BG35"/>
      <c r="BH35"/>
    </row>
    <row r="36" spans="1:60" x14ac:dyDescent="0.25">
      <c r="A36"/>
      <c r="B36"/>
      <c r="C36" s="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"/>
      <c r="AL36" s="6"/>
      <c r="AM36" s="6"/>
      <c r="AN36" s="6"/>
      <c r="AO36" s="6"/>
      <c r="AP36" s="6"/>
      <c r="AQ36" s="6"/>
      <c r="BD36"/>
      <c r="BE36"/>
      <c r="BF36"/>
      <c r="BG36"/>
      <c r="BH36"/>
    </row>
    <row r="37" spans="1:60" x14ac:dyDescent="0.25">
      <c r="A37"/>
      <c r="B37"/>
      <c r="C37" s="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"/>
      <c r="AL37" s="6"/>
      <c r="AM37" s="6"/>
      <c r="AN37" s="6"/>
      <c r="AO37" s="6"/>
      <c r="AP37" s="6"/>
      <c r="AQ37" s="6"/>
      <c r="BD37"/>
      <c r="BE37"/>
      <c r="BF37"/>
      <c r="BG37"/>
      <c r="BH37"/>
    </row>
    <row r="38" spans="1:60" x14ac:dyDescent="0.25">
      <c r="A38"/>
      <c r="B38"/>
      <c r="C38" s="6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"/>
      <c r="AL38" s="6"/>
      <c r="AM38" s="6"/>
      <c r="AN38" s="6"/>
      <c r="AO38" s="6"/>
      <c r="AP38" s="6"/>
      <c r="AQ38" s="6"/>
      <c r="BD38"/>
      <c r="BE38"/>
      <c r="BF38"/>
      <c r="BG38"/>
      <c r="BH38"/>
    </row>
    <row r="39" spans="1:60" x14ac:dyDescent="0.25">
      <c r="A39"/>
      <c r="B39"/>
      <c r="C39" s="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"/>
      <c r="AL39" s="6"/>
      <c r="AM39" s="6"/>
      <c r="AN39" s="6"/>
      <c r="AO39" s="6"/>
      <c r="AP39" s="6"/>
      <c r="AQ39" s="6"/>
      <c r="BD39"/>
      <c r="BE39"/>
      <c r="BF39"/>
      <c r="BG39"/>
      <c r="BH39"/>
    </row>
    <row r="40" spans="1:60" x14ac:dyDescent="0.25">
      <c r="A40"/>
      <c r="B40"/>
      <c r="C40" s="6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"/>
      <c r="AL40" s="6"/>
      <c r="AM40" s="6"/>
      <c r="AN40" s="6"/>
      <c r="AO40" s="6"/>
      <c r="AP40" s="6"/>
      <c r="AQ40" s="6"/>
      <c r="BD40"/>
      <c r="BE40"/>
      <c r="BF40"/>
      <c r="BG40"/>
      <c r="BH40"/>
    </row>
    <row r="41" spans="1:60" x14ac:dyDescent="0.25">
      <c r="A41"/>
      <c r="B41"/>
      <c r="C41" s="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"/>
      <c r="AL41" s="6"/>
      <c r="AM41" s="6"/>
      <c r="AN41" s="6"/>
      <c r="AO41" s="6"/>
      <c r="AP41" s="6"/>
      <c r="AQ41" s="6"/>
      <c r="BD41"/>
      <c r="BE41"/>
      <c r="BF41"/>
      <c r="BG41"/>
      <c r="BH41"/>
    </row>
    <row r="42" spans="1:60" x14ac:dyDescent="0.25">
      <c r="A42"/>
      <c r="B42"/>
      <c r="C42" s="6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"/>
      <c r="AL42" s="6"/>
      <c r="AM42" s="6"/>
      <c r="AN42" s="6"/>
      <c r="AO42" s="6"/>
      <c r="AP42" s="6"/>
      <c r="AQ42" s="6"/>
      <c r="BD42"/>
      <c r="BE42"/>
      <c r="BF42"/>
      <c r="BG42"/>
      <c r="BH42"/>
    </row>
    <row r="43" spans="1:60" x14ac:dyDescent="0.25">
      <c r="A43"/>
      <c r="B43"/>
      <c r="C43" s="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"/>
      <c r="AL43" s="6"/>
      <c r="AM43" s="6"/>
      <c r="AN43" s="6"/>
      <c r="AO43" s="6"/>
      <c r="AP43" s="6"/>
      <c r="AQ43" s="6"/>
      <c r="BD43"/>
      <c r="BE43"/>
      <c r="BF43"/>
      <c r="BG43"/>
      <c r="BH43"/>
    </row>
    <row r="44" spans="1:60" x14ac:dyDescent="0.25">
      <c r="A44"/>
      <c r="B44"/>
      <c r="C44" s="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"/>
      <c r="AL44" s="6"/>
      <c r="AM44" s="6"/>
      <c r="AN44" s="6"/>
      <c r="AO44" s="6"/>
      <c r="AP44" s="6"/>
      <c r="AQ44" s="6"/>
      <c r="BD44"/>
      <c r="BE44"/>
      <c r="BF44"/>
      <c r="BG44"/>
      <c r="BH44"/>
    </row>
    <row r="45" spans="1:60" x14ac:dyDescent="0.25">
      <c r="A45"/>
      <c r="B45"/>
      <c r="C45" s="6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"/>
      <c r="AL45" s="6"/>
      <c r="AM45" s="6"/>
      <c r="AN45" s="6"/>
      <c r="AO45" s="6"/>
      <c r="AP45" s="6"/>
      <c r="AQ45" s="6"/>
      <c r="BD45"/>
      <c r="BE45"/>
      <c r="BF45"/>
      <c r="BG45"/>
      <c r="BH45"/>
    </row>
    <row r="46" spans="1:60" x14ac:dyDescent="0.25">
      <c r="A46"/>
      <c r="B46"/>
      <c r="C46" s="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"/>
      <c r="AL46" s="6"/>
      <c r="AM46" s="6"/>
      <c r="AN46" s="6"/>
      <c r="AO46" s="6"/>
      <c r="AP46" s="6"/>
      <c r="AQ46" s="6"/>
      <c r="BD46"/>
      <c r="BE46"/>
      <c r="BF46"/>
      <c r="BG46"/>
      <c r="BH46"/>
    </row>
    <row r="47" spans="1:60" x14ac:dyDescent="0.25">
      <c r="A47"/>
      <c r="B47"/>
      <c r="C47" s="6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"/>
      <c r="AL47" s="6"/>
      <c r="AM47" s="6"/>
      <c r="AN47" s="6"/>
      <c r="AO47" s="6"/>
      <c r="AP47" s="6"/>
      <c r="AQ47" s="6"/>
      <c r="BD47"/>
      <c r="BE47"/>
      <c r="BF47"/>
      <c r="BG47"/>
      <c r="BH47"/>
    </row>
    <row r="48" spans="1:60" x14ac:dyDescent="0.25">
      <c r="A48"/>
      <c r="B48"/>
      <c r="C48" s="6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"/>
      <c r="AL48" s="6"/>
      <c r="AM48" s="6"/>
      <c r="AN48" s="6"/>
      <c r="AO48" s="6"/>
      <c r="AP48" s="6"/>
      <c r="AQ48" s="6"/>
      <c r="BD48"/>
      <c r="BE48"/>
      <c r="BF48"/>
      <c r="BG48"/>
      <c r="BH48"/>
    </row>
    <row r="49" spans="1:60" x14ac:dyDescent="0.25">
      <c r="A49"/>
      <c r="B49"/>
      <c r="C49" s="6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"/>
      <c r="AL49" s="6"/>
      <c r="AM49" s="6"/>
      <c r="AN49" s="6"/>
      <c r="AO49" s="6"/>
      <c r="AP49" s="6"/>
      <c r="AQ49" s="6"/>
      <c r="BD49"/>
      <c r="BE49"/>
      <c r="BF49"/>
      <c r="BG49"/>
      <c r="BH49"/>
    </row>
    <row r="50" spans="1:60" x14ac:dyDescent="0.25">
      <c r="A50"/>
      <c r="B50"/>
      <c r="C50" s="6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"/>
      <c r="AL50" s="6"/>
      <c r="AM50" s="6"/>
      <c r="AN50" s="6"/>
      <c r="AO50" s="6"/>
      <c r="AP50" s="6"/>
      <c r="AQ50" s="6"/>
      <c r="BD50"/>
      <c r="BE50"/>
      <c r="BF50"/>
      <c r="BG50"/>
      <c r="BH50"/>
    </row>
    <row r="51" spans="1:60" x14ac:dyDescent="0.25">
      <c r="A51"/>
      <c r="B51"/>
      <c r="C51" s="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"/>
      <c r="AL51" s="6"/>
      <c r="AM51" s="6"/>
      <c r="AN51" s="6"/>
      <c r="AO51" s="6"/>
      <c r="AP51" s="6"/>
      <c r="AQ51" s="6"/>
      <c r="BD51"/>
      <c r="BE51"/>
      <c r="BF51"/>
      <c r="BG51"/>
      <c r="BH51"/>
    </row>
    <row r="52" spans="1:60" x14ac:dyDescent="0.25">
      <c r="A52"/>
      <c r="B52"/>
      <c r="C52" s="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"/>
      <c r="AL52" s="6"/>
      <c r="AM52" s="6"/>
      <c r="AN52" s="6"/>
      <c r="AO52" s="6"/>
      <c r="AP52" s="6"/>
      <c r="AQ52" s="6"/>
      <c r="BD52"/>
      <c r="BE52"/>
      <c r="BF52"/>
      <c r="BG52"/>
      <c r="BH52"/>
    </row>
    <row r="53" spans="1:60" x14ac:dyDescent="0.25">
      <c r="A53"/>
      <c r="B53"/>
      <c r="C53" s="6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"/>
      <c r="AL53" s="6"/>
      <c r="AM53" s="6"/>
      <c r="AN53" s="6"/>
      <c r="AO53" s="6"/>
      <c r="AP53" s="6"/>
      <c r="AQ53" s="6"/>
      <c r="BD53"/>
      <c r="BE53"/>
      <c r="BF53"/>
      <c r="BG53"/>
      <c r="BH53"/>
    </row>
    <row r="54" spans="1:60" x14ac:dyDescent="0.25">
      <c r="A54"/>
      <c r="B54"/>
      <c r="C54" s="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"/>
      <c r="AL54" s="6"/>
      <c r="AM54" s="6"/>
      <c r="AN54" s="6"/>
      <c r="AO54" s="6"/>
      <c r="AP54" s="6"/>
      <c r="AQ54" s="6"/>
      <c r="BD54"/>
      <c r="BE54"/>
      <c r="BF54"/>
      <c r="BG54"/>
      <c r="BH54"/>
    </row>
    <row r="55" spans="1:60" x14ac:dyDescent="0.25">
      <c r="A55"/>
      <c r="B55"/>
      <c r="C55" s="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"/>
      <c r="AL55" s="6"/>
      <c r="AM55" s="6"/>
      <c r="AN55" s="6"/>
      <c r="AO55" s="6"/>
      <c r="AP55" s="6"/>
      <c r="AQ55" s="6"/>
      <c r="BD55"/>
      <c r="BE55"/>
      <c r="BF55"/>
      <c r="BG55"/>
      <c r="BH55"/>
    </row>
    <row r="56" spans="1:60" x14ac:dyDescent="0.25">
      <c r="A56"/>
      <c r="B56"/>
      <c r="C56" s="6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"/>
      <c r="AL56" s="6"/>
      <c r="AM56" s="6"/>
      <c r="AN56" s="6"/>
      <c r="AO56" s="6"/>
      <c r="AP56" s="6"/>
      <c r="AQ56" s="6"/>
      <c r="BD56"/>
      <c r="BE56"/>
      <c r="BF56"/>
      <c r="BG56"/>
      <c r="BH56"/>
    </row>
    <row r="57" spans="1:60" x14ac:dyDescent="0.25">
      <c r="A57"/>
      <c r="B57"/>
      <c r="C57" s="6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"/>
      <c r="AL57" s="6"/>
      <c r="AM57" s="6"/>
      <c r="AN57" s="6"/>
      <c r="AO57" s="6"/>
      <c r="AP57" s="6"/>
      <c r="AQ57" s="6"/>
      <c r="BD57"/>
      <c r="BE57"/>
      <c r="BF57"/>
      <c r="BG57"/>
      <c r="BH57"/>
    </row>
    <row r="58" spans="1:60" x14ac:dyDescent="0.25">
      <c r="A58"/>
      <c r="B58"/>
      <c r="C58" s="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"/>
      <c r="AL58" s="6"/>
      <c r="AM58" s="6"/>
      <c r="AN58" s="6"/>
      <c r="AO58" s="6"/>
      <c r="AP58" s="6"/>
      <c r="AQ58" s="6"/>
      <c r="BD58"/>
      <c r="BE58"/>
      <c r="BF58"/>
      <c r="BG58"/>
      <c r="BH58"/>
    </row>
    <row r="59" spans="1:60" x14ac:dyDescent="0.25">
      <c r="A59"/>
      <c r="B59"/>
      <c r="C59" s="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"/>
      <c r="AL59" s="6"/>
      <c r="AM59" s="6"/>
      <c r="AN59" s="6"/>
      <c r="AO59" s="6"/>
      <c r="AP59" s="6"/>
      <c r="AQ59" s="6"/>
      <c r="BD59"/>
      <c r="BE59"/>
      <c r="BF59"/>
      <c r="BG59"/>
      <c r="BH59"/>
    </row>
    <row r="60" spans="1:60" x14ac:dyDescent="0.25">
      <c r="A60"/>
      <c r="B60"/>
      <c r="C60" s="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"/>
      <c r="AL60" s="6"/>
      <c r="AM60" s="6"/>
      <c r="AN60" s="6"/>
      <c r="AO60" s="6"/>
      <c r="AP60" s="6"/>
      <c r="AQ60" s="6"/>
      <c r="BD60"/>
      <c r="BE60"/>
      <c r="BF60"/>
      <c r="BG60"/>
      <c r="BH60"/>
    </row>
    <row r="61" spans="1:60" x14ac:dyDescent="0.25">
      <c r="A61"/>
      <c r="B61"/>
      <c r="C61" s="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"/>
      <c r="AL61" s="6"/>
      <c r="AM61" s="6"/>
      <c r="AN61" s="6"/>
      <c r="AO61" s="6"/>
      <c r="AP61" s="6"/>
      <c r="AQ61" s="6"/>
      <c r="BD61"/>
      <c r="BE61"/>
      <c r="BF61"/>
      <c r="BG61"/>
      <c r="BH61"/>
    </row>
    <row r="62" spans="1:60" x14ac:dyDescent="0.25">
      <c r="A62"/>
      <c r="B62"/>
      <c r="C62" s="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"/>
      <c r="AL62" s="6"/>
      <c r="AM62" s="6"/>
      <c r="AN62" s="6"/>
      <c r="AO62" s="6"/>
      <c r="AP62" s="6"/>
      <c r="AQ62" s="6"/>
      <c r="BD62"/>
      <c r="BE62"/>
      <c r="BF62"/>
      <c r="BG62"/>
      <c r="BH62"/>
    </row>
    <row r="63" spans="1:60" x14ac:dyDescent="0.25">
      <c r="A63"/>
      <c r="B63"/>
      <c r="C63" s="6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"/>
      <c r="AL63" s="6"/>
      <c r="AM63" s="6"/>
      <c r="AN63" s="6"/>
      <c r="AO63" s="6"/>
      <c r="AP63" s="6"/>
      <c r="AQ63" s="6"/>
      <c r="BD63"/>
      <c r="BE63"/>
      <c r="BF63"/>
      <c r="BG63"/>
      <c r="BH63"/>
    </row>
    <row r="64" spans="1:60" x14ac:dyDescent="0.25">
      <c r="A64"/>
      <c r="B64"/>
      <c r="C64" s="6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"/>
      <c r="AL64" s="6"/>
      <c r="AM64" s="6"/>
      <c r="AN64" s="6"/>
      <c r="AO64" s="6"/>
      <c r="AP64" s="6"/>
      <c r="AQ64" s="6"/>
      <c r="BD64"/>
      <c r="BE64"/>
      <c r="BF64"/>
      <c r="BG64"/>
      <c r="BH64"/>
    </row>
    <row r="65" spans="1:60" x14ac:dyDescent="0.25">
      <c r="A65"/>
      <c r="B65"/>
      <c r="C65" s="6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"/>
      <c r="AL65" s="6"/>
      <c r="AM65" s="6"/>
      <c r="AN65" s="6"/>
      <c r="AO65" s="6"/>
      <c r="AP65" s="6"/>
      <c r="AQ65" s="6"/>
      <c r="BD65"/>
      <c r="BE65"/>
      <c r="BF65"/>
      <c r="BG65"/>
      <c r="BH65"/>
    </row>
    <row r="66" spans="1:60" x14ac:dyDescent="0.25">
      <c r="A66"/>
      <c r="B66"/>
      <c r="C66" s="6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"/>
      <c r="AL66" s="6"/>
      <c r="AM66" s="6"/>
      <c r="AN66" s="6"/>
      <c r="AO66" s="6"/>
      <c r="AP66" s="6"/>
      <c r="AQ66" s="6"/>
      <c r="BD66"/>
      <c r="BE66"/>
      <c r="BF66"/>
      <c r="BG66"/>
      <c r="BH66"/>
    </row>
    <row r="67" spans="1:60" x14ac:dyDescent="0.25">
      <c r="A67"/>
      <c r="B67"/>
      <c r="C67" s="6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"/>
      <c r="AL67" s="6"/>
      <c r="AM67" s="6"/>
      <c r="AN67" s="6"/>
      <c r="AO67" s="6"/>
      <c r="AP67" s="6"/>
      <c r="AQ67" s="6"/>
      <c r="BD67"/>
      <c r="BE67"/>
      <c r="BF67"/>
      <c r="BG67"/>
      <c r="BH67"/>
    </row>
    <row r="68" spans="1:60" x14ac:dyDescent="0.25">
      <c r="A68"/>
      <c r="B68"/>
      <c r="C68" s="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"/>
      <c r="AL68" s="6"/>
      <c r="AM68" s="6"/>
      <c r="AN68" s="6"/>
      <c r="AO68" s="6"/>
      <c r="AP68" s="6"/>
      <c r="AQ68" s="6"/>
      <c r="BD68"/>
      <c r="BE68"/>
      <c r="BF68"/>
      <c r="BG68"/>
      <c r="BH68"/>
    </row>
    <row r="69" spans="1:60" x14ac:dyDescent="0.25">
      <c r="A69"/>
      <c r="B69"/>
      <c r="C69" s="6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"/>
      <c r="AL69" s="6"/>
      <c r="AM69" s="6"/>
      <c r="AN69" s="6"/>
      <c r="AO69" s="6"/>
      <c r="AP69" s="6"/>
      <c r="AQ69" s="6"/>
      <c r="BD69"/>
      <c r="BE69"/>
      <c r="BF69"/>
      <c r="BG69"/>
      <c r="BH69"/>
    </row>
    <row r="70" spans="1:60" x14ac:dyDescent="0.25">
      <c r="A70"/>
      <c r="B70"/>
      <c r="C70" s="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"/>
      <c r="AL70" s="6"/>
      <c r="AM70" s="6"/>
      <c r="AN70" s="6"/>
      <c r="AO70" s="6"/>
      <c r="AP70" s="6"/>
      <c r="AQ70" s="6"/>
      <c r="BD70"/>
      <c r="BE70"/>
      <c r="BF70"/>
      <c r="BG70"/>
      <c r="BH70"/>
    </row>
    <row r="71" spans="1:60" x14ac:dyDescent="0.25">
      <c r="A71"/>
      <c r="B71"/>
      <c r="C71" s="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"/>
      <c r="AL71" s="6"/>
      <c r="AM71" s="6"/>
      <c r="AN71" s="6"/>
      <c r="AO71" s="6"/>
      <c r="AP71" s="6"/>
      <c r="AQ71" s="6"/>
      <c r="BD71"/>
      <c r="BE71"/>
      <c r="BF71"/>
      <c r="BG71"/>
      <c r="BH71"/>
    </row>
    <row r="72" spans="1:60" x14ac:dyDescent="0.25">
      <c r="A72"/>
      <c r="B72"/>
      <c r="C72" s="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"/>
      <c r="AL72" s="6"/>
      <c r="AM72" s="6"/>
      <c r="AN72" s="6"/>
      <c r="AO72" s="6"/>
      <c r="AP72" s="6"/>
      <c r="AQ72" s="6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BD78"/>
      <c r="BE78"/>
      <c r="BF78"/>
      <c r="BG78"/>
      <c r="BH78"/>
    </row>
    <row r="79" spans="1:60" ht="16.5" x14ac:dyDescent="0.3">
      <c r="A79"/>
      <c r="B79"/>
      <c r="C79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BD79"/>
      <c r="BE79"/>
      <c r="BF79"/>
      <c r="BG79"/>
      <c r="BH79"/>
    </row>
    <row r="80" spans="1:60" ht="16.5" x14ac:dyDescent="0.3">
      <c r="A80"/>
      <c r="B80"/>
      <c r="C80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BD80"/>
      <c r="BE80"/>
      <c r="BF80"/>
      <c r="BG80"/>
      <c r="BH80"/>
    </row>
    <row r="81" spans="1:60" ht="16.5" x14ac:dyDescent="0.3">
      <c r="A81"/>
      <c r="B81"/>
      <c r="C8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BD81"/>
      <c r="BE81"/>
      <c r="BF81"/>
      <c r="BG81"/>
      <c r="BH81"/>
    </row>
    <row r="82" spans="1:60" ht="16.5" x14ac:dyDescent="0.3">
      <c r="A82"/>
      <c r="B82"/>
      <c r="C82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BD82"/>
      <c r="BE82"/>
      <c r="BF82"/>
      <c r="BG82"/>
      <c r="BH82"/>
    </row>
    <row r="83" spans="1:60" ht="16.5" x14ac:dyDescent="0.3">
      <c r="A83"/>
      <c r="B83"/>
      <c r="C83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BD83"/>
      <c r="BE83"/>
      <c r="BF83"/>
      <c r="BG83"/>
      <c r="BH83"/>
    </row>
    <row r="84" spans="1:60" ht="16.5" x14ac:dyDescent="0.3">
      <c r="A84"/>
      <c r="B84"/>
      <c r="C84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BD84"/>
      <c r="BE84"/>
      <c r="BF84"/>
      <c r="BG84"/>
      <c r="BH84"/>
    </row>
    <row r="85" spans="1:60" ht="16.5" x14ac:dyDescent="0.3">
      <c r="A85"/>
      <c r="B85"/>
      <c r="C85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BD85"/>
      <c r="BE85"/>
      <c r="BF85"/>
      <c r="BG85"/>
      <c r="BH85"/>
    </row>
    <row r="86" spans="1:60" ht="16.5" x14ac:dyDescent="0.3">
      <c r="A86"/>
      <c r="B86"/>
      <c r="C86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BD86"/>
      <c r="BE86"/>
      <c r="BF86"/>
      <c r="BG86"/>
      <c r="BH86"/>
    </row>
    <row r="87" spans="1:60" ht="16.5" x14ac:dyDescent="0.3">
      <c r="A87"/>
      <c r="B87"/>
      <c r="C87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</row>
    <row r="88" spans="1:60" ht="16.5" x14ac:dyDescent="0.3">
      <c r="A88"/>
      <c r="B88"/>
      <c r="C88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</row>
    <row r="89" spans="1:60" ht="16.5" x14ac:dyDescent="0.3">
      <c r="A89"/>
      <c r="B89"/>
      <c r="C89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4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I299"/>
  <sheetViews>
    <sheetView zoomScale="82" zoomScaleNormal="82" workbookViewId="0">
      <selection activeCell="M26" sqref="M26"/>
    </sheetView>
  </sheetViews>
  <sheetFormatPr defaultColWidth="9.140625" defaultRowHeight="15" x14ac:dyDescent="0.25"/>
  <cols>
    <col min="1" max="1" width="4.5703125" style="57" bestFit="1" customWidth="1"/>
    <col min="2" max="2" width="9.7109375" style="57" bestFit="1" customWidth="1"/>
    <col min="3" max="3" width="13" style="57" customWidth="1"/>
    <col min="4" max="4" width="8.7109375" style="57" customWidth="1"/>
    <col min="5" max="5" width="13.140625" style="57" customWidth="1"/>
    <col min="6" max="6" width="9.7109375" style="57" customWidth="1"/>
    <col min="7" max="7" width="10.7109375" style="57" customWidth="1"/>
    <col min="8" max="8" width="7.28515625" style="57" customWidth="1"/>
    <col min="9" max="9" width="8.7109375" style="57" bestFit="1" customWidth="1"/>
    <col min="10" max="10" width="9.140625" style="57"/>
    <col min="11" max="11" width="12.140625" style="57" bestFit="1" customWidth="1"/>
    <col min="12" max="12" width="12.140625" style="57" customWidth="1"/>
    <col min="13" max="13" width="13.85546875" style="57" bestFit="1" customWidth="1"/>
    <col min="14" max="14" width="12.42578125" style="57" bestFit="1" customWidth="1"/>
    <col min="15" max="15" width="12.140625" style="57" bestFit="1" customWidth="1"/>
    <col min="16" max="19" width="9.28515625" style="57" bestFit="1" customWidth="1"/>
    <col min="20" max="21" width="9.140625" style="57"/>
    <col min="22" max="22" width="9.28515625" style="57" bestFit="1" customWidth="1"/>
    <col min="23" max="33" width="9.140625" style="57"/>
    <col min="34" max="34" width="9.140625" style="57" customWidth="1"/>
    <col min="35" max="37" width="9.140625" style="57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57"/>
  </cols>
  <sheetData>
    <row r="1" spans="1:44" customFormat="1" ht="15.75" thickBot="1" x14ac:dyDescent="0.3">
      <c r="J1" t="s">
        <v>115</v>
      </c>
      <c r="K1" s="123">
        <v>0.5</v>
      </c>
      <c r="L1" s="123"/>
      <c r="M1" t="s">
        <v>116</v>
      </c>
      <c r="N1">
        <v>0</v>
      </c>
      <c r="O1" t="str">
        <f>B2&amp;" vs "&amp;C2</f>
        <v>At vs Ft</v>
      </c>
    </row>
    <row r="2" spans="1:44" ht="17.25" thickBot="1" x14ac:dyDescent="0.35">
      <c r="A2" s="61" t="s">
        <v>4</v>
      </c>
      <c r="B2" s="63" t="s">
        <v>0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1</v>
      </c>
      <c r="I2" s="1" t="s">
        <v>113</v>
      </c>
      <c r="J2" s="1" t="s">
        <v>114</v>
      </c>
      <c r="K2" s="1" t="s">
        <v>120</v>
      </c>
      <c r="L2" s="1" t="s">
        <v>24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44" ht="16.5" x14ac:dyDescent="0.3">
      <c r="A3" s="126">
        <v>1</v>
      </c>
      <c r="B3" s="73">
        <v>19</v>
      </c>
      <c r="C3" s="1">
        <f>B3</f>
        <v>19</v>
      </c>
      <c r="D3" s="124">
        <f t="shared" ref="D3:D30" si="0">B3-C3</f>
        <v>0</v>
      </c>
      <c r="E3" s="171">
        <f t="shared" ref="E3:E30" si="1">ABS(D3)</f>
        <v>0</v>
      </c>
      <c r="F3" s="124">
        <f t="shared" ref="F3:F30" si="2">D3^2</f>
        <v>0</v>
      </c>
      <c r="G3" s="124">
        <f t="shared" ref="G3:G30" si="3">E3/B3</f>
        <v>0</v>
      </c>
      <c r="H3" s="124">
        <f>AVERAGE(E$3:E3)</f>
        <v>0</v>
      </c>
      <c r="I3" s="124">
        <f>AVERAGE(F$3:F3)</f>
        <v>0</v>
      </c>
      <c r="J3" s="124">
        <f>AVERAGE(G$3:G3)</f>
        <v>0</v>
      </c>
      <c r="K3" s="123">
        <f>AVERAGE(D$3:D3)</f>
        <v>0</v>
      </c>
      <c r="L3" t="str">
        <f>IFERROR(SUM(D$3:D3)/H3,"")</f>
        <v/>
      </c>
      <c r="M3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16.5" x14ac:dyDescent="0.3">
      <c r="A4" s="126">
        <v>2</v>
      </c>
      <c r="B4" s="73">
        <v>21</v>
      </c>
      <c r="C4" s="124">
        <f t="shared" ref="C4:C31" si="4">(1-$K$1)*C3+$K$1*B3+$N$1</f>
        <v>19</v>
      </c>
      <c r="D4" s="124">
        <f t="shared" si="0"/>
        <v>2</v>
      </c>
      <c r="E4" s="171">
        <f t="shared" si="1"/>
        <v>2</v>
      </c>
      <c r="F4" s="124">
        <f t="shared" si="2"/>
        <v>4</v>
      </c>
      <c r="G4" s="124">
        <f t="shared" si="3"/>
        <v>9.5238095238095233E-2</v>
      </c>
      <c r="H4" s="124">
        <f>AVERAGE(E$3:E4)</f>
        <v>1</v>
      </c>
      <c r="I4" s="124">
        <f>AVERAGE(F$3:F4)</f>
        <v>2</v>
      </c>
      <c r="J4" s="124">
        <f>AVERAGE(G$3:G4)</f>
        <v>4.7619047619047616E-2</v>
      </c>
      <c r="K4" s="123">
        <f>AVERAGE(D$3:D4)</f>
        <v>1</v>
      </c>
      <c r="L4">
        <f>IFERROR(SUM(D$3:D4)/H4,"")</f>
        <v>2</v>
      </c>
      <c r="M4">
        <v>0.1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4" ht="16.5" x14ac:dyDescent="0.3">
      <c r="A5" s="126">
        <v>3</v>
      </c>
      <c r="B5" s="73">
        <v>25</v>
      </c>
      <c r="C5" s="124">
        <f t="shared" si="4"/>
        <v>20</v>
      </c>
      <c r="D5" s="124">
        <f t="shared" si="0"/>
        <v>5</v>
      </c>
      <c r="E5" s="171">
        <f t="shared" si="1"/>
        <v>5</v>
      </c>
      <c r="F5" s="124">
        <f t="shared" si="2"/>
        <v>25</v>
      </c>
      <c r="G5" s="124">
        <f t="shared" si="3"/>
        <v>0.2</v>
      </c>
      <c r="H5" s="124">
        <f>AVERAGE(E$3:E5)</f>
        <v>2.3333333333333335</v>
      </c>
      <c r="I5" s="124">
        <f>AVERAGE(F$3:F5)</f>
        <v>9.6666666666666661</v>
      </c>
      <c r="J5" s="124">
        <f>AVERAGE(G$3:G5)</f>
        <v>9.841269841269841E-2</v>
      </c>
      <c r="K5" s="123">
        <f>AVERAGE(D$3:D5)</f>
        <v>2.3333333333333335</v>
      </c>
      <c r="L5">
        <f>IFERROR(SUM(D$3:D5)/H5,"")</f>
        <v>3</v>
      </c>
      <c r="M5"/>
      <c r="N5" s="123">
        <f>J30</f>
        <v>9.2832186377256445E-2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4" ht="16.5" x14ac:dyDescent="0.3">
      <c r="A6" s="126">
        <v>4</v>
      </c>
      <c r="B6" s="73">
        <v>29</v>
      </c>
      <c r="C6" s="124">
        <f t="shared" si="4"/>
        <v>22.5</v>
      </c>
      <c r="D6" s="124">
        <f t="shared" si="0"/>
        <v>6.5</v>
      </c>
      <c r="E6" s="171">
        <f t="shared" si="1"/>
        <v>6.5</v>
      </c>
      <c r="F6" s="124">
        <f t="shared" si="2"/>
        <v>42.25</v>
      </c>
      <c r="G6" s="124">
        <f t="shared" si="3"/>
        <v>0.22413793103448276</v>
      </c>
      <c r="H6" s="124">
        <f>AVERAGE(E$3:E6)</f>
        <v>3.375</v>
      </c>
      <c r="I6" s="124">
        <f>AVERAGE(F$3:F6)</f>
        <v>17.8125</v>
      </c>
      <c r="J6" s="124">
        <f>AVERAGE(G$3:G6)</f>
        <v>0.12984400656814449</v>
      </c>
      <c r="K6" s="123">
        <f>AVERAGE(D$3:D6)</f>
        <v>3.375</v>
      </c>
      <c r="L6">
        <f>IFERROR(SUM(D$3:D6)/H6,"")</f>
        <v>4</v>
      </c>
      <c r="M6">
        <f>M3</f>
        <v>0</v>
      </c>
      <c r="N6">
        <f t="dataTable" ref="N6:N16" dt2D="0" dtr="0" r1="K1"/>
        <v>0.53378075158926819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4" ht="16.5" x14ac:dyDescent="0.3">
      <c r="A7" s="126">
        <v>5</v>
      </c>
      <c r="B7" s="73">
        <v>30</v>
      </c>
      <c r="C7" s="124">
        <f t="shared" si="4"/>
        <v>25.75</v>
      </c>
      <c r="D7" s="124">
        <f t="shared" si="0"/>
        <v>4.25</v>
      </c>
      <c r="E7" s="171">
        <f t="shared" si="1"/>
        <v>4.25</v>
      </c>
      <c r="F7" s="124">
        <f t="shared" si="2"/>
        <v>18.0625</v>
      </c>
      <c r="G7" s="124">
        <f t="shared" si="3"/>
        <v>0.14166666666666666</v>
      </c>
      <c r="H7" s="124">
        <f>AVERAGE(E$3:E7)</f>
        <v>3.55</v>
      </c>
      <c r="I7" s="124">
        <f>AVERAGE(F$3:F7)</f>
        <v>17.862500000000001</v>
      </c>
      <c r="J7" s="124">
        <f>AVERAGE(G$3:G7)</f>
        <v>0.13220853858784892</v>
      </c>
      <c r="K7" s="123">
        <f>AVERAGE(D$3:D7)</f>
        <v>3.55</v>
      </c>
      <c r="L7">
        <f>IFERROR(SUM(D$3:D7)/H7,"")</f>
        <v>5</v>
      </c>
      <c r="M7">
        <f>M6+M$4</f>
        <v>0.1</v>
      </c>
      <c r="N7">
        <v>0.28126474994765188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4" ht="16.5" x14ac:dyDescent="0.3">
      <c r="A8" s="126">
        <v>6</v>
      </c>
      <c r="B8" s="73">
        <v>35</v>
      </c>
      <c r="C8" s="124">
        <f t="shared" si="4"/>
        <v>27.875</v>
      </c>
      <c r="D8" s="124">
        <f t="shared" si="0"/>
        <v>7.125</v>
      </c>
      <c r="E8" s="171">
        <f t="shared" si="1"/>
        <v>7.125</v>
      </c>
      <c r="F8" s="124">
        <f t="shared" si="2"/>
        <v>50.765625</v>
      </c>
      <c r="G8" s="124">
        <f t="shared" si="3"/>
        <v>0.20357142857142857</v>
      </c>
      <c r="H8" s="124">
        <f>AVERAGE(E$3:E8)</f>
        <v>4.145833333333333</v>
      </c>
      <c r="I8" s="124">
        <f>AVERAGE(F$3:F8)</f>
        <v>23.346354166666668</v>
      </c>
      <c r="J8" s="124">
        <f>AVERAGE(G$3:G8)</f>
        <v>0.14410235358511217</v>
      </c>
      <c r="K8" s="123">
        <f>AVERAGE(D$3:D8)</f>
        <v>4.145833333333333</v>
      </c>
      <c r="L8">
        <f>IFERROR(SUM(D$3:D8)/H8,"")</f>
        <v>6</v>
      </c>
      <c r="M8">
        <f t="shared" ref="M8:M16" si="5">M7+M$4</f>
        <v>0.2</v>
      </c>
      <c r="N8">
        <v>0.1856350633960763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44" ht="16.5" x14ac:dyDescent="0.3">
      <c r="A9" s="126">
        <v>7</v>
      </c>
      <c r="B9" s="73">
        <v>35</v>
      </c>
      <c r="C9" s="124">
        <f t="shared" si="4"/>
        <v>31.4375</v>
      </c>
      <c r="D9" s="124">
        <f t="shared" si="0"/>
        <v>3.5625</v>
      </c>
      <c r="E9" s="171">
        <f t="shared" si="1"/>
        <v>3.5625</v>
      </c>
      <c r="F9" s="124">
        <f t="shared" si="2"/>
        <v>12.69140625</v>
      </c>
      <c r="G9" s="124">
        <f t="shared" si="3"/>
        <v>0.10178571428571428</v>
      </c>
      <c r="H9" s="124">
        <f>AVERAGE(E$3:E9)</f>
        <v>4.0625</v>
      </c>
      <c r="I9" s="124">
        <f>AVERAGE(F$3:F9)</f>
        <v>21.82421875</v>
      </c>
      <c r="J9" s="124">
        <f>AVERAGE(G$3:G9)</f>
        <v>0.1380571193994839</v>
      </c>
      <c r="K9" s="123">
        <f>AVERAGE(D$3:D9)</f>
        <v>4.0625</v>
      </c>
      <c r="L9">
        <f>IFERROR(SUM(D$3:D9)/H9,"")</f>
        <v>7</v>
      </c>
      <c r="M9">
        <f t="shared" si="5"/>
        <v>0.30000000000000004</v>
      </c>
      <c r="N9">
        <v>0.13867415698377275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44" ht="16.5" x14ac:dyDescent="0.3">
      <c r="A10" s="126">
        <v>8</v>
      </c>
      <c r="B10" s="73">
        <v>36</v>
      </c>
      <c r="C10" s="124">
        <f t="shared" si="4"/>
        <v>33.21875</v>
      </c>
      <c r="D10" s="124">
        <f t="shared" si="0"/>
        <v>2.78125</v>
      </c>
      <c r="E10" s="171">
        <f t="shared" si="1"/>
        <v>2.78125</v>
      </c>
      <c r="F10" s="124">
        <f t="shared" si="2"/>
        <v>7.7353515625</v>
      </c>
      <c r="G10" s="124">
        <f t="shared" si="3"/>
        <v>7.7256944444444448E-2</v>
      </c>
      <c r="H10" s="124">
        <f>AVERAGE(E$3:E10)</f>
        <v>3.90234375</v>
      </c>
      <c r="I10" s="124">
        <f>AVERAGE(F$3:F10)</f>
        <v>20.0631103515625</v>
      </c>
      <c r="J10" s="124">
        <f>AVERAGE(G$3:G10)</f>
        <v>0.13045709753010398</v>
      </c>
      <c r="K10" s="123">
        <f>AVERAGE(D$3:D10)</f>
        <v>3.90234375</v>
      </c>
      <c r="L10">
        <f>IFERROR(SUM(D$3:D10)/H10,"")</f>
        <v>8</v>
      </c>
      <c r="M10">
        <f t="shared" si="5"/>
        <v>0.4</v>
      </c>
      <c r="N10">
        <v>0.11105317416447096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4" ht="16.5" x14ac:dyDescent="0.3">
      <c r="A11" s="126">
        <v>9</v>
      </c>
      <c r="B11" s="73">
        <v>36</v>
      </c>
      <c r="C11" s="124">
        <f t="shared" si="4"/>
        <v>34.609375</v>
      </c>
      <c r="D11" s="124">
        <f t="shared" si="0"/>
        <v>1.390625</v>
      </c>
      <c r="E11" s="171">
        <f t="shared" si="1"/>
        <v>1.390625</v>
      </c>
      <c r="F11" s="124">
        <f t="shared" si="2"/>
        <v>1.933837890625</v>
      </c>
      <c r="G11" s="124">
        <f t="shared" si="3"/>
        <v>3.8628472222222224E-2</v>
      </c>
      <c r="H11" s="124">
        <f>AVERAGE(E$3:E11)</f>
        <v>3.6232638888888888</v>
      </c>
      <c r="I11" s="124">
        <f>AVERAGE(F$3:F11)</f>
        <v>18.048746744791668</v>
      </c>
      <c r="J11" s="124">
        <f>AVERAGE(G$3:G11)</f>
        <v>0.12025391694033935</v>
      </c>
      <c r="K11" s="123">
        <f>AVERAGE(D$3:D11)</f>
        <v>3.6232638888888888</v>
      </c>
      <c r="L11">
        <f>IFERROR(SUM(D$3:D11)/H11,"")</f>
        <v>9</v>
      </c>
      <c r="M11">
        <f t="shared" si="5"/>
        <v>0.5</v>
      </c>
      <c r="N11">
        <v>9.2832186377256445E-2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4" ht="16.5" x14ac:dyDescent="0.3">
      <c r="A12" s="126">
        <v>10</v>
      </c>
      <c r="B12" s="73">
        <v>37</v>
      </c>
      <c r="C12" s="124">
        <f t="shared" si="4"/>
        <v>35.3046875</v>
      </c>
      <c r="D12" s="124">
        <f t="shared" si="0"/>
        <v>1.6953125</v>
      </c>
      <c r="E12" s="171">
        <f t="shared" si="1"/>
        <v>1.6953125</v>
      </c>
      <c r="F12" s="124">
        <f t="shared" si="2"/>
        <v>2.87408447265625</v>
      </c>
      <c r="G12" s="124">
        <f t="shared" si="3"/>
        <v>4.5819256756756757E-2</v>
      </c>
      <c r="H12" s="124">
        <f>AVERAGE(E$3:E12)</f>
        <v>3.4304687500000002</v>
      </c>
      <c r="I12" s="124">
        <f>AVERAGE(F$3:F12)</f>
        <v>16.531280517578125</v>
      </c>
      <c r="J12" s="124">
        <f>AVERAGE(G$3:G12)</f>
        <v>0.1128104509219811</v>
      </c>
      <c r="K12" s="123">
        <f>AVERAGE(D$3:D12)</f>
        <v>3.4304687500000002</v>
      </c>
      <c r="L12">
        <f>IFERROR(SUM(D$3:D12)/H12,"")</f>
        <v>10</v>
      </c>
      <c r="M12">
        <f t="shared" si="5"/>
        <v>0.6</v>
      </c>
      <c r="N12">
        <v>7.9868556681970376E-2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4" ht="16.5" x14ac:dyDescent="0.3">
      <c r="A13" s="126">
        <v>11</v>
      </c>
      <c r="B13" s="73">
        <v>39</v>
      </c>
      <c r="C13" s="124">
        <f t="shared" si="4"/>
        <v>36.15234375</v>
      </c>
      <c r="D13" s="124">
        <f t="shared" si="0"/>
        <v>2.84765625</v>
      </c>
      <c r="E13" s="171">
        <f t="shared" si="1"/>
        <v>2.84765625</v>
      </c>
      <c r="F13" s="124">
        <f t="shared" si="2"/>
        <v>8.1091461181640625</v>
      </c>
      <c r="G13" s="124">
        <f t="shared" si="3"/>
        <v>7.3016826923076927E-2</v>
      </c>
      <c r="H13" s="124">
        <f>AVERAGE(E$3:E13)</f>
        <v>3.3774857954545454</v>
      </c>
      <c r="I13" s="124">
        <f>AVERAGE(F$3:F13)</f>
        <v>15.765631935813211</v>
      </c>
      <c r="J13" s="124">
        <f>AVERAGE(G$3:G13)</f>
        <v>0.10919284874026253</v>
      </c>
      <c r="K13" s="123">
        <f>AVERAGE(D$3:D13)</f>
        <v>3.3774857954545454</v>
      </c>
      <c r="L13">
        <f>IFERROR(SUM(D$3:D13)/H13,"")</f>
        <v>11</v>
      </c>
      <c r="M13">
        <f t="shared" si="5"/>
        <v>0.7</v>
      </c>
      <c r="N13">
        <v>7.0144356632070332E-2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4" ht="16.5" x14ac:dyDescent="0.3">
      <c r="A14" s="126">
        <v>12</v>
      </c>
      <c r="B14" s="73">
        <v>41</v>
      </c>
      <c r="C14" s="124">
        <f t="shared" si="4"/>
        <v>37.576171875</v>
      </c>
      <c r="D14" s="124">
        <f t="shared" si="0"/>
        <v>3.423828125</v>
      </c>
      <c r="E14" s="171">
        <f t="shared" si="1"/>
        <v>3.423828125</v>
      </c>
      <c r="F14" s="124">
        <f t="shared" si="2"/>
        <v>11.722599029541016</v>
      </c>
      <c r="G14" s="124">
        <f t="shared" si="3"/>
        <v>8.3508003048780491E-2</v>
      </c>
      <c r="H14" s="124">
        <f>AVERAGE(E$3:E14)</f>
        <v>3.38134765625</v>
      </c>
      <c r="I14" s="124">
        <f>AVERAGE(F$3:F14)</f>
        <v>15.428712526957193</v>
      </c>
      <c r="J14" s="124">
        <f>AVERAGE(G$3:G14)</f>
        <v>0.10705244493263903</v>
      </c>
      <c r="K14" s="123">
        <f>AVERAGE(D$3:D14)</f>
        <v>3.38134765625</v>
      </c>
      <c r="L14">
        <f>IFERROR(SUM(D$3:D14)/H14,"")</f>
        <v>12</v>
      </c>
      <c r="M14">
        <f t="shared" si="5"/>
        <v>0.79999999999999993</v>
      </c>
      <c r="N14">
        <v>6.256061369431079E-2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4" ht="16.5" x14ac:dyDescent="0.3">
      <c r="A15" s="126">
        <v>13</v>
      </c>
      <c r="B15" s="73">
        <v>42</v>
      </c>
      <c r="C15" s="124">
        <f t="shared" si="4"/>
        <v>39.2880859375</v>
      </c>
      <c r="D15" s="124">
        <f t="shared" si="0"/>
        <v>2.7119140625</v>
      </c>
      <c r="E15" s="171">
        <f t="shared" si="1"/>
        <v>2.7119140625</v>
      </c>
      <c r="F15" s="124">
        <f t="shared" si="2"/>
        <v>7.3544778823852539</v>
      </c>
      <c r="G15" s="124">
        <f t="shared" si="3"/>
        <v>6.4569382440476192E-2</v>
      </c>
      <c r="H15" s="124">
        <f>AVERAGE(E$3:E15)</f>
        <v>3.3298527644230771</v>
      </c>
      <c r="I15" s="124">
        <f>AVERAGE(F$3:F15)</f>
        <v>14.807617554297813</v>
      </c>
      <c r="J15" s="124">
        <f>AVERAGE(G$3:G15)</f>
        <v>0.10378451704862651</v>
      </c>
      <c r="K15" s="123">
        <f>AVERAGE(D$3:D15)</f>
        <v>3.3298527644230771</v>
      </c>
      <c r="L15">
        <f>IFERROR(SUM(D$3:D15)/H15,"")</f>
        <v>13</v>
      </c>
      <c r="M15">
        <f t="shared" si="5"/>
        <v>0.89999999999999991</v>
      </c>
      <c r="N15">
        <v>5.6467900896008373E-2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4" ht="16.5" x14ac:dyDescent="0.3">
      <c r="A16" s="126">
        <v>14</v>
      </c>
      <c r="B16" s="73">
        <v>43</v>
      </c>
      <c r="C16" s="124">
        <f t="shared" si="4"/>
        <v>40.64404296875</v>
      </c>
      <c r="D16" s="124">
        <f t="shared" si="0"/>
        <v>2.35595703125</v>
      </c>
      <c r="E16" s="171">
        <f t="shared" si="1"/>
        <v>2.35595703125</v>
      </c>
      <c r="F16" s="124">
        <f t="shared" si="2"/>
        <v>5.5505335330963135</v>
      </c>
      <c r="G16" s="124">
        <f t="shared" si="3"/>
        <v>5.4789698401162788E-2</v>
      </c>
      <c r="H16" s="124">
        <f>AVERAGE(E$3:E16)</f>
        <v>3.2602887834821428</v>
      </c>
      <c r="I16" s="124">
        <f>AVERAGE(F$3:F16)</f>
        <v>14.146397267069135</v>
      </c>
      <c r="J16" s="124">
        <f>AVERAGE(G$3:G16)</f>
        <v>0.10028488714523624</v>
      </c>
      <c r="K16" s="123">
        <f>AVERAGE(D$3:D16)</f>
        <v>3.2602887834821428</v>
      </c>
      <c r="L16">
        <f>IFERROR(SUM(D$3:D16)/H16,"")</f>
        <v>14</v>
      </c>
      <c r="M16">
        <f t="shared" si="5"/>
        <v>0.99999999999999989</v>
      </c>
      <c r="N16" s="6">
        <v>5.1457719634889369E-2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5"/>
      <c r="AE16" s="65"/>
      <c r="AF16" s="65"/>
      <c r="AG16" s="65"/>
      <c r="AH16" s="65"/>
      <c r="AI16" s="65"/>
      <c r="AJ16" s="65"/>
      <c r="AK16" s="65"/>
      <c r="AL16" s="6"/>
      <c r="AM16" s="6"/>
      <c r="AN16" s="6"/>
      <c r="AO16" s="6"/>
      <c r="AP16" s="6"/>
      <c r="AQ16" s="6"/>
      <c r="AR16" s="6"/>
    </row>
    <row r="17" spans="1:61" ht="16.5" x14ac:dyDescent="0.3">
      <c r="A17" s="126">
        <v>15</v>
      </c>
      <c r="B17" s="73">
        <v>45</v>
      </c>
      <c r="C17" s="124">
        <f t="shared" si="4"/>
        <v>41.822021484375</v>
      </c>
      <c r="D17" s="124">
        <f t="shared" si="0"/>
        <v>3.177978515625</v>
      </c>
      <c r="E17" s="171">
        <f t="shared" si="1"/>
        <v>3.177978515625</v>
      </c>
      <c r="F17" s="124">
        <f t="shared" si="2"/>
        <v>10.099547445774078</v>
      </c>
      <c r="G17" s="124">
        <f t="shared" si="3"/>
        <v>7.0621744791666663E-2</v>
      </c>
      <c r="H17" s="124">
        <f>AVERAGE(E$3:E17)</f>
        <v>3.2548014322916665</v>
      </c>
      <c r="I17" s="124">
        <f>AVERAGE(F$3:F17)</f>
        <v>13.876607278982798</v>
      </c>
      <c r="J17" s="124">
        <f>AVERAGE(G$3:G17)</f>
        <v>9.8307344321664936E-2</v>
      </c>
      <c r="K17" s="123">
        <f>AVERAGE(D$3:D17)</f>
        <v>3.2548014322916665</v>
      </c>
      <c r="L17">
        <f>IFERROR(SUM(D$3:D17)/H17,"")</f>
        <v>15</v>
      </c>
      <c r="M17"/>
      <c r="N17" s="65">
        <f>MIN(N6:N16)</f>
        <v>5.1457719634889369E-2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"/>
      <c r="AM17" s="6"/>
      <c r="AN17" s="6"/>
      <c r="AO17" s="6"/>
      <c r="AP17" s="6"/>
      <c r="AQ17" s="6"/>
      <c r="AR17" s="6"/>
    </row>
    <row r="18" spans="1:61" ht="16.5" x14ac:dyDescent="0.3">
      <c r="A18" s="126">
        <v>16</v>
      </c>
      <c r="B18" s="73">
        <v>48</v>
      </c>
      <c r="C18" s="124">
        <f t="shared" si="4"/>
        <v>43.4110107421875</v>
      </c>
      <c r="D18" s="124">
        <f t="shared" si="0"/>
        <v>4.5889892578125</v>
      </c>
      <c r="E18" s="171">
        <f t="shared" si="1"/>
        <v>4.5889892578125</v>
      </c>
      <c r="F18" s="124">
        <f t="shared" si="2"/>
        <v>21.05882240831852</v>
      </c>
      <c r="G18" s="124">
        <f t="shared" si="3"/>
        <v>9.560394287109375E-2</v>
      </c>
      <c r="H18" s="124">
        <f>AVERAGE(E$3:E18)</f>
        <v>3.3381881713867188</v>
      </c>
      <c r="I18" s="124">
        <f>AVERAGE(F$3:F18)</f>
        <v>14.325495724566281</v>
      </c>
      <c r="J18" s="124">
        <f>AVERAGE(G$3:G18)</f>
        <v>9.813838173100424E-2</v>
      </c>
      <c r="K18" s="123">
        <f>AVERAGE(D$3:D18)</f>
        <v>3.3381881713867188</v>
      </c>
      <c r="L18">
        <f>IFERROR(SUM(D$3:D18)/H18,"")</f>
        <v>16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"/>
      <c r="AM18" s="6"/>
      <c r="AN18" s="6"/>
      <c r="AO18" s="6"/>
      <c r="AP18" s="6"/>
      <c r="AQ18" s="6"/>
      <c r="AR18" s="6"/>
    </row>
    <row r="19" spans="1:61" ht="16.5" x14ac:dyDescent="0.3">
      <c r="A19" s="126">
        <v>17</v>
      </c>
      <c r="B19" s="73">
        <v>49</v>
      </c>
      <c r="C19" s="124">
        <f t="shared" si="4"/>
        <v>45.70550537109375</v>
      </c>
      <c r="D19" s="124">
        <f t="shared" si="0"/>
        <v>3.29449462890625</v>
      </c>
      <c r="E19" s="171">
        <f t="shared" si="1"/>
        <v>3.29449462890625</v>
      </c>
      <c r="F19" s="124">
        <f t="shared" si="2"/>
        <v>10.85369485989213</v>
      </c>
      <c r="G19" s="124">
        <f t="shared" si="3"/>
        <v>6.7234584263392863E-2</v>
      </c>
      <c r="H19" s="124">
        <f>AVERAGE(E$3:E19)</f>
        <v>3.3356179630055145</v>
      </c>
      <c r="I19" s="124">
        <f>AVERAGE(F$3:F19)</f>
        <v>14.12127214429133</v>
      </c>
      <c r="J19" s="124">
        <f>AVERAGE(G$3:G19)</f>
        <v>9.6320511291732983E-2</v>
      </c>
      <c r="K19" s="123">
        <f>AVERAGE(D$3:D19)</f>
        <v>3.3356179630055145</v>
      </c>
      <c r="L19">
        <f>IFERROR(SUM(D$3:D19)/H19,"")</f>
        <v>17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"/>
      <c r="AM19" s="6"/>
      <c r="AN19" s="6"/>
      <c r="AO19" s="6"/>
      <c r="AP19" s="6"/>
      <c r="AQ19" s="6"/>
      <c r="AR19" s="6"/>
    </row>
    <row r="20" spans="1:61" ht="16.5" x14ac:dyDescent="0.3">
      <c r="A20" s="126">
        <v>18</v>
      </c>
      <c r="B20" s="73">
        <v>50</v>
      </c>
      <c r="C20" s="124">
        <f t="shared" si="4"/>
        <v>47.352752685546875</v>
      </c>
      <c r="D20" s="124">
        <f t="shared" si="0"/>
        <v>2.647247314453125</v>
      </c>
      <c r="E20" s="171">
        <f t="shared" si="1"/>
        <v>2.647247314453125</v>
      </c>
      <c r="F20" s="124">
        <f t="shared" si="2"/>
        <v>7.0079183438792825</v>
      </c>
      <c r="G20" s="124">
        <f t="shared" si="3"/>
        <v>5.2944946289062503E-2</v>
      </c>
      <c r="H20" s="124">
        <f>AVERAGE(E$3:E20)</f>
        <v>3.2973751491970487</v>
      </c>
      <c r="I20" s="124">
        <f>AVERAGE(F$3:F20)</f>
        <v>13.726085822046217</v>
      </c>
      <c r="J20" s="124">
        <f>AVERAGE(G$3:G20)</f>
        <v>9.3910757680473508E-2</v>
      </c>
      <c r="K20" s="123">
        <f>AVERAGE(D$3:D20)</f>
        <v>3.2973751491970487</v>
      </c>
      <c r="L20">
        <f>IFERROR(SUM(D$3:D20)/H20,"")</f>
        <v>18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"/>
      <c r="AM20" s="6"/>
      <c r="AN20" s="6"/>
      <c r="AO20" s="6"/>
      <c r="AP20" s="6"/>
      <c r="AQ20" s="6"/>
      <c r="AR20" s="6"/>
    </row>
    <row r="21" spans="1:61" ht="16.5" x14ac:dyDescent="0.3">
      <c r="A21" s="126">
        <v>19</v>
      </c>
      <c r="B21" s="73">
        <v>50</v>
      </c>
      <c r="C21" s="124">
        <f t="shared" si="4"/>
        <v>48.676376342773438</v>
      </c>
      <c r="D21" s="124">
        <f t="shared" si="0"/>
        <v>1.3236236572265625</v>
      </c>
      <c r="E21" s="171">
        <f t="shared" si="1"/>
        <v>1.3236236572265625</v>
      </c>
      <c r="F21" s="124">
        <f t="shared" si="2"/>
        <v>1.7519795859698206</v>
      </c>
      <c r="G21" s="124">
        <f t="shared" si="3"/>
        <v>2.6472473144531251E-2</v>
      </c>
      <c r="H21" s="124">
        <f>AVERAGE(E$3:E21)</f>
        <v>3.1934934917249178</v>
      </c>
      <c r="I21" s="124">
        <f>AVERAGE(F$3:F21)</f>
        <v>13.095869704357986</v>
      </c>
      <c r="J21" s="124">
        <f>AVERAGE(G$3:G21)</f>
        <v>9.036137428384497E-2</v>
      </c>
      <c r="K21" s="123">
        <f>AVERAGE(D$3:D21)</f>
        <v>3.1934934917249178</v>
      </c>
      <c r="L21">
        <f>IFERROR(SUM(D$3:D21)/H21,"")</f>
        <v>19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"/>
      <c r="AM21" s="6"/>
      <c r="AN21" s="6"/>
      <c r="AO21" s="6"/>
      <c r="AP21" s="6"/>
      <c r="AQ21" s="6"/>
      <c r="AR21" s="6"/>
    </row>
    <row r="22" spans="1:61" ht="16.5" x14ac:dyDescent="0.3">
      <c r="A22" s="126">
        <v>20</v>
      </c>
      <c r="B22" s="73">
        <v>55</v>
      </c>
      <c r="C22" s="124">
        <f t="shared" si="4"/>
        <v>49.338188171386719</v>
      </c>
      <c r="D22" s="124">
        <f t="shared" si="0"/>
        <v>5.6618118286132813</v>
      </c>
      <c r="E22" s="171">
        <f t="shared" si="1"/>
        <v>5.6618118286132813</v>
      </c>
      <c r="F22" s="124">
        <f t="shared" si="2"/>
        <v>32.056113182625268</v>
      </c>
      <c r="G22" s="124">
        <f t="shared" si="3"/>
        <v>0.10294203324751421</v>
      </c>
      <c r="H22" s="124">
        <f>AVERAGE(E$3:E22)</f>
        <v>3.316909408569336</v>
      </c>
      <c r="I22" s="124">
        <f>AVERAGE(F$3:F22)</f>
        <v>14.04388187827135</v>
      </c>
      <c r="J22" s="124">
        <f>AVERAGE(G$3:G22)</f>
        <v>9.099040723202842E-2</v>
      </c>
      <c r="K22" s="123">
        <f>AVERAGE(D$3:D22)</f>
        <v>3.316909408569336</v>
      </c>
      <c r="L22">
        <f>IFERROR(SUM(D$3:D22)/H22,"")</f>
        <v>20</v>
      </c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"/>
      <c r="AM22" s="6"/>
      <c r="AN22" s="6"/>
      <c r="AO22" s="6"/>
      <c r="AP22" s="6"/>
      <c r="AQ22" s="6"/>
      <c r="AR22" s="6"/>
    </row>
    <row r="23" spans="1:61" ht="16.5" x14ac:dyDescent="0.3">
      <c r="A23" s="126">
        <v>21</v>
      </c>
      <c r="B23" s="73">
        <v>55</v>
      </c>
      <c r="C23" s="124">
        <f t="shared" si="4"/>
        <v>52.169094085693359</v>
      </c>
      <c r="D23" s="124">
        <f t="shared" si="0"/>
        <v>2.8309059143066406</v>
      </c>
      <c r="E23" s="171">
        <f t="shared" si="1"/>
        <v>2.8309059143066406</v>
      </c>
      <c r="F23" s="124">
        <f t="shared" si="2"/>
        <v>8.0140282956563169</v>
      </c>
      <c r="G23" s="124">
        <f t="shared" si="3"/>
        <v>5.1471016623757103E-2</v>
      </c>
      <c r="H23" s="124">
        <f>AVERAGE(E$3:E23)</f>
        <v>3.2937663850330172</v>
      </c>
      <c r="I23" s="124">
        <f>AVERAGE(F$3:F23)</f>
        <v>13.75674599338492</v>
      </c>
      <c r="J23" s="124">
        <f>AVERAGE(G$3:G23)</f>
        <v>8.9108531488777412E-2</v>
      </c>
      <c r="K23" s="123">
        <f>AVERAGE(D$3:D23)</f>
        <v>3.2937663850330172</v>
      </c>
      <c r="L23">
        <f>IFERROR(SUM(D$3:D23)/H23,"")</f>
        <v>21</v>
      </c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"/>
      <c r="AM23" s="6"/>
      <c r="AN23" s="6"/>
      <c r="AO23" s="6"/>
      <c r="AP23" s="6"/>
      <c r="AQ23" s="6"/>
      <c r="AR23" s="6"/>
    </row>
    <row r="24" spans="1:61" ht="16.5" x14ac:dyDescent="0.3">
      <c r="A24" s="126">
        <v>22</v>
      </c>
      <c r="B24" s="73">
        <v>58</v>
      </c>
      <c r="C24" s="124">
        <f t="shared" si="4"/>
        <v>53.58454704284668</v>
      </c>
      <c r="D24" s="124">
        <f t="shared" si="0"/>
        <v>4.4154529571533203</v>
      </c>
      <c r="E24" s="171">
        <f t="shared" si="1"/>
        <v>4.4154529571533203</v>
      </c>
      <c r="F24" s="124">
        <f t="shared" si="2"/>
        <v>19.496224816834001</v>
      </c>
      <c r="G24" s="124">
        <f t="shared" si="3"/>
        <v>7.6128499261264138E-2</v>
      </c>
      <c r="H24" s="124">
        <f>AVERAGE(E$3:E24)</f>
        <v>3.3447521383112129</v>
      </c>
      <c r="I24" s="124">
        <f>AVERAGE(F$3:F24)</f>
        <v>14.017631394450786</v>
      </c>
      <c r="J24" s="124">
        <f>AVERAGE(G$3:G24)</f>
        <v>8.8518530023890443E-2</v>
      </c>
      <c r="K24" s="123">
        <f>AVERAGE(D$3:D24)</f>
        <v>3.3447521383112129</v>
      </c>
      <c r="L24">
        <f>IFERROR(SUM(D$3:D24)/H24,"")</f>
        <v>22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"/>
      <c r="AM24" s="6"/>
      <c r="AN24" s="6"/>
      <c r="AO24" s="6"/>
      <c r="AP24" s="6"/>
      <c r="AQ24" s="6"/>
      <c r="AR24" s="6"/>
    </row>
    <row r="25" spans="1:61" ht="16.5" x14ac:dyDescent="0.3">
      <c r="A25" s="126">
        <v>23</v>
      </c>
      <c r="B25" s="73">
        <v>62</v>
      </c>
      <c r="C25" s="124">
        <f t="shared" si="4"/>
        <v>55.79227352142334</v>
      </c>
      <c r="D25" s="124">
        <f t="shared" si="0"/>
        <v>6.2077264785766602</v>
      </c>
      <c r="E25" s="171">
        <f t="shared" si="1"/>
        <v>6.2077264785766602</v>
      </c>
      <c r="F25" s="124">
        <f t="shared" si="2"/>
        <v>38.535868032821782</v>
      </c>
      <c r="G25" s="124">
        <f t="shared" si="3"/>
        <v>0.1001246206222042</v>
      </c>
      <c r="H25" s="124">
        <f>AVERAGE(E$3:E25)</f>
        <v>3.469229283540145</v>
      </c>
      <c r="I25" s="124">
        <f>AVERAGE(F$3:F25)</f>
        <v>15.083641683075612</v>
      </c>
      <c r="J25" s="124">
        <f>AVERAGE(G$3:G25)</f>
        <v>8.902314265859973E-2</v>
      </c>
      <c r="K25" s="123">
        <f>AVERAGE(D$3:D25)</f>
        <v>3.469229283540145</v>
      </c>
      <c r="L25">
        <f>IFERROR(SUM(D$3:D25)/H25,"")</f>
        <v>23</v>
      </c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"/>
      <c r="AM25" s="6"/>
      <c r="AN25" s="6"/>
      <c r="AO25" s="6"/>
      <c r="AP25" s="6"/>
      <c r="AQ25" s="6"/>
      <c r="AR25" s="6"/>
    </row>
    <row r="26" spans="1:61" ht="16.5" x14ac:dyDescent="0.3">
      <c r="A26" s="126">
        <v>24</v>
      </c>
      <c r="B26" s="73">
        <v>63</v>
      </c>
      <c r="C26" s="124">
        <f t="shared" si="4"/>
        <v>58.89613676071167</v>
      </c>
      <c r="D26" s="124">
        <f t="shared" si="0"/>
        <v>4.1038632392883301</v>
      </c>
      <c r="E26" s="171">
        <f t="shared" si="1"/>
        <v>4.1038632392883301</v>
      </c>
      <c r="F26" s="124">
        <f t="shared" si="2"/>
        <v>16.841693486782106</v>
      </c>
      <c r="G26" s="124">
        <f t="shared" si="3"/>
        <v>6.5140686337909995E-2</v>
      </c>
      <c r="H26" s="124">
        <f>AVERAGE(E$3:E26)</f>
        <v>3.4956723650296531</v>
      </c>
      <c r="I26" s="124">
        <f>AVERAGE(F$3:F26)</f>
        <v>15.156893841563383</v>
      </c>
      <c r="J26" s="124">
        <f>AVERAGE(G$3:G26)</f>
        <v>8.8028040311904324E-2</v>
      </c>
      <c r="K26" s="123">
        <f>AVERAGE(D$3:D26)</f>
        <v>3.4956723650296531</v>
      </c>
      <c r="L26">
        <f>IFERROR(SUM(D$3:D26)/H26,"")</f>
        <v>24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"/>
      <c r="AM26" s="6"/>
      <c r="AN26" s="6"/>
      <c r="AO26" s="6"/>
      <c r="AP26" s="6"/>
      <c r="AQ26" s="6"/>
      <c r="AR26" s="6"/>
    </row>
    <row r="27" spans="1:61" ht="16.5" x14ac:dyDescent="0.3">
      <c r="A27" s="126">
        <v>25</v>
      </c>
      <c r="B27" s="73">
        <v>67</v>
      </c>
      <c r="C27" s="124">
        <f t="shared" si="4"/>
        <v>60.948068380355835</v>
      </c>
      <c r="D27" s="124">
        <f t="shared" si="0"/>
        <v>6.051931619644165</v>
      </c>
      <c r="E27" s="171">
        <f t="shared" si="1"/>
        <v>6.051931619644165</v>
      </c>
      <c r="F27" s="124">
        <f t="shared" si="2"/>
        <v>36.625876328848847</v>
      </c>
      <c r="G27" s="124">
        <f t="shared" si="3"/>
        <v>9.0327337606629324E-2</v>
      </c>
      <c r="H27" s="124">
        <f>AVERAGE(E$3:E27)</f>
        <v>3.5979227352142336</v>
      </c>
      <c r="I27" s="124">
        <f>AVERAGE(F$3:F27)</f>
        <v>16.015653141054802</v>
      </c>
      <c r="J27" s="124">
        <f>AVERAGE(G$3:G27)</f>
        <v>8.8120012203693324E-2</v>
      </c>
      <c r="K27" s="123">
        <f>AVERAGE(D$3:D27)</f>
        <v>3.5979227352142336</v>
      </c>
      <c r="L27">
        <f>IFERROR(SUM(D$3:D27)/H27,"")</f>
        <v>25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"/>
      <c r="AM27" s="6"/>
      <c r="AN27" s="6"/>
      <c r="AO27" s="6"/>
      <c r="AP27" s="6"/>
      <c r="AQ27" s="6"/>
      <c r="AR27" s="6"/>
    </row>
    <row r="28" spans="1:61" ht="16.5" x14ac:dyDescent="0.3">
      <c r="A28" s="126">
        <v>26</v>
      </c>
      <c r="B28" s="73">
        <v>72</v>
      </c>
      <c r="C28" s="124">
        <f t="shared" si="4"/>
        <v>63.974034190177917</v>
      </c>
      <c r="D28" s="124">
        <f t="shared" si="0"/>
        <v>8.0259658098220825</v>
      </c>
      <c r="E28" s="171">
        <f t="shared" si="1"/>
        <v>8.0259658098220825</v>
      </c>
      <c r="F28" s="124">
        <f t="shared" si="2"/>
        <v>64.416127180433037</v>
      </c>
      <c r="G28" s="124">
        <f t="shared" si="3"/>
        <v>0.11147174735864003</v>
      </c>
      <c r="H28" s="124">
        <f>AVERAGE(E$3:E28)</f>
        <v>3.7682320842376122</v>
      </c>
      <c r="I28" s="124">
        <f>AVERAGE(F$3:F28)</f>
        <v>17.877209834877043</v>
      </c>
      <c r="J28" s="124">
        <f>AVERAGE(G$3:G28)</f>
        <v>8.9018155863498968E-2</v>
      </c>
      <c r="K28" s="123">
        <f>AVERAGE(D$3:D28)</f>
        <v>3.7682320842376122</v>
      </c>
      <c r="L28">
        <f>IFERROR(SUM(D$3:D28)/H28,"")</f>
        <v>26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"/>
      <c r="AM28" s="6"/>
      <c r="AN28" s="6"/>
      <c r="AO28" s="6"/>
      <c r="AP28" s="6"/>
      <c r="AQ28" s="6"/>
      <c r="AR28" s="6"/>
    </row>
    <row r="29" spans="1:61" ht="16.5" x14ac:dyDescent="0.3">
      <c r="A29" s="126">
        <v>27</v>
      </c>
      <c r="B29" s="73">
        <v>79</v>
      </c>
      <c r="C29" s="124">
        <f t="shared" si="4"/>
        <v>67.987017095088959</v>
      </c>
      <c r="D29" s="124">
        <f t="shared" si="0"/>
        <v>11.012982904911041</v>
      </c>
      <c r="E29" s="171">
        <f t="shared" si="1"/>
        <v>11.012982904911041</v>
      </c>
      <c r="F29" s="124">
        <f t="shared" si="2"/>
        <v>121.28579246386283</v>
      </c>
      <c r="G29" s="124">
        <f t="shared" si="3"/>
        <v>0.13940484689760813</v>
      </c>
      <c r="H29" s="124">
        <f>AVERAGE(E$3:E29)</f>
        <v>4.0365561887069985</v>
      </c>
      <c r="I29" s="124">
        <f>AVERAGE(F$3:F29)</f>
        <v>21.707157339654291</v>
      </c>
      <c r="J29" s="124">
        <f>AVERAGE(G$3:G29)</f>
        <v>9.0884329605503023E-2</v>
      </c>
      <c r="K29" s="123">
        <f>AVERAGE(D$3:D29)</f>
        <v>4.0365561887069985</v>
      </c>
      <c r="L29">
        <f>IFERROR(SUM(D$3:D29)/H29,"")</f>
        <v>27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"/>
      <c r="AM29" s="6"/>
      <c r="AN29" s="6"/>
      <c r="AO29" s="6"/>
      <c r="AP29" s="6"/>
      <c r="AQ29" s="6"/>
      <c r="AR29" s="6"/>
    </row>
    <row r="30" spans="1:61" ht="16.5" x14ac:dyDescent="0.3">
      <c r="A30" s="126">
        <v>28</v>
      </c>
      <c r="B30" s="73">
        <v>86</v>
      </c>
      <c r="C30" s="124">
        <f t="shared" si="4"/>
        <v>73.493508547544479</v>
      </c>
      <c r="D30" s="124">
        <f t="shared" si="0"/>
        <v>12.506491452455521</v>
      </c>
      <c r="E30" s="171">
        <f t="shared" si="1"/>
        <v>12.506491452455521</v>
      </c>
      <c r="F30" s="124">
        <f t="shared" si="2"/>
        <v>156.41232845034301</v>
      </c>
      <c r="G30" s="124">
        <f t="shared" si="3"/>
        <v>0.14542431921459908</v>
      </c>
      <c r="H30" s="124">
        <f>AVERAGE(E$3:E30)</f>
        <v>4.3390538766980171</v>
      </c>
      <c r="I30" s="124">
        <f>AVERAGE(F$3:F30)</f>
        <v>26.518056307893175</v>
      </c>
      <c r="J30" s="124">
        <f>AVERAGE(G$3:G30)</f>
        <v>9.2832186377256445E-2</v>
      </c>
      <c r="K30" s="123">
        <f>AVERAGE(D$3:D30)</f>
        <v>4.3390538766980171</v>
      </c>
      <c r="L30">
        <f>IFERROR(SUM(D$3:D30)/H30,"")</f>
        <v>28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"/>
      <c r="AM30" s="6"/>
      <c r="AN30" s="6"/>
      <c r="AO30" s="6"/>
      <c r="AP30" s="6"/>
      <c r="AQ30" s="6"/>
      <c r="AR30" s="6"/>
    </row>
    <row r="31" spans="1:61" ht="16.5" x14ac:dyDescent="0.3">
      <c r="A31" s="125">
        <v>29</v>
      </c>
      <c r="B31"/>
      <c r="C31" s="124">
        <f t="shared" si="4"/>
        <v>79.74675427377224</v>
      </c>
      <c r="D31" s="131">
        <f>AVERAGE(D3:D30)</f>
        <v>4.3390538766980171</v>
      </c>
      <c r="E31" s="131"/>
      <c r="F31" s="131"/>
      <c r="G31" s="124"/>
      <c r="H31"/>
      <c r="I31" s="65"/>
      <c r="J31" s="65"/>
      <c r="K31" s="123"/>
      <c r="L31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"/>
      <c r="AM31" s="6"/>
      <c r="AN31" s="6"/>
      <c r="AO31" s="6"/>
      <c r="AP31" s="6"/>
      <c r="AQ31" s="6"/>
      <c r="AR31" s="6"/>
      <c r="BE31"/>
      <c r="BF31"/>
      <c r="BG31"/>
      <c r="BH31"/>
      <c r="BI31"/>
    </row>
    <row r="32" spans="1:61" x14ac:dyDescent="0.25">
      <c r="A32"/>
      <c r="B32"/>
      <c r="C32" s="6"/>
      <c r="D32" s="112" t="s">
        <v>121</v>
      </c>
      <c r="E32" s="65"/>
      <c r="F32" s="112"/>
      <c r="G32" s="65"/>
      <c r="H32" s="65"/>
      <c r="I32" s="65"/>
      <c r="J32" s="65"/>
      <c r="K32" s="123"/>
      <c r="L32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"/>
      <c r="AM32" s="6"/>
      <c r="AN32" s="6"/>
      <c r="AO32" s="6"/>
      <c r="AP32" s="6"/>
      <c r="AQ32" s="6"/>
      <c r="AR32" s="6"/>
      <c r="BE32"/>
      <c r="BF32"/>
      <c r="BG32"/>
      <c r="BH32"/>
      <c r="BI32"/>
    </row>
    <row r="33" spans="1:61" x14ac:dyDescent="0.25">
      <c r="A33"/>
      <c r="B33"/>
      <c r="C33" s="6"/>
      <c r="D33" s="65"/>
      <c r="E33" s="132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"/>
      <c r="AM33" s="6"/>
      <c r="AN33" s="6"/>
      <c r="AO33" s="6"/>
      <c r="AP33" s="6"/>
      <c r="AQ33" s="6"/>
      <c r="AR33" s="6"/>
      <c r="BE33"/>
      <c r="BF33"/>
      <c r="BG33"/>
      <c r="BH33"/>
      <c r="BI33"/>
    </row>
    <row r="34" spans="1:61" x14ac:dyDescent="0.25">
      <c r="A34"/>
      <c r="B34"/>
      <c r="C34" s="6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"/>
      <c r="AM34" s="6"/>
      <c r="AN34" s="6"/>
      <c r="AO34" s="6"/>
      <c r="AP34" s="6"/>
      <c r="AQ34" s="6"/>
      <c r="AR34" s="6"/>
      <c r="BE34"/>
      <c r="BF34"/>
      <c r="BG34"/>
      <c r="BH34"/>
      <c r="BI34"/>
    </row>
    <row r="35" spans="1:61" x14ac:dyDescent="0.25">
      <c r="A35"/>
      <c r="B35"/>
      <c r="C35" s="133"/>
      <c r="D35" s="13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"/>
      <c r="AM35" s="6"/>
      <c r="AN35" s="6"/>
      <c r="AO35" s="6"/>
      <c r="AP35" s="6"/>
      <c r="AQ35" s="6"/>
      <c r="AR35" s="6"/>
      <c r="BE35"/>
      <c r="BF35"/>
      <c r="BG35"/>
      <c r="BH35"/>
      <c r="BI35"/>
    </row>
    <row r="36" spans="1:61" x14ac:dyDescent="0.25">
      <c r="A36"/>
      <c r="B36"/>
      <c r="C36" s="133"/>
      <c r="D36" s="13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"/>
      <c r="AM36" s="6"/>
      <c r="AN36" s="6"/>
      <c r="AO36" s="6"/>
      <c r="AP36" s="6"/>
      <c r="AQ36" s="6"/>
      <c r="AR36" s="6"/>
      <c r="BE36"/>
      <c r="BF36"/>
      <c r="BG36"/>
      <c r="BH36"/>
      <c r="BI36"/>
    </row>
    <row r="37" spans="1:61" x14ac:dyDescent="0.25">
      <c r="A37"/>
      <c r="B37"/>
      <c r="C37" s="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"/>
      <c r="AM37" s="6"/>
      <c r="AN37" s="6"/>
      <c r="AO37" s="6"/>
      <c r="AP37" s="6"/>
      <c r="AQ37" s="6"/>
      <c r="AR37" s="6"/>
      <c r="BE37"/>
      <c r="BF37"/>
      <c r="BG37"/>
      <c r="BH37"/>
      <c r="BI37"/>
    </row>
    <row r="38" spans="1:61" x14ac:dyDescent="0.25">
      <c r="A38"/>
      <c r="B38"/>
      <c r="C38" s="6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"/>
      <c r="AM38" s="6"/>
      <c r="AN38" s="6"/>
      <c r="AO38" s="6"/>
      <c r="AP38" s="6"/>
      <c r="AQ38" s="6"/>
      <c r="AR38" s="6"/>
      <c r="BE38"/>
      <c r="BF38"/>
      <c r="BG38"/>
      <c r="BH38"/>
      <c r="BI38"/>
    </row>
    <row r="39" spans="1:61" x14ac:dyDescent="0.25">
      <c r="A39"/>
      <c r="B39"/>
      <c r="C39" s="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"/>
      <c r="AM39" s="6"/>
      <c r="AN39" s="6"/>
      <c r="AO39" s="6"/>
      <c r="AP39" s="6"/>
      <c r="AQ39" s="6"/>
      <c r="AR39" s="6"/>
      <c r="BE39"/>
      <c r="BF39"/>
      <c r="BG39"/>
      <c r="BH39"/>
      <c r="BI39"/>
    </row>
    <row r="40" spans="1:61" x14ac:dyDescent="0.25">
      <c r="A40"/>
      <c r="B40"/>
      <c r="C40" s="6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"/>
      <c r="AM40" s="6"/>
      <c r="AN40" s="6"/>
      <c r="AO40" s="6"/>
      <c r="AP40" s="6"/>
      <c r="AQ40" s="6"/>
      <c r="AR40" s="6"/>
      <c r="BE40"/>
      <c r="BF40"/>
      <c r="BG40"/>
      <c r="BH40"/>
      <c r="BI40"/>
    </row>
    <row r="41" spans="1:61" x14ac:dyDescent="0.25">
      <c r="A41"/>
      <c r="B41"/>
      <c r="C41" s="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"/>
      <c r="AM41" s="6"/>
      <c r="AN41" s="6"/>
      <c r="AO41" s="6"/>
      <c r="AP41" s="6"/>
      <c r="AQ41" s="6"/>
      <c r="AR41" s="6"/>
      <c r="BE41"/>
      <c r="BF41"/>
      <c r="BG41"/>
      <c r="BH41"/>
      <c r="BI41"/>
    </row>
    <row r="42" spans="1:61" x14ac:dyDescent="0.25">
      <c r="A42"/>
      <c r="B42"/>
      <c r="C42" s="6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"/>
      <c r="AM42" s="6"/>
      <c r="AN42" s="6"/>
      <c r="AO42" s="6"/>
      <c r="AP42" s="6"/>
      <c r="AQ42" s="6"/>
      <c r="AR42" s="6"/>
      <c r="BE42"/>
      <c r="BF42"/>
      <c r="BG42"/>
      <c r="BH42"/>
      <c r="BI42"/>
    </row>
    <row r="43" spans="1:61" x14ac:dyDescent="0.25">
      <c r="A43"/>
      <c r="B43"/>
      <c r="C43" s="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"/>
      <c r="AM43" s="6"/>
      <c r="AN43" s="6"/>
      <c r="AO43" s="6"/>
      <c r="AP43" s="6"/>
      <c r="AQ43" s="6"/>
      <c r="AR43" s="6"/>
      <c r="BE43"/>
      <c r="BF43"/>
      <c r="BG43"/>
      <c r="BH43"/>
      <c r="BI43"/>
    </row>
    <row r="44" spans="1:61" x14ac:dyDescent="0.25">
      <c r="A44"/>
      <c r="B44"/>
      <c r="C44" s="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"/>
      <c r="AM44" s="6"/>
      <c r="AN44" s="6"/>
      <c r="AO44" s="6"/>
      <c r="AP44" s="6"/>
      <c r="AQ44" s="6"/>
      <c r="AR44" s="6"/>
      <c r="BE44"/>
      <c r="BF44"/>
      <c r="BG44"/>
      <c r="BH44"/>
      <c r="BI44"/>
    </row>
    <row r="45" spans="1:61" x14ac:dyDescent="0.25">
      <c r="A45"/>
      <c r="B45"/>
      <c r="C45" s="6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"/>
      <c r="AM45" s="6"/>
      <c r="AN45" s="6"/>
      <c r="AO45" s="6"/>
      <c r="AP45" s="6"/>
      <c r="AQ45" s="6"/>
      <c r="AR45" s="6"/>
      <c r="BE45"/>
      <c r="BF45"/>
      <c r="BG45"/>
      <c r="BH45"/>
      <c r="BI45"/>
    </row>
    <row r="46" spans="1:61" x14ac:dyDescent="0.25">
      <c r="A46"/>
      <c r="B46"/>
      <c r="C46" s="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"/>
      <c r="AM46" s="6"/>
      <c r="AN46" s="6"/>
      <c r="AO46" s="6"/>
      <c r="AP46" s="6"/>
      <c r="AQ46" s="6"/>
      <c r="AR46" s="6"/>
      <c r="BE46"/>
      <c r="BF46"/>
      <c r="BG46"/>
      <c r="BH46"/>
      <c r="BI46"/>
    </row>
    <row r="47" spans="1:61" x14ac:dyDescent="0.25">
      <c r="A47"/>
      <c r="B47"/>
      <c r="C47" s="6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"/>
      <c r="AM47" s="6"/>
      <c r="AN47" s="6"/>
      <c r="AO47" s="6"/>
      <c r="AP47" s="6"/>
      <c r="AQ47" s="6"/>
      <c r="AR47" s="6"/>
      <c r="BE47"/>
      <c r="BF47"/>
      <c r="BG47"/>
      <c r="BH47"/>
      <c r="BI47"/>
    </row>
    <row r="48" spans="1:61" x14ac:dyDescent="0.25">
      <c r="A48"/>
      <c r="B48"/>
      <c r="C48" s="6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"/>
      <c r="AM48" s="6"/>
      <c r="AN48" s="6"/>
      <c r="AO48" s="6"/>
      <c r="AP48" s="6"/>
      <c r="AQ48" s="6"/>
      <c r="AR48" s="6"/>
      <c r="BE48"/>
      <c r="BF48"/>
      <c r="BG48"/>
      <c r="BH48"/>
      <c r="BI48"/>
    </row>
    <row r="49" spans="1:61" x14ac:dyDescent="0.25">
      <c r="A49"/>
      <c r="B49"/>
      <c r="C49" s="6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"/>
      <c r="AM49" s="6"/>
      <c r="AN49" s="6"/>
      <c r="AO49" s="6"/>
      <c r="AP49" s="6"/>
      <c r="AQ49" s="6"/>
      <c r="AR49" s="6"/>
      <c r="BE49"/>
      <c r="BF49"/>
      <c r="BG49"/>
      <c r="BH49"/>
      <c r="BI49"/>
    </row>
    <row r="50" spans="1:61" x14ac:dyDescent="0.25">
      <c r="A50"/>
      <c r="B50"/>
      <c r="C50" s="6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"/>
      <c r="AM50" s="6"/>
      <c r="AN50" s="6"/>
      <c r="AO50" s="6"/>
      <c r="AP50" s="6"/>
      <c r="AQ50" s="6"/>
      <c r="AR50" s="6"/>
      <c r="BE50"/>
      <c r="BF50"/>
      <c r="BG50"/>
      <c r="BH50"/>
      <c r="BI50"/>
    </row>
    <row r="51" spans="1:61" x14ac:dyDescent="0.25">
      <c r="A51"/>
      <c r="B51"/>
      <c r="C51" s="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"/>
      <c r="AM51" s="6"/>
      <c r="AN51" s="6"/>
      <c r="AO51" s="6"/>
      <c r="AP51" s="6"/>
      <c r="AQ51" s="6"/>
      <c r="AR51" s="6"/>
      <c r="BE51"/>
      <c r="BF51"/>
      <c r="BG51"/>
      <c r="BH51"/>
      <c r="BI51"/>
    </row>
    <row r="52" spans="1:61" x14ac:dyDescent="0.25">
      <c r="A52"/>
      <c r="B52"/>
      <c r="C52" s="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"/>
      <c r="AM52" s="6"/>
      <c r="AN52" s="6"/>
      <c r="AO52" s="6"/>
      <c r="AP52" s="6"/>
      <c r="AQ52" s="6"/>
      <c r="AR52" s="6"/>
      <c r="BE52"/>
      <c r="BF52"/>
      <c r="BG52"/>
      <c r="BH52"/>
      <c r="BI52"/>
    </row>
    <row r="53" spans="1:61" x14ac:dyDescent="0.25">
      <c r="A53"/>
      <c r="B53"/>
      <c r="C53" s="6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"/>
      <c r="AM53" s="6"/>
      <c r="AN53" s="6"/>
      <c r="AO53" s="6"/>
      <c r="AP53" s="6"/>
      <c r="AQ53" s="6"/>
      <c r="AR53" s="6"/>
      <c r="BE53"/>
      <c r="BF53"/>
      <c r="BG53"/>
      <c r="BH53"/>
      <c r="BI53"/>
    </row>
    <row r="54" spans="1:61" x14ac:dyDescent="0.25">
      <c r="A54"/>
      <c r="B54"/>
      <c r="C54" s="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"/>
      <c r="AM54" s="6"/>
      <c r="AN54" s="6"/>
      <c r="AO54" s="6"/>
      <c r="AP54" s="6"/>
      <c r="AQ54" s="6"/>
      <c r="AR54" s="6"/>
      <c r="BE54"/>
      <c r="BF54"/>
      <c r="BG54"/>
      <c r="BH54"/>
      <c r="BI54"/>
    </row>
    <row r="55" spans="1:61" x14ac:dyDescent="0.25">
      <c r="A55"/>
      <c r="B55"/>
      <c r="C55" s="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"/>
      <c r="AM55" s="6"/>
      <c r="AN55" s="6"/>
      <c r="AO55" s="6"/>
      <c r="AP55" s="6"/>
      <c r="AQ55" s="6"/>
      <c r="AR55" s="6"/>
      <c r="BE55"/>
      <c r="BF55"/>
      <c r="BG55"/>
      <c r="BH55"/>
      <c r="BI55"/>
    </row>
    <row r="56" spans="1:61" x14ac:dyDescent="0.25">
      <c r="A56"/>
      <c r="B56"/>
      <c r="C56" s="6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"/>
      <c r="AM56" s="6"/>
      <c r="AN56" s="6"/>
      <c r="AO56" s="6"/>
      <c r="AP56" s="6"/>
      <c r="AQ56" s="6"/>
      <c r="AR56" s="6"/>
      <c r="BE56"/>
      <c r="BF56"/>
      <c r="BG56"/>
      <c r="BH56"/>
      <c r="BI56"/>
    </row>
    <row r="57" spans="1:61" x14ac:dyDescent="0.25">
      <c r="A57"/>
      <c r="B57"/>
      <c r="C57" s="6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"/>
      <c r="AM57" s="6"/>
      <c r="AN57" s="6"/>
      <c r="AO57" s="6"/>
      <c r="AP57" s="6"/>
      <c r="AQ57" s="6"/>
      <c r="AR57" s="6"/>
      <c r="BE57"/>
      <c r="BF57"/>
      <c r="BG57"/>
      <c r="BH57"/>
      <c r="BI57"/>
    </row>
    <row r="58" spans="1:61" x14ac:dyDescent="0.25">
      <c r="A58"/>
      <c r="B58"/>
      <c r="C58" s="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"/>
      <c r="AM58" s="6"/>
      <c r="AN58" s="6"/>
      <c r="AO58" s="6"/>
      <c r="AP58" s="6"/>
      <c r="AQ58" s="6"/>
      <c r="AR58" s="6"/>
      <c r="BE58"/>
      <c r="BF58"/>
      <c r="BG58"/>
      <c r="BH58"/>
      <c r="BI58"/>
    </row>
    <row r="59" spans="1:61" x14ac:dyDescent="0.25">
      <c r="A59"/>
      <c r="B59"/>
      <c r="C59" s="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"/>
      <c r="AM59" s="6"/>
      <c r="AN59" s="6"/>
      <c r="AO59" s="6"/>
      <c r="AP59" s="6"/>
      <c r="AQ59" s="6"/>
      <c r="AR59" s="6"/>
      <c r="BE59"/>
      <c r="BF59"/>
      <c r="BG59"/>
      <c r="BH59"/>
      <c r="BI59"/>
    </row>
    <row r="60" spans="1:61" x14ac:dyDescent="0.25">
      <c r="A60"/>
      <c r="B60"/>
      <c r="C60" s="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"/>
      <c r="AM60" s="6"/>
      <c r="AN60" s="6"/>
      <c r="AO60" s="6"/>
      <c r="AP60" s="6"/>
      <c r="AQ60" s="6"/>
      <c r="AR60" s="6"/>
      <c r="BE60"/>
      <c r="BF60"/>
      <c r="BG60"/>
      <c r="BH60"/>
      <c r="BI60"/>
    </row>
    <row r="61" spans="1:61" x14ac:dyDescent="0.25">
      <c r="A61"/>
      <c r="B61"/>
      <c r="C61" s="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"/>
      <c r="AM61" s="6"/>
      <c r="AN61" s="6"/>
      <c r="AO61" s="6"/>
      <c r="AP61" s="6"/>
      <c r="AQ61" s="6"/>
      <c r="AR61" s="6"/>
      <c r="BE61"/>
      <c r="BF61"/>
      <c r="BG61"/>
      <c r="BH61"/>
      <c r="BI61"/>
    </row>
    <row r="62" spans="1:61" x14ac:dyDescent="0.25">
      <c r="A62"/>
      <c r="B62"/>
      <c r="C62" s="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"/>
      <c r="AM62" s="6"/>
      <c r="AN62" s="6"/>
      <c r="AO62" s="6"/>
      <c r="AP62" s="6"/>
      <c r="AQ62" s="6"/>
      <c r="AR62" s="6"/>
      <c r="BE62"/>
      <c r="BF62"/>
      <c r="BG62"/>
      <c r="BH62"/>
      <c r="BI62"/>
    </row>
    <row r="63" spans="1:61" x14ac:dyDescent="0.25">
      <c r="A63"/>
      <c r="B63"/>
      <c r="C63" s="6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"/>
      <c r="AM63" s="6"/>
      <c r="AN63" s="6"/>
      <c r="AO63" s="6"/>
      <c r="AP63" s="6"/>
      <c r="AQ63" s="6"/>
      <c r="AR63" s="6"/>
      <c r="BE63"/>
      <c r="BF63"/>
      <c r="BG63"/>
      <c r="BH63"/>
      <c r="BI63"/>
    </row>
    <row r="64" spans="1:61" x14ac:dyDescent="0.25">
      <c r="A64"/>
      <c r="B64"/>
      <c r="C64" s="6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"/>
      <c r="AM64" s="6"/>
      <c r="AN64" s="6"/>
      <c r="AO64" s="6"/>
      <c r="AP64" s="6"/>
      <c r="AQ64" s="6"/>
      <c r="AR64" s="6"/>
      <c r="BE64"/>
      <c r="BF64"/>
      <c r="BG64"/>
      <c r="BH64"/>
      <c r="BI64"/>
    </row>
    <row r="65" spans="1:61" x14ac:dyDescent="0.25">
      <c r="A65"/>
      <c r="B65"/>
      <c r="C65" s="6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"/>
      <c r="AM65" s="6"/>
      <c r="AN65" s="6"/>
      <c r="AO65" s="6"/>
      <c r="AP65" s="6"/>
      <c r="AQ65" s="6"/>
      <c r="AR65" s="6"/>
      <c r="BE65"/>
      <c r="BF65"/>
      <c r="BG65"/>
      <c r="BH65"/>
      <c r="BI65"/>
    </row>
    <row r="66" spans="1:61" x14ac:dyDescent="0.25">
      <c r="A66"/>
      <c r="B66"/>
      <c r="C66" s="6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"/>
      <c r="AM66" s="6"/>
      <c r="AN66" s="6"/>
      <c r="AO66" s="6"/>
      <c r="AP66" s="6"/>
      <c r="AQ66" s="6"/>
      <c r="AR66" s="6"/>
      <c r="BE66"/>
      <c r="BF66"/>
      <c r="BG66"/>
      <c r="BH66"/>
      <c r="BI66"/>
    </row>
    <row r="67" spans="1:61" x14ac:dyDescent="0.25">
      <c r="A67"/>
      <c r="B67"/>
      <c r="C67" s="6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"/>
      <c r="AM67" s="6"/>
      <c r="AN67" s="6"/>
      <c r="AO67" s="6"/>
      <c r="AP67" s="6"/>
      <c r="AQ67" s="6"/>
      <c r="AR67" s="6"/>
      <c r="BE67"/>
      <c r="BF67"/>
      <c r="BG67"/>
      <c r="BH67"/>
      <c r="BI67"/>
    </row>
    <row r="68" spans="1:61" x14ac:dyDescent="0.25">
      <c r="A68"/>
      <c r="B68"/>
      <c r="C68" s="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"/>
      <c r="AM68" s="6"/>
      <c r="AN68" s="6"/>
      <c r="AO68" s="6"/>
      <c r="AP68" s="6"/>
      <c r="AQ68" s="6"/>
      <c r="AR68" s="6"/>
      <c r="BE68"/>
      <c r="BF68"/>
      <c r="BG68"/>
      <c r="BH68"/>
      <c r="BI68"/>
    </row>
    <row r="69" spans="1:61" x14ac:dyDescent="0.25">
      <c r="A69"/>
      <c r="B69"/>
      <c r="C69" s="6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"/>
      <c r="AM69" s="6"/>
      <c r="AN69" s="6"/>
      <c r="AO69" s="6"/>
      <c r="AP69" s="6"/>
      <c r="AQ69" s="6"/>
      <c r="AR69" s="6"/>
      <c r="BE69"/>
      <c r="BF69"/>
      <c r="BG69"/>
      <c r="BH69"/>
      <c r="BI69"/>
    </row>
    <row r="70" spans="1:61" x14ac:dyDescent="0.25">
      <c r="A70"/>
      <c r="B70"/>
      <c r="C70" s="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"/>
      <c r="AM70" s="6"/>
      <c r="AN70" s="6"/>
      <c r="AO70" s="6"/>
      <c r="AP70" s="6"/>
      <c r="AQ70" s="6"/>
      <c r="AR70" s="6"/>
      <c r="BE70"/>
      <c r="BF70"/>
      <c r="BG70"/>
      <c r="BH70"/>
      <c r="BI70"/>
    </row>
    <row r="71" spans="1:61" x14ac:dyDescent="0.25">
      <c r="A71"/>
      <c r="B71"/>
      <c r="C71" s="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"/>
      <c r="AM71" s="6"/>
      <c r="AN71" s="6"/>
      <c r="AO71" s="6"/>
      <c r="AP71" s="6"/>
      <c r="AQ71" s="6"/>
      <c r="AR71" s="6"/>
      <c r="BE71"/>
      <c r="BF71"/>
      <c r="BG71"/>
      <c r="BH71"/>
      <c r="BI71"/>
    </row>
    <row r="72" spans="1:61" x14ac:dyDescent="0.25">
      <c r="A72"/>
      <c r="B72"/>
      <c r="C72" s="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"/>
      <c r="AM72" s="6"/>
      <c r="AN72" s="6"/>
      <c r="AO72" s="6"/>
      <c r="AP72" s="6"/>
      <c r="AQ72" s="6"/>
      <c r="AR72" s="6"/>
      <c r="BE72"/>
      <c r="BF72"/>
      <c r="BG72"/>
      <c r="BH72"/>
      <c r="BI72"/>
    </row>
    <row r="73" spans="1:61" x14ac:dyDescent="0.25">
      <c r="A73"/>
      <c r="B73"/>
      <c r="C73"/>
      <c r="BE73"/>
      <c r="BF73"/>
      <c r="BG73"/>
      <c r="BH73"/>
      <c r="BI73"/>
    </row>
    <row r="74" spans="1:61" x14ac:dyDescent="0.25">
      <c r="A74"/>
      <c r="B74"/>
      <c r="C74"/>
      <c r="BE74"/>
      <c r="BF74"/>
      <c r="BG74"/>
      <c r="BH74"/>
      <c r="BI74"/>
    </row>
    <row r="75" spans="1:61" x14ac:dyDescent="0.25">
      <c r="A75"/>
      <c r="B75"/>
      <c r="C75"/>
      <c r="BE75"/>
      <c r="BF75"/>
      <c r="BG75"/>
      <c r="BH75"/>
      <c r="BI75"/>
    </row>
    <row r="76" spans="1:61" x14ac:dyDescent="0.25">
      <c r="A76"/>
      <c r="B76"/>
      <c r="C76"/>
      <c r="BE76"/>
      <c r="BF76"/>
      <c r="BG76"/>
      <c r="BH76"/>
      <c r="BI76"/>
    </row>
    <row r="77" spans="1:61" x14ac:dyDescent="0.25">
      <c r="A77"/>
      <c r="B77"/>
      <c r="C77"/>
      <c r="BE77"/>
      <c r="BF77"/>
      <c r="BG77"/>
      <c r="BH77"/>
      <c r="BI77"/>
    </row>
    <row r="78" spans="1:61" ht="16.5" x14ac:dyDescent="0.3">
      <c r="A78"/>
      <c r="B78"/>
      <c r="C78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BE78"/>
      <c r="BF78"/>
      <c r="BG78"/>
      <c r="BH78"/>
      <c r="BI78"/>
    </row>
    <row r="79" spans="1:61" ht="16.5" x14ac:dyDescent="0.3">
      <c r="A79"/>
      <c r="B79"/>
      <c r="C79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BE79"/>
      <c r="BF79"/>
      <c r="BG79"/>
      <c r="BH79"/>
      <c r="BI79"/>
    </row>
    <row r="80" spans="1:61" ht="16.5" x14ac:dyDescent="0.3">
      <c r="A80"/>
      <c r="B80"/>
      <c r="C80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BE80"/>
      <c r="BF80"/>
      <c r="BG80"/>
      <c r="BH80"/>
      <c r="BI80"/>
    </row>
    <row r="81" spans="1:61" ht="16.5" x14ac:dyDescent="0.3">
      <c r="A81"/>
      <c r="B81"/>
      <c r="C8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BE81"/>
      <c r="BF81"/>
      <c r="BG81"/>
      <c r="BH81"/>
      <c r="BI81"/>
    </row>
    <row r="82" spans="1:61" ht="16.5" x14ac:dyDescent="0.3">
      <c r="A82"/>
      <c r="B82"/>
      <c r="C82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BE82"/>
      <c r="BF82"/>
      <c r="BG82"/>
      <c r="BH82"/>
      <c r="BI82"/>
    </row>
    <row r="83" spans="1:61" ht="16.5" x14ac:dyDescent="0.3">
      <c r="A83"/>
      <c r="B83"/>
      <c r="C83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BE83"/>
      <c r="BF83"/>
      <c r="BG83"/>
      <c r="BH83"/>
      <c r="BI83"/>
    </row>
    <row r="84" spans="1:61" ht="16.5" x14ac:dyDescent="0.3">
      <c r="A84"/>
      <c r="B84"/>
      <c r="C84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BE84"/>
      <c r="BF84"/>
      <c r="BG84"/>
      <c r="BH84"/>
      <c r="BI84"/>
    </row>
    <row r="85" spans="1:61" ht="16.5" x14ac:dyDescent="0.3">
      <c r="A85"/>
      <c r="B85"/>
      <c r="C85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BE85"/>
      <c r="BF85"/>
      <c r="BG85"/>
      <c r="BH85"/>
      <c r="BI85"/>
    </row>
    <row r="86" spans="1:61" ht="16.5" x14ac:dyDescent="0.3">
      <c r="A86"/>
      <c r="B86"/>
      <c r="C86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BE86"/>
      <c r="BF86"/>
      <c r="BG86"/>
      <c r="BH86"/>
      <c r="BI86"/>
    </row>
    <row r="87" spans="1:61" ht="16.5" x14ac:dyDescent="0.3">
      <c r="A87"/>
      <c r="B87"/>
      <c r="C87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</row>
    <row r="88" spans="1:61" ht="16.5" x14ac:dyDescent="0.3">
      <c r="A88"/>
      <c r="B88"/>
      <c r="C88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</row>
    <row r="89" spans="1:61" ht="16.5" x14ac:dyDescent="0.3">
      <c r="A89"/>
      <c r="B89"/>
      <c r="C89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</row>
    <row r="90" spans="1:61" x14ac:dyDescent="0.25">
      <c r="A90"/>
      <c r="B90"/>
      <c r="C90"/>
    </row>
    <row r="91" spans="1:61" x14ac:dyDescent="0.25">
      <c r="A91"/>
      <c r="B91"/>
      <c r="C91"/>
    </row>
    <row r="92" spans="1:61" x14ac:dyDescent="0.25">
      <c r="A92"/>
      <c r="B92"/>
      <c r="C92"/>
    </row>
    <row r="93" spans="1:61" x14ac:dyDescent="0.25">
      <c r="A93"/>
      <c r="B93"/>
      <c r="C93"/>
    </row>
    <row r="94" spans="1:61" x14ac:dyDescent="0.25">
      <c r="A94"/>
      <c r="B94"/>
      <c r="C94"/>
    </row>
    <row r="95" spans="1:61" x14ac:dyDescent="0.25">
      <c r="A95"/>
      <c r="B95"/>
      <c r="C95"/>
    </row>
    <row r="96" spans="1:61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N6:N16">
    <cfRule type="cellIs" dxfId="3" priority="1" operator="equal">
      <formula>$N$17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="96" zoomScaleNormal="96" workbookViewId="0">
      <selection activeCell="L30" sqref="L30"/>
    </sheetView>
  </sheetViews>
  <sheetFormatPr defaultRowHeight="15" x14ac:dyDescent="0.25"/>
  <cols>
    <col min="1" max="2" width="4.85546875" customWidth="1"/>
    <col min="3" max="3" width="10" bestFit="1" customWidth="1"/>
    <col min="4" max="5" width="7.85546875" bestFit="1" customWidth="1"/>
    <col min="6" max="8" width="7.85546875" style="6" customWidth="1"/>
    <col min="9" max="9" width="27.140625" bestFit="1" customWidth="1"/>
    <col min="10" max="10" width="18.140625" bestFit="1" customWidth="1"/>
    <col min="11" max="11" width="11.7109375" bestFit="1" customWidth="1"/>
    <col min="12" max="12" width="14.5703125" bestFit="1" customWidth="1"/>
    <col min="13" max="13" width="12" bestFit="1" customWidth="1"/>
    <col min="14" max="14" width="8.85546875" bestFit="1" customWidth="1"/>
    <col min="15" max="15" width="13.42578125" bestFit="1" customWidth="1"/>
    <col min="16" max="16" width="11" bestFit="1" customWidth="1"/>
  </cols>
  <sheetData>
    <row r="1" spans="1:16" ht="15.75" thickBot="1" x14ac:dyDescent="0.3">
      <c r="F1" s="27" t="s">
        <v>56</v>
      </c>
      <c r="G1" s="27" t="s">
        <v>57</v>
      </c>
      <c r="H1" s="27" t="s">
        <v>58</v>
      </c>
      <c r="I1" s="27" t="s">
        <v>59</v>
      </c>
    </row>
    <row r="2" spans="1:16" ht="15.75" thickBot="1" x14ac:dyDescent="0.3">
      <c r="A2" s="19" t="s">
        <v>25</v>
      </c>
      <c r="B2" s="21" t="s">
        <v>0</v>
      </c>
      <c r="C2" s="21" t="s">
        <v>26</v>
      </c>
      <c r="D2" s="20" t="s">
        <v>27</v>
      </c>
      <c r="E2" s="21" t="s">
        <v>55</v>
      </c>
      <c r="F2" s="1">
        <f>AVERAGE(B3:B52)</f>
        <v>51.392857142857146</v>
      </c>
      <c r="G2" s="25">
        <f>SUM(D3:D52)</f>
        <v>337.475369458128</v>
      </c>
      <c r="H2" s="25">
        <f>SUM(E3:E52)</f>
        <v>7260.6785714285706</v>
      </c>
      <c r="I2">
        <f>1-G2/H2</f>
        <v>0.95352013367095956</v>
      </c>
      <c r="J2" t="s">
        <v>28</v>
      </c>
      <c r="P2" t="s">
        <v>43</v>
      </c>
    </row>
    <row r="3" spans="1:16" ht="17.25" thickBot="1" x14ac:dyDescent="0.35">
      <c r="A3" s="22">
        <v>1</v>
      </c>
      <c r="B3" s="73">
        <f>'0.ArdiData28Fixed'!C3</f>
        <v>25</v>
      </c>
      <c r="C3" s="42">
        <f>$K$20+$K$21*A3</f>
        <v>25.113300492610847</v>
      </c>
      <c r="D3" s="23">
        <f>(B3-C3)^2</f>
        <v>1.2837001625860586E-2</v>
      </c>
      <c r="E3" s="43">
        <f>(B3-$F$2)^2</f>
        <v>696.58290816326542</v>
      </c>
      <c r="F3"/>
      <c r="G3"/>
      <c r="H3"/>
    </row>
    <row r="4" spans="1:16" ht="16.5" x14ac:dyDescent="0.3">
      <c r="A4" s="22">
        <v>2</v>
      </c>
      <c r="B4" s="73">
        <f>'0.ArdiData28Fixed'!C4</f>
        <v>28</v>
      </c>
      <c r="C4" s="42">
        <f t="shared" ref="C4:C30" si="0">$K$20+$K$21*A4</f>
        <v>27.059934318555015</v>
      </c>
      <c r="D4" s="23">
        <f t="shared" ref="D4:D30" si="1">(B4-C4)^2</f>
        <v>0.88372348543062329</v>
      </c>
      <c r="E4" s="43">
        <f t="shared" ref="E4:E30" si="2">(B4-$F$2)^2</f>
        <v>547.22576530612264</v>
      </c>
      <c r="F4" s="26"/>
      <c r="G4" s="26"/>
      <c r="H4" s="26"/>
      <c r="J4" s="8" t="s">
        <v>29</v>
      </c>
      <c r="K4" s="8"/>
    </row>
    <row r="5" spans="1:16" ht="16.5" x14ac:dyDescent="0.3">
      <c r="A5" s="22">
        <v>3</v>
      </c>
      <c r="B5" s="73">
        <f>'0.ArdiData28Fixed'!C5</f>
        <v>31</v>
      </c>
      <c r="C5" s="42">
        <f t="shared" si="0"/>
        <v>29.006568144499187</v>
      </c>
      <c r="D5" s="23">
        <f t="shared" si="1"/>
        <v>3.9737705625254125</v>
      </c>
      <c r="E5" s="43">
        <f t="shared" si="2"/>
        <v>415.86862244897969</v>
      </c>
      <c r="F5" s="26"/>
      <c r="G5" s="26"/>
      <c r="H5" s="26"/>
      <c r="I5" s="9" t="s">
        <v>30</v>
      </c>
      <c r="J5" s="10" t="s">
        <v>31</v>
      </c>
      <c r="K5" s="11">
        <v>0.32299932660652342</v>
      </c>
      <c r="L5" s="12">
        <f>CORREL(A3:A30,B3:B30)</f>
        <v>0.97648355524860708</v>
      </c>
    </row>
    <row r="6" spans="1:16" ht="16.5" x14ac:dyDescent="0.3">
      <c r="A6" s="22">
        <v>4</v>
      </c>
      <c r="B6" s="73">
        <f>'0.ArdiData28Fixed'!C6</f>
        <v>33</v>
      </c>
      <c r="C6" s="42">
        <f t="shared" si="0"/>
        <v>30.953201970443356</v>
      </c>
      <c r="D6" s="23">
        <f t="shared" si="1"/>
        <v>4.189382173796961</v>
      </c>
      <c r="E6" s="43">
        <f t="shared" si="2"/>
        <v>338.29719387755114</v>
      </c>
      <c r="F6" s="26"/>
      <c r="G6" s="26"/>
      <c r="H6" s="26"/>
      <c r="I6" s="9" t="s">
        <v>32</v>
      </c>
      <c r="J6" s="10" t="s">
        <v>33</v>
      </c>
      <c r="K6" s="11">
        <v>0.10432856498826758</v>
      </c>
      <c r="L6" s="12">
        <f>L5^2</f>
        <v>0.95352013367095945</v>
      </c>
      <c r="M6" s="47">
        <f>1-G2/H2</f>
        <v>0.95352013367095956</v>
      </c>
    </row>
    <row r="7" spans="1:16" ht="16.5" x14ac:dyDescent="0.3">
      <c r="A7" s="22">
        <v>5</v>
      </c>
      <c r="B7" s="73">
        <f>'0.ArdiData28Fixed'!C7</f>
        <v>35</v>
      </c>
      <c r="C7" s="42">
        <f t="shared" si="0"/>
        <v>32.899835796387528</v>
      </c>
      <c r="D7" s="23">
        <f t="shared" si="1"/>
        <v>4.4106896821352093</v>
      </c>
      <c r="E7" s="43">
        <f t="shared" si="2"/>
        <v>268.72576530612253</v>
      </c>
      <c r="F7" s="26"/>
      <c r="G7" s="26"/>
      <c r="H7" s="26"/>
      <c r="J7" s="13" t="s">
        <v>34</v>
      </c>
      <c r="K7" s="14">
        <v>8.566874342552315E-2</v>
      </c>
    </row>
    <row r="8" spans="1:16" ht="16.5" x14ac:dyDescent="0.3">
      <c r="A8" s="22">
        <v>6</v>
      </c>
      <c r="B8" s="73">
        <f>'0.ArdiData28Fixed'!C8</f>
        <v>39</v>
      </c>
      <c r="C8" s="42">
        <f t="shared" si="0"/>
        <v>34.846469622331696</v>
      </c>
      <c r="D8" s="23">
        <f t="shared" si="1"/>
        <v>17.2518145982134</v>
      </c>
      <c r="E8" s="43">
        <f t="shared" si="2"/>
        <v>153.58290816326539</v>
      </c>
      <c r="F8" s="26"/>
      <c r="G8" s="26"/>
      <c r="H8" s="26"/>
      <c r="J8" s="10" t="s">
        <v>35</v>
      </c>
      <c r="K8" s="11">
        <v>17.721983000572738</v>
      </c>
      <c r="L8" s="12">
        <f>SQRT(SUM(D3:D30)/(COUNT(D3:D30)-2))</f>
        <v>3.6027519901091849</v>
      </c>
    </row>
    <row r="9" spans="1:16" ht="17.25" thickBot="1" x14ac:dyDescent="0.35">
      <c r="A9" s="22">
        <v>7</v>
      </c>
      <c r="B9" s="73">
        <f>'0.ArdiData28Fixed'!C9</f>
        <v>39</v>
      </c>
      <c r="C9" s="42">
        <f t="shared" si="0"/>
        <v>36.793103448275872</v>
      </c>
      <c r="D9" s="23">
        <f t="shared" si="1"/>
        <v>4.8703923900118475</v>
      </c>
      <c r="E9" s="43">
        <f t="shared" si="2"/>
        <v>153.58290816326539</v>
      </c>
      <c r="F9" s="26"/>
      <c r="G9" s="26"/>
      <c r="H9" s="26"/>
      <c r="J9" s="15" t="s">
        <v>36</v>
      </c>
      <c r="K9" s="15">
        <v>50</v>
      </c>
      <c r="L9" s="12">
        <f>COUNT(B3:B30)</f>
        <v>28</v>
      </c>
    </row>
    <row r="10" spans="1:16" ht="16.5" x14ac:dyDescent="0.3">
      <c r="A10" s="22">
        <v>8</v>
      </c>
      <c r="B10" s="73">
        <f>'0.ArdiData28Fixed'!C10</f>
        <v>40</v>
      </c>
      <c r="C10" s="42">
        <f t="shared" si="0"/>
        <v>38.73973727422004</v>
      </c>
      <c r="D10" s="23">
        <f t="shared" si="1"/>
        <v>1.5882621379903339</v>
      </c>
      <c r="E10" s="43">
        <f t="shared" si="2"/>
        <v>129.79719387755108</v>
      </c>
      <c r="F10" s="26"/>
      <c r="G10" s="26"/>
      <c r="H10" s="26"/>
    </row>
    <row r="11" spans="1:16" ht="17.25" thickBot="1" x14ac:dyDescent="0.35">
      <c r="A11" s="22">
        <v>9</v>
      </c>
      <c r="B11" s="73">
        <f>'0.ArdiData28Fixed'!C11</f>
        <v>41</v>
      </c>
      <c r="C11" s="42">
        <f t="shared" si="0"/>
        <v>40.686371100164209</v>
      </c>
      <c r="D11" s="23">
        <f t="shared" si="1"/>
        <v>9.8363086812208775E-2</v>
      </c>
      <c r="E11" s="43">
        <f t="shared" si="2"/>
        <v>108.0114795918368</v>
      </c>
      <c r="F11" s="26"/>
      <c r="G11" s="26"/>
      <c r="H11" s="26"/>
      <c r="J11" t="s">
        <v>37</v>
      </c>
    </row>
    <row r="12" spans="1:16" ht="16.5" x14ac:dyDescent="0.3">
      <c r="A12" s="22">
        <v>10</v>
      </c>
      <c r="B12" s="73">
        <f>'0.ArdiData28Fixed'!C12</f>
        <v>42</v>
      </c>
      <c r="C12" s="42">
        <f t="shared" si="0"/>
        <v>42.633004926108384</v>
      </c>
      <c r="D12" s="23">
        <f t="shared" si="1"/>
        <v>0.40069523647748112</v>
      </c>
      <c r="E12" s="43">
        <f t="shared" si="2"/>
        <v>88.225765306122511</v>
      </c>
      <c r="F12" s="26"/>
      <c r="G12" s="26"/>
      <c r="H12" s="26"/>
      <c r="J12" s="16"/>
      <c r="K12" s="16" t="s">
        <v>38</v>
      </c>
      <c r="L12" s="16" t="s">
        <v>39</v>
      </c>
      <c r="M12" s="16" t="s">
        <v>40</v>
      </c>
      <c r="N12" s="16" t="s">
        <v>41</v>
      </c>
      <c r="O12" s="16" t="s">
        <v>42</v>
      </c>
    </row>
    <row r="13" spans="1:16" ht="16.5" x14ac:dyDescent="0.3">
      <c r="A13" s="22">
        <v>11</v>
      </c>
      <c r="B13" s="73">
        <f>'0.ArdiData28Fixed'!C13</f>
        <v>44</v>
      </c>
      <c r="C13" s="42">
        <f t="shared" si="0"/>
        <v>44.579638752052546</v>
      </c>
      <c r="D13" s="23">
        <f t="shared" si="1"/>
        <v>0.33598108288103251</v>
      </c>
      <c r="E13" s="43">
        <f t="shared" si="2"/>
        <v>54.654336734693921</v>
      </c>
      <c r="F13" s="26"/>
      <c r="G13" s="26"/>
      <c r="H13" s="26"/>
      <c r="J13" s="13" t="s">
        <v>43</v>
      </c>
      <c r="K13" s="40">
        <v>1</v>
      </c>
      <c r="L13" s="44">
        <v>1755.9832893157291</v>
      </c>
      <c r="M13" s="44">
        <v>1755.9832893157291</v>
      </c>
      <c r="N13" s="44">
        <v>5.5910805276169686</v>
      </c>
      <c r="O13" s="44">
        <v>2.2144150363479678E-2</v>
      </c>
    </row>
    <row r="14" spans="1:16" ht="16.5" x14ac:dyDescent="0.3">
      <c r="A14" s="22">
        <v>12</v>
      </c>
      <c r="B14" s="73">
        <f>'0.ArdiData28Fixed'!C14</f>
        <v>46</v>
      </c>
      <c r="C14" s="42">
        <f t="shared" si="0"/>
        <v>46.526272577996721</v>
      </c>
      <c r="D14" s="23">
        <f t="shared" si="1"/>
        <v>0.27696282635131503</v>
      </c>
      <c r="E14" s="43">
        <f t="shared" si="2"/>
        <v>29.082908163265341</v>
      </c>
      <c r="F14" s="26"/>
      <c r="G14" s="26"/>
      <c r="H14" s="26"/>
      <c r="J14" s="13" t="s">
        <v>44</v>
      </c>
      <c r="K14" s="40">
        <v>48</v>
      </c>
      <c r="L14" s="44">
        <v>15075.296710684277</v>
      </c>
      <c r="M14" s="44">
        <v>314.06868147258911</v>
      </c>
      <c r="N14" s="44"/>
      <c r="O14" s="44"/>
    </row>
    <row r="15" spans="1:16" ht="17.25" thickBot="1" x14ac:dyDescent="0.35">
      <c r="A15" s="22">
        <v>13</v>
      </c>
      <c r="B15" s="73">
        <f>'0.ArdiData28Fixed'!C15</f>
        <v>47</v>
      </c>
      <c r="C15" s="42">
        <f t="shared" si="0"/>
        <v>48.47290640394089</v>
      </c>
      <c r="D15" s="23">
        <f t="shared" si="1"/>
        <v>2.1694532747700834</v>
      </c>
      <c r="E15" s="43">
        <f t="shared" si="2"/>
        <v>19.297193877551049</v>
      </c>
      <c r="F15" s="26"/>
      <c r="G15" s="26"/>
      <c r="H15" s="26"/>
      <c r="J15" s="17" t="s">
        <v>45</v>
      </c>
      <c r="K15" s="45">
        <v>49</v>
      </c>
      <c r="L15" s="46">
        <v>16831.280000000006</v>
      </c>
      <c r="M15" s="46"/>
      <c r="N15" s="46"/>
      <c r="O15" s="46"/>
    </row>
    <row r="16" spans="1:16" ht="17.25" thickBot="1" x14ac:dyDescent="0.35">
      <c r="A16" s="22">
        <v>14</v>
      </c>
      <c r="B16" s="73">
        <f>'0.ArdiData28Fixed'!C16</f>
        <v>48</v>
      </c>
      <c r="C16" s="42">
        <f t="shared" si="0"/>
        <v>50.419540229885058</v>
      </c>
      <c r="D16" s="23">
        <f t="shared" si="1"/>
        <v>5.8541749240322396</v>
      </c>
      <c r="E16" s="43">
        <f t="shared" si="2"/>
        <v>11.511479591836755</v>
      </c>
      <c r="F16" s="26"/>
      <c r="G16" s="26"/>
      <c r="H16" s="26"/>
    </row>
    <row r="17" spans="1:16" ht="16.5" x14ac:dyDescent="0.3">
      <c r="A17" s="22">
        <v>15</v>
      </c>
      <c r="B17" s="73">
        <f>'0.ArdiData28Fixed'!C17</f>
        <v>50</v>
      </c>
      <c r="C17" s="42">
        <f t="shared" si="0"/>
        <v>52.366174055829234</v>
      </c>
      <c r="D17" s="23">
        <f t="shared" si="1"/>
        <v>5.5987796624793651</v>
      </c>
      <c r="E17" s="43">
        <f t="shared" si="2"/>
        <v>1.9400510204081718</v>
      </c>
      <c r="F17" s="26"/>
      <c r="G17" s="26"/>
      <c r="H17" s="26"/>
      <c r="J17" s="16"/>
      <c r="K17" s="16" t="s">
        <v>46</v>
      </c>
      <c r="L17" s="16" t="s">
        <v>35</v>
      </c>
      <c r="M17" s="16" t="s">
        <v>47</v>
      </c>
      <c r="N17" s="16" t="s">
        <v>48</v>
      </c>
      <c r="O17" s="16" t="s">
        <v>49</v>
      </c>
      <c r="P17" s="16" t="s">
        <v>50</v>
      </c>
    </row>
    <row r="18" spans="1:16" ht="16.5" x14ac:dyDescent="0.3">
      <c r="A18" s="22">
        <v>16</v>
      </c>
      <c r="B18" s="73">
        <f>'0.ArdiData28Fixed'!C18</f>
        <v>51</v>
      </c>
      <c r="C18" s="42">
        <f t="shared" si="0"/>
        <v>54.312807881773402</v>
      </c>
      <c r="D18" s="23">
        <f t="shared" si="1"/>
        <v>10.974696061539975</v>
      </c>
      <c r="E18" s="43">
        <f t="shared" si="2"/>
        <v>0.15433673469387996</v>
      </c>
      <c r="F18" s="26"/>
      <c r="G18" s="26"/>
      <c r="H18" s="26"/>
      <c r="I18" s="9" t="s">
        <v>51</v>
      </c>
      <c r="J18" s="10" t="s">
        <v>52</v>
      </c>
      <c r="K18" s="14">
        <v>19.408163265306122</v>
      </c>
      <c r="L18" s="44">
        <v>5.0886778547249945</v>
      </c>
      <c r="M18" s="44">
        <v>3.8139893739363053</v>
      </c>
      <c r="N18" s="44">
        <v>3.9045739200275012E-4</v>
      </c>
      <c r="O18" s="44">
        <v>9.1766907002433395</v>
      </c>
      <c r="P18" s="44">
        <v>29.639635830368903</v>
      </c>
    </row>
    <row r="19" spans="1:16" ht="17.25" thickBot="1" x14ac:dyDescent="0.35">
      <c r="A19" s="22">
        <v>17</v>
      </c>
      <c r="B19" s="73">
        <f>'0.ArdiData28Fixed'!C19</f>
        <v>51</v>
      </c>
      <c r="C19" s="42">
        <f t="shared" si="0"/>
        <v>56.259441707717571</v>
      </c>
      <c r="D19" s="23">
        <f t="shared" si="1"/>
        <v>27.661727076879114</v>
      </c>
      <c r="E19" s="43">
        <f t="shared" si="2"/>
        <v>0.15433673469387996</v>
      </c>
      <c r="F19" s="26"/>
      <c r="G19" s="26"/>
      <c r="H19" s="26"/>
      <c r="I19" s="9" t="s">
        <v>53</v>
      </c>
      <c r="J19" s="15" t="s">
        <v>54</v>
      </c>
      <c r="K19" s="18">
        <v>0.41066026410564221</v>
      </c>
      <c r="L19" s="46">
        <v>0.17367400060101817</v>
      </c>
      <c r="M19" s="46">
        <v>2.3645465797097249</v>
      </c>
      <c r="N19" s="48">
        <v>2.2144150363479765E-2</v>
      </c>
      <c r="O19" s="48">
        <v>6.146528200158341E-2</v>
      </c>
      <c r="P19" s="48">
        <v>0.75985524620970102</v>
      </c>
    </row>
    <row r="20" spans="1:16" ht="16.5" x14ac:dyDescent="0.3">
      <c r="A20" s="22">
        <v>18</v>
      </c>
      <c r="B20" s="73">
        <f>'0.ArdiData28Fixed'!C20</f>
        <v>53</v>
      </c>
      <c r="C20" s="42">
        <f t="shared" si="0"/>
        <v>58.206075533661746</v>
      </c>
      <c r="D20" s="23">
        <f t="shared" si="1"/>
        <v>27.103222462191436</v>
      </c>
      <c r="E20" s="43">
        <f t="shared" si="2"/>
        <v>2.5829081632652962</v>
      </c>
      <c r="F20" s="26"/>
      <c r="G20" s="26"/>
      <c r="H20" s="26"/>
      <c r="J20" s="12" t="s">
        <v>52</v>
      </c>
      <c r="K20" s="12">
        <f>INTERCEPT(B3:B30,A3:A30)</f>
        <v>23.166666666666675</v>
      </c>
    </row>
    <row r="21" spans="1:16" ht="16.5" x14ac:dyDescent="0.3">
      <c r="A21" s="22">
        <v>19</v>
      </c>
      <c r="B21" s="73">
        <f>'0.ArdiData28Fixed'!C21</f>
        <v>56</v>
      </c>
      <c r="C21" s="42">
        <f t="shared" si="0"/>
        <v>60.152709359605907</v>
      </c>
      <c r="D21" s="23">
        <f t="shared" si="1"/>
        <v>17.244995025358506</v>
      </c>
      <c r="E21" s="43">
        <f t="shared" si="2"/>
        <v>21.225765306122423</v>
      </c>
      <c r="F21" s="26"/>
      <c r="G21" s="26"/>
      <c r="H21" s="26"/>
      <c r="J21" s="12" t="s">
        <v>54</v>
      </c>
      <c r="K21" s="12">
        <f>SLOPE(B3:B30,A3:A30)</f>
        <v>1.9466338259441704</v>
      </c>
    </row>
    <row r="22" spans="1:16" ht="16.5" x14ac:dyDescent="0.3">
      <c r="A22" s="22">
        <v>20</v>
      </c>
      <c r="B22" s="73">
        <f>'0.ArdiData28Fixed'!C22</f>
        <v>61</v>
      </c>
      <c r="C22" s="42">
        <f t="shared" si="0"/>
        <v>62.099343185550083</v>
      </c>
      <c r="D22" s="23">
        <f t="shared" si="1"/>
        <v>1.2085554396154043</v>
      </c>
      <c r="E22" s="43">
        <f t="shared" si="2"/>
        <v>92.297193877550967</v>
      </c>
      <c r="F22" s="26"/>
      <c r="G22" s="26"/>
      <c r="H22" s="26"/>
      <c r="L22" s="24"/>
    </row>
    <row r="23" spans="1:16" ht="16.5" x14ac:dyDescent="0.3">
      <c r="A23" s="22">
        <v>21</v>
      </c>
      <c r="B23" s="73">
        <f>'0.ArdiData28Fixed'!C23</f>
        <v>62</v>
      </c>
      <c r="C23" s="42">
        <f t="shared" si="0"/>
        <v>64.045977011494259</v>
      </c>
      <c r="D23" s="23">
        <f t="shared" si="1"/>
        <v>4.1860219315629772</v>
      </c>
      <c r="E23" s="43">
        <f t="shared" si="2"/>
        <v>112.51147959183668</v>
      </c>
      <c r="F23" s="26"/>
      <c r="G23" s="26"/>
      <c r="H23" s="26"/>
    </row>
    <row r="24" spans="1:16" ht="16.5" x14ac:dyDescent="0.3">
      <c r="A24" s="22">
        <v>22</v>
      </c>
      <c r="B24" s="73">
        <f>'0.ArdiData28Fixed'!C24</f>
        <v>65</v>
      </c>
      <c r="C24" s="42">
        <f t="shared" si="0"/>
        <v>65.99261083743842</v>
      </c>
      <c r="D24" s="23">
        <f t="shared" si="1"/>
        <v>0.98527627460020129</v>
      </c>
      <c r="E24" s="43">
        <f t="shared" si="2"/>
        <v>185.1543367346938</v>
      </c>
      <c r="F24" s="26"/>
      <c r="G24" s="26"/>
      <c r="H24" s="26"/>
    </row>
    <row r="25" spans="1:16" ht="16.5" x14ac:dyDescent="0.3">
      <c r="A25" s="22">
        <v>23</v>
      </c>
      <c r="B25" s="73">
        <f>'0.ArdiData28Fixed'!C25</f>
        <v>67</v>
      </c>
      <c r="C25" s="42">
        <f t="shared" si="0"/>
        <v>67.939244663382595</v>
      </c>
      <c r="D25" s="23">
        <f t="shared" si="1"/>
        <v>0.88218053769268512</v>
      </c>
      <c r="E25" s="43">
        <f t="shared" si="2"/>
        <v>243.58290816326522</v>
      </c>
      <c r="F25" s="26"/>
      <c r="G25" s="26"/>
      <c r="H25" s="26"/>
    </row>
    <row r="26" spans="1:16" ht="16.5" x14ac:dyDescent="0.3">
      <c r="A26" s="22">
        <v>24</v>
      </c>
      <c r="B26" s="73">
        <f>'0.ArdiData28Fixed'!C26</f>
        <v>69</v>
      </c>
      <c r="C26" s="42">
        <f t="shared" si="0"/>
        <v>69.885878489326771</v>
      </c>
      <c r="D26" s="23">
        <f t="shared" si="1"/>
        <v>0.78478069785188198</v>
      </c>
      <c r="E26" s="43">
        <f t="shared" si="2"/>
        <v>310.01147959183663</v>
      </c>
      <c r="F26" s="26"/>
      <c r="G26" s="26"/>
      <c r="H26" s="26"/>
    </row>
    <row r="27" spans="1:16" ht="16.5" x14ac:dyDescent="0.3">
      <c r="A27" s="22">
        <v>25</v>
      </c>
      <c r="B27" s="73">
        <f>'0.ArdiData28Fixed'!C27</f>
        <v>72</v>
      </c>
      <c r="C27" s="42">
        <f t="shared" si="0"/>
        <v>71.832512315270932</v>
      </c>
      <c r="D27" s="23">
        <f t="shared" si="1"/>
        <v>2.8052124535903548E-2</v>
      </c>
      <c r="E27" s="43">
        <f t="shared" si="2"/>
        <v>424.65433673469374</v>
      </c>
      <c r="F27" s="26"/>
      <c r="G27" s="26"/>
      <c r="H27" s="26"/>
    </row>
    <row r="28" spans="1:16" ht="16.5" x14ac:dyDescent="0.3">
      <c r="A28" s="22">
        <v>26</v>
      </c>
      <c r="B28" s="73">
        <f>'0.ArdiData28Fixed'!C28</f>
        <v>72</v>
      </c>
      <c r="C28" s="42">
        <f t="shared" si="0"/>
        <v>73.779146141215108</v>
      </c>
      <c r="D28" s="23">
        <f t="shared" si="1"/>
        <v>3.1653609918006089</v>
      </c>
      <c r="E28" s="43">
        <f t="shared" si="2"/>
        <v>424.65433673469374</v>
      </c>
      <c r="F28" s="26"/>
      <c r="G28" s="26"/>
      <c r="H28" s="26"/>
    </row>
    <row r="29" spans="1:16" ht="16.5" x14ac:dyDescent="0.3">
      <c r="A29" s="22">
        <v>27</v>
      </c>
      <c r="B29" s="73">
        <f>'0.ArdiData28Fixed'!C29</f>
        <v>82</v>
      </c>
      <c r="C29" s="42">
        <f t="shared" si="0"/>
        <v>75.725779967159284</v>
      </c>
      <c r="D29" s="23">
        <f t="shared" si="1"/>
        <v>39.365837020499761</v>
      </c>
      <c r="E29" s="43">
        <f t="shared" si="2"/>
        <v>936.79719387755085</v>
      </c>
      <c r="F29" s="26"/>
      <c r="G29" s="26"/>
      <c r="H29" s="26"/>
    </row>
    <row r="30" spans="1:16" ht="16.5" x14ac:dyDescent="0.3">
      <c r="A30" s="22">
        <v>28</v>
      </c>
      <c r="B30" s="73">
        <f>'0.ArdiData28Fixed'!C30</f>
        <v>90</v>
      </c>
      <c r="C30" s="42">
        <f t="shared" si="0"/>
        <v>77.672413793103445</v>
      </c>
      <c r="D30" s="23">
        <f t="shared" si="1"/>
        <v>151.9693816884662</v>
      </c>
      <c r="E30" s="43">
        <f t="shared" si="2"/>
        <v>1490.5114795918364</v>
      </c>
      <c r="F30" s="26"/>
      <c r="G30" s="26"/>
      <c r="H30" s="26"/>
    </row>
    <row r="31" spans="1:16" x14ac:dyDescent="0.25">
      <c r="F31"/>
      <c r="G31"/>
      <c r="H31"/>
    </row>
    <row r="32" spans="1:16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  <row r="42" spans="6:8" x14ac:dyDescent="0.25">
      <c r="F42"/>
      <c r="G42"/>
      <c r="H42"/>
    </row>
    <row r="43" spans="6:8" x14ac:dyDescent="0.25">
      <c r="F43"/>
      <c r="G43"/>
      <c r="H43"/>
    </row>
    <row r="44" spans="6:8" x14ac:dyDescent="0.25">
      <c r="F44"/>
      <c r="G44"/>
      <c r="H44"/>
    </row>
    <row r="45" spans="6:8" x14ac:dyDescent="0.25">
      <c r="F45"/>
      <c r="G45"/>
      <c r="H45"/>
    </row>
    <row r="46" spans="6:8" x14ac:dyDescent="0.25">
      <c r="F46"/>
      <c r="G46"/>
      <c r="H46"/>
    </row>
    <row r="47" spans="6:8" x14ac:dyDescent="0.25">
      <c r="F47"/>
      <c r="G47"/>
      <c r="H47"/>
    </row>
    <row r="48" spans="6:8" x14ac:dyDescent="0.25">
      <c r="F48"/>
      <c r="G48"/>
      <c r="H48"/>
    </row>
    <row r="49" spans="6:9" x14ac:dyDescent="0.25">
      <c r="F49"/>
      <c r="G49"/>
      <c r="H49"/>
    </row>
    <row r="50" spans="6:9" x14ac:dyDescent="0.25">
      <c r="F50"/>
      <c r="G50"/>
      <c r="H50"/>
    </row>
    <row r="51" spans="6:9" x14ac:dyDescent="0.25">
      <c r="F51"/>
      <c r="G51"/>
      <c r="H51"/>
    </row>
    <row r="52" spans="6:9" x14ac:dyDescent="0.25">
      <c r="F52"/>
      <c r="G52"/>
      <c r="H52"/>
    </row>
    <row r="53" spans="6:9" ht="15.75" customHeight="1" x14ac:dyDescent="0.25">
      <c r="F53"/>
      <c r="G53"/>
      <c r="H53"/>
      <c r="I53" s="25">
        <f>1-G2/H2</f>
        <v>0.95352013367095956</v>
      </c>
    </row>
    <row r="54" spans="6:9" x14ac:dyDescent="0.25">
      <c r="F54"/>
      <c r="G54"/>
      <c r="H54"/>
    </row>
    <row r="55" spans="6:9" x14ac:dyDescent="0.25">
      <c r="F55"/>
      <c r="G55"/>
      <c r="H55"/>
    </row>
    <row r="56" spans="6:9" x14ac:dyDescent="0.25">
      <c r="F56"/>
      <c r="G56"/>
      <c r="H56"/>
    </row>
    <row r="57" spans="6:9" x14ac:dyDescent="0.25">
      <c r="F57"/>
      <c r="G57"/>
      <c r="H57"/>
    </row>
    <row r="58" spans="6:9" x14ac:dyDescent="0.25">
      <c r="F58"/>
      <c r="G58"/>
      <c r="H58"/>
    </row>
    <row r="59" spans="6:9" x14ac:dyDescent="0.25">
      <c r="F59"/>
      <c r="G59"/>
      <c r="H59"/>
    </row>
    <row r="60" spans="6:9" x14ac:dyDescent="0.25">
      <c r="F60"/>
      <c r="G60"/>
      <c r="H60"/>
    </row>
    <row r="61" spans="6:9" x14ac:dyDescent="0.25">
      <c r="F61"/>
      <c r="G61"/>
      <c r="H61"/>
    </row>
    <row r="62" spans="6:9" x14ac:dyDescent="0.25">
      <c r="F62"/>
      <c r="G62"/>
      <c r="H62"/>
    </row>
    <row r="63" spans="6:9" x14ac:dyDescent="0.25">
      <c r="F63"/>
      <c r="G63"/>
      <c r="H63"/>
    </row>
    <row r="64" spans="6:9" x14ac:dyDescent="0.25">
      <c r="F64"/>
      <c r="G64"/>
      <c r="H64"/>
    </row>
    <row r="65" spans="6:8" x14ac:dyDescent="0.25">
      <c r="F65"/>
      <c r="G65"/>
      <c r="H65"/>
    </row>
    <row r="66" spans="6:8" x14ac:dyDescent="0.25">
      <c r="F66"/>
      <c r="G66"/>
      <c r="H66"/>
    </row>
    <row r="67" spans="6:8" x14ac:dyDescent="0.25">
      <c r="F67"/>
      <c r="G67"/>
      <c r="H67"/>
    </row>
    <row r="68" spans="6:8" x14ac:dyDescent="0.25">
      <c r="F68"/>
      <c r="G68"/>
      <c r="H68"/>
    </row>
    <row r="69" spans="6:8" x14ac:dyDescent="0.25">
      <c r="F69"/>
      <c r="G69"/>
      <c r="H69"/>
    </row>
    <row r="70" spans="6:8" x14ac:dyDescent="0.25">
      <c r="F70"/>
      <c r="G70"/>
      <c r="H70"/>
    </row>
    <row r="71" spans="6:8" x14ac:dyDescent="0.25">
      <c r="F71"/>
      <c r="G71"/>
      <c r="H71"/>
    </row>
    <row r="72" spans="6:8" x14ac:dyDescent="0.25">
      <c r="F72"/>
      <c r="G72"/>
      <c r="H72"/>
    </row>
    <row r="73" spans="6:8" x14ac:dyDescent="0.25">
      <c r="F73"/>
      <c r="G73"/>
      <c r="H73"/>
    </row>
    <row r="74" spans="6:8" x14ac:dyDescent="0.25">
      <c r="F74"/>
      <c r="G74"/>
      <c r="H7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E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57" bestFit="1" customWidth="1"/>
    <col min="2" max="2" width="9.7109375" style="57" bestFit="1" customWidth="1"/>
    <col min="3" max="3" width="13" style="57" customWidth="1"/>
    <col min="4" max="4" width="8.7109375" style="57" customWidth="1"/>
    <col min="5" max="5" width="12.42578125" style="57" bestFit="1" customWidth="1"/>
    <col min="6" max="6" width="9.7109375" style="57" customWidth="1"/>
    <col min="7" max="7" width="9.140625" style="57"/>
    <col min="8" max="8" width="12.140625" style="57" bestFit="1" customWidth="1"/>
    <col min="9" max="9" width="13.85546875" style="57" bestFit="1" customWidth="1"/>
    <col min="10" max="10" width="12.42578125" style="57" bestFit="1" customWidth="1"/>
    <col min="11" max="11" width="12.140625" style="57" bestFit="1" customWidth="1"/>
    <col min="12" max="15" width="9.28515625" style="57" bestFit="1" customWidth="1"/>
    <col min="16" max="17" width="9.140625" style="57"/>
    <col min="18" max="18" width="9.28515625" style="57" bestFit="1" customWidth="1"/>
    <col min="19" max="29" width="9.140625" style="57"/>
    <col min="30" max="30" width="9.140625" style="57" customWidth="1"/>
    <col min="31" max="33" width="9.140625" style="57"/>
    <col min="34" max="34" width="9.28515625" bestFit="1" customWidth="1"/>
    <col min="35" max="35" width="14" customWidth="1"/>
    <col min="36" max="36" width="12.28515625" customWidth="1"/>
    <col min="37" max="37" width="10.140625" bestFit="1" customWidth="1"/>
    <col min="38" max="38" width="10.140625" customWidth="1"/>
    <col min="39" max="41" width="9.28515625" customWidth="1"/>
    <col min="42" max="42" width="9.28515625" bestFit="1" customWidth="1"/>
    <col min="43" max="43" width="12.28515625" bestFit="1" customWidth="1"/>
    <col min="53" max="16384" width="9.140625" style="57"/>
  </cols>
  <sheetData>
    <row r="1" spans="1:57" ht="15.75" thickBot="1" x14ac:dyDescent="0.3">
      <c r="G1" s="127" t="s">
        <v>63</v>
      </c>
      <c r="H1" s="128">
        <v>1</v>
      </c>
      <c r="I1" s="127" t="s">
        <v>117</v>
      </c>
      <c r="J1" s="7">
        <v>0.31904520104151834</v>
      </c>
    </row>
    <row r="2" spans="1:57" customFormat="1" ht="17.25" thickBot="1" x14ac:dyDescent="0.35">
      <c r="A2" s="61" t="s">
        <v>4</v>
      </c>
      <c r="B2" s="63" t="s">
        <v>118</v>
      </c>
      <c r="C2" s="89" t="s">
        <v>67</v>
      </c>
      <c r="D2" s="89" t="s">
        <v>19</v>
      </c>
      <c r="E2" s="1" t="s">
        <v>108</v>
      </c>
      <c r="F2" s="1" t="s">
        <v>111</v>
      </c>
      <c r="G2" s="1" t="s">
        <v>113</v>
      </c>
      <c r="H2" s="57"/>
      <c r="I2" s="57"/>
      <c r="J2" s="57"/>
    </row>
    <row r="3" spans="1:57" customFormat="1" x14ac:dyDescent="0.25">
      <c r="A3" s="57">
        <v>0</v>
      </c>
      <c r="B3" s="57">
        <f>B4</f>
        <v>19</v>
      </c>
      <c r="C3" s="129">
        <f>B4</f>
        <v>19</v>
      </c>
      <c r="D3" s="129">
        <f>(B31-B4)/(A31-1)</f>
        <v>2.4814814814814814</v>
      </c>
      <c r="E3" s="89"/>
      <c r="F3" s="89"/>
      <c r="G3" s="89"/>
      <c r="H3" s="57"/>
      <c r="I3" s="1"/>
      <c r="Z3" s="57"/>
      <c r="AA3" s="57"/>
      <c r="AB3" s="57"/>
      <c r="AC3" s="57"/>
      <c r="AD3" s="57"/>
      <c r="AE3" s="57"/>
      <c r="AF3" s="57"/>
      <c r="AG3" s="57"/>
      <c r="BA3" s="57"/>
      <c r="BB3" s="57"/>
      <c r="BC3" s="57"/>
      <c r="BD3" s="57"/>
      <c r="BE3" s="57"/>
    </row>
    <row r="4" spans="1:57" customFormat="1" ht="16.5" x14ac:dyDescent="0.3">
      <c r="A4" s="126">
        <v>1</v>
      </c>
      <c r="B4" s="73">
        <v>19</v>
      </c>
      <c r="C4" s="130">
        <f>$H$1*B4+(1-$H$1)*E4</f>
        <v>19</v>
      </c>
      <c r="D4" s="130">
        <f>(1-$J$1)*D3+$J$1*(C4-C3)</f>
        <v>1.6897767233414174</v>
      </c>
      <c r="E4" s="129">
        <f>C3+D3</f>
        <v>21.481481481481481</v>
      </c>
      <c r="F4" s="124">
        <f t="shared" ref="F4:F31" si="0">(B4-E4)^2</f>
        <v>6.1577503429355254</v>
      </c>
      <c r="G4" s="124">
        <f>AVERAGE(F$4:F4)</f>
        <v>6.1577503429355254</v>
      </c>
      <c r="H4" s="57"/>
      <c r="I4" s="124"/>
      <c r="J4" s="57"/>
      <c r="K4" s="57"/>
      <c r="M4">
        <v>0</v>
      </c>
      <c r="Z4" s="57"/>
      <c r="AA4" s="57"/>
      <c r="AB4" s="57"/>
      <c r="AC4" s="57"/>
      <c r="AD4" s="57"/>
      <c r="AE4" s="57"/>
      <c r="AF4" s="57"/>
      <c r="AG4" s="57"/>
      <c r="BA4" s="57"/>
      <c r="BB4" s="57"/>
      <c r="BC4" s="57"/>
      <c r="BD4" s="57"/>
      <c r="BE4" s="57"/>
    </row>
    <row r="5" spans="1:57" customFormat="1" ht="16.5" x14ac:dyDescent="0.3">
      <c r="A5" s="126">
        <v>2</v>
      </c>
      <c r="B5" s="73">
        <v>21</v>
      </c>
      <c r="C5" s="130">
        <f t="shared" ref="C5:C31" si="1">$H$1*B5+(1-$H$1)*E5</f>
        <v>21</v>
      </c>
      <c r="D5" s="130">
        <f t="shared" ref="D5:D31" si="2">(1-$J$1)*D4+$J$1*(C5-C4)</f>
        <v>1.7887519710107134</v>
      </c>
      <c r="E5" s="129">
        <f t="shared" ref="E5:E31" si="3">C4+D4</f>
        <v>20.689776723341417</v>
      </c>
      <c r="F5" s="124">
        <f t="shared" si="0"/>
        <v>9.6238481380787638E-2</v>
      </c>
      <c r="G5" s="124">
        <f>AVERAGE(F$4:F5)</f>
        <v>3.1269944121581563</v>
      </c>
      <c r="H5" s="57"/>
      <c r="I5" s="124"/>
      <c r="J5" s="57"/>
      <c r="K5" s="57"/>
      <c r="M5">
        <v>0.1</v>
      </c>
      <c r="Z5" s="57"/>
      <c r="AA5" s="57"/>
      <c r="AB5" s="57"/>
      <c r="AC5" s="57"/>
      <c r="AD5" s="57"/>
      <c r="AE5" s="57"/>
      <c r="AF5" s="57"/>
      <c r="AG5" s="57"/>
      <c r="BA5" s="57"/>
      <c r="BB5" s="57"/>
      <c r="BC5" s="57"/>
      <c r="BD5" s="57"/>
      <c r="BE5" s="57"/>
    </row>
    <row r="6" spans="1:57" customFormat="1" ht="16.5" x14ac:dyDescent="0.3">
      <c r="A6" s="126">
        <v>3</v>
      </c>
      <c r="B6" s="73">
        <v>25</v>
      </c>
      <c r="C6" s="130">
        <f t="shared" si="1"/>
        <v>25</v>
      </c>
      <c r="D6" s="130">
        <f t="shared" si="2"/>
        <v>2.4942400429722618</v>
      </c>
      <c r="E6" s="129">
        <f t="shared" si="3"/>
        <v>22.788751971010715</v>
      </c>
      <c r="F6" s="124">
        <f t="shared" si="0"/>
        <v>4.8896178457089983</v>
      </c>
      <c r="G6" s="124">
        <f>AVERAGE(F$4:F6)</f>
        <v>3.7145355566751035</v>
      </c>
      <c r="H6" s="57"/>
      <c r="I6" s="124"/>
      <c r="J6" s="57"/>
      <c r="K6" s="57">
        <v>0</v>
      </c>
      <c r="L6">
        <v>0.1</v>
      </c>
      <c r="M6" s="123">
        <f>G31</f>
        <v>3.7244993938238964</v>
      </c>
      <c r="N6">
        <f>K6</f>
        <v>0</v>
      </c>
      <c r="O6">
        <f>N6+$L$6</f>
        <v>0.1</v>
      </c>
      <c r="P6">
        <f t="shared" ref="P6:X6" si="4">O6+$L$6</f>
        <v>0.2</v>
      </c>
      <c r="Q6">
        <f t="shared" si="4"/>
        <v>0.30000000000000004</v>
      </c>
      <c r="R6">
        <f t="shared" si="4"/>
        <v>0.4</v>
      </c>
      <c r="S6">
        <f t="shared" si="4"/>
        <v>0.5</v>
      </c>
      <c r="T6">
        <f t="shared" si="4"/>
        <v>0.6</v>
      </c>
      <c r="U6">
        <f t="shared" si="4"/>
        <v>0.7</v>
      </c>
      <c r="V6">
        <f>U6+$L$6</f>
        <v>0.79999999999999993</v>
      </c>
      <c r="W6">
        <f t="shared" si="4"/>
        <v>0.89999999999999991</v>
      </c>
      <c r="X6">
        <f t="shared" si="4"/>
        <v>0.99999999999999989</v>
      </c>
      <c r="Z6" s="57"/>
      <c r="AA6" s="57"/>
      <c r="AB6" s="57"/>
      <c r="AC6" s="57"/>
      <c r="AD6" s="57"/>
      <c r="AE6" s="57"/>
      <c r="AF6" s="57"/>
      <c r="AG6" s="57"/>
      <c r="BA6" s="57"/>
      <c r="BB6" s="57"/>
      <c r="BC6" s="57"/>
      <c r="BD6" s="57"/>
      <c r="BE6" s="57"/>
    </row>
    <row r="7" spans="1:57" customFormat="1" ht="16.5" x14ac:dyDescent="0.3">
      <c r="A7" s="126">
        <v>4</v>
      </c>
      <c r="B7" s="73">
        <v>29</v>
      </c>
      <c r="C7" s="130">
        <f t="shared" si="1"/>
        <v>29</v>
      </c>
      <c r="D7" s="130">
        <f t="shared" si="2"/>
        <v>2.9746455311824445</v>
      </c>
      <c r="E7" s="129">
        <f t="shared" si="3"/>
        <v>27.494240042972262</v>
      </c>
      <c r="F7" s="124">
        <f t="shared" si="0"/>
        <v>2.2673130481881762</v>
      </c>
      <c r="G7" s="124">
        <f>AVERAGE(F$4:F7)</f>
        <v>3.3527299295533717</v>
      </c>
      <c r="H7" s="57"/>
      <c r="I7" s="124"/>
      <c r="J7" s="57"/>
      <c r="K7" s="57"/>
      <c r="M7">
        <f>M4</f>
        <v>0</v>
      </c>
      <c r="N7">
        <f t="dataTable" ref="N7:X17" dt2D="1" dtr="1" r1="J1" r2="H1"/>
        <v>98.924505193023535</v>
      </c>
      <c r="O7">
        <v>98.924505193023535</v>
      </c>
      <c r="P7">
        <v>98.924505193023535</v>
      </c>
      <c r="Q7">
        <v>98.924505193023535</v>
      </c>
      <c r="R7">
        <v>98.924505193023535</v>
      </c>
      <c r="S7">
        <v>98.924505193023535</v>
      </c>
      <c r="T7">
        <v>98.924505193023535</v>
      </c>
      <c r="U7">
        <v>98.924505193023535</v>
      </c>
      <c r="V7">
        <v>98.924505193023535</v>
      </c>
      <c r="W7">
        <v>98.924505193023535</v>
      </c>
      <c r="X7">
        <v>98.924505193023535</v>
      </c>
      <c r="Z7" s="57"/>
      <c r="AA7" s="57"/>
      <c r="AB7" s="57"/>
      <c r="AC7" s="57"/>
      <c r="AD7" s="57"/>
      <c r="AE7" s="57"/>
      <c r="AF7" s="57"/>
      <c r="AG7" s="57"/>
      <c r="BA7" s="57"/>
      <c r="BB7" s="57"/>
      <c r="BC7" s="57"/>
      <c r="BD7" s="57"/>
      <c r="BE7" s="57"/>
    </row>
    <row r="8" spans="1:57" customFormat="1" ht="16.5" x14ac:dyDescent="0.3">
      <c r="A8" s="126">
        <v>5</v>
      </c>
      <c r="B8" s="73">
        <v>30</v>
      </c>
      <c r="C8" s="130">
        <f t="shared" si="1"/>
        <v>30</v>
      </c>
      <c r="D8" s="130">
        <f t="shared" si="2"/>
        <v>2.3446443507006061</v>
      </c>
      <c r="E8" s="129">
        <f t="shared" si="3"/>
        <v>31.974645531182446</v>
      </c>
      <c r="F8" s="124">
        <f t="shared" si="0"/>
        <v>3.8992249738188054</v>
      </c>
      <c r="G8" s="124">
        <f>AVERAGE(F$4:F8)</f>
        <v>3.4620289384064584</v>
      </c>
      <c r="H8" s="57"/>
      <c r="I8" s="124"/>
      <c r="J8" s="57"/>
      <c r="K8" s="57"/>
      <c r="M8">
        <f>M7+$M$5</f>
        <v>0.1</v>
      </c>
      <c r="N8">
        <v>27.563592260488484</v>
      </c>
      <c r="O8">
        <v>23.329299850223055</v>
      </c>
      <c r="P8">
        <v>24.730394470663221</v>
      </c>
      <c r="Q8">
        <v>25.457131171503793</v>
      </c>
      <c r="R8">
        <v>24.61704802402954</v>
      </c>
      <c r="S8">
        <v>22.69754704931912</v>
      </c>
      <c r="T8">
        <v>20.302079854595796</v>
      </c>
      <c r="U8">
        <v>17.855237790080782</v>
      </c>
      <c r="V8">
        <v>15.599115830203093</v>
      </c>
      <c r="W8">
        <v>13.649979892019713</v>
      </c>
      <c r="X8">
        <v>12.049169650758733</v>
      </c>
      <c r="Z8" s="57"/>
      <c r="AA8" s="57"/>
      <c r="AB8" s="57"/>
      <c r="AC8" s="57"/>
      <c r="AD8" s="57"/>
      <c r="AE8" s="57"/>
      <c r="AF8" s="57"/>
      <c r="AG8" s="57"/>
      <c r="BA8" s="57"/>
      <c r="BB8" s="57"/>
      <c r="BC8" s="57"/>
      <c r="BD8" s="57"/>
      <c r="BE8" s="57"/>
    </row>
    <row r="9" spans="1:57" customFormat="1" ht="16.5" x14ac:dyDescent="0.3">
      <c r="A9" s="126">
        <v>6</v>
      </c>
      <c r="B9" s="73">
        <v>35</v>
      </c>
      <c r="C9" s="130">
        <f t="shared" si="1"/>
        <v>35</v>
      </c>
      <c r="D9" s="130">
        <f t="shared" si="2"/>
        <v>3.1918228276680627</v>
      </c>
      <c r="E9" s="129">
        <f t="shared" si="3"/>
        <v>32.344644350700605</v>
      </c>
      <c r="F9" s="124">
        <f t="shared" si="0"/>
        <v>7.0509136242662107</v>
      </c>
      <c r="G9" s="124">
        <f>AVERAGE(F$4:F9)</f>
        <v>4.0601763860497506</v>
      </c>
      <c r="H9" s="57"/>
      <c r="I9" s="124"/>
      <c r="J9" s="57"/>
      <c r="K9" s="57"/>
      <c r="M9">
        <f t="shared" ref="M9:M17" si="5">M8+$M$5</f>
        <v>0.2</v>
      </c>
      <c r="N9">
        <v>15.604432927921774</v>
      </c>
      <c r="O9">
        <v>16.187791392438083</v>
      </c>
      <c r="P9">
        <v>15.799291331334542</v>
      </c>
      <c r="Q9">
        <v>13.820559212389764</v>
      </c>
      <c r="R9">
        <v>11.639861457234868</v>
      </c>
      <c r="S9">
        <v>9.9044057158836161</v>
      </c>
      <c r="T9">
        <v>8.7544463599118618</v>
      </c>
      <c r="U9">
        <v>8.1240739376430788</v>
      </c>
      <c r="V9">
        <v>7.8831353426620572</v>
      </c>
      <c r="W9">
        <v>7.8920127702075336</v>
      </c>
      <c r="X9">
        <v>8.0227155318527803</v>
      </c>
      <c r="Z9" s="57"/>
      <c r="AA9" s="57"/>
      <c r="AB9" s="57"/>
      <c r="AC9" s="57"/>
      <c r="AD9" s="57"/>
      <c r="AE9" s="57"/>
      <c r="AF9" s="57"/>
      <c r="AG9" s="57"/>
      <c r="BA9" s="57"/>
      <c r="BB9" s="57"/>
      <c r="BC9" s="57"/>
      <c r="BD9" s="57"/>
      <c r="BE9" s="57"/>
    </row>
    <row r="10" spans="1:57" customFormat="1" ht="16.5" x14ac:dyDescent="0.3">
      <c r="A10" s="126">
        <v>7</v>
      </c>
      <c r="B10" s="73">
        <v>35</v>
      </c>
      <c r="C10" s="130">
        <f t="shared" si="1"/>
        <v>35</v>
      </c>
      <c r="D10" s="130">
        <f t="shared" si="2"/>
        <v>2.1734870719257979</v>
      </c>
      <c r="E10" s="129">
        <f t="shared" si="3"/>
        <v>38.191822827668062</v>
      </c>
      <c r="F10" s="124">
        <f t="shared" si="0"/>
        <v>10.187732963222945</v>
      </c>
      <c r="G10" s="124">
        <f>AVERAGE(F$4:F10)</f>
        <v>4.9355416113602075</v>
      </c>
      <c r="H10" s="57"/>
      <c r="I10" s="124"/>
      <c r="J10" s="57"/>
      <c r="K10" s="57"/>
      <c r="M10">
        <f t="shared" si="5"/>
        <v>0.30000000000000004</v>
      </c>
      <c r="N10">
        <v>11.185124559626626</v>
      </c>
      <c r="O10">
        <v>11.743872016026858</v>
      </c>
      <c r="P10">
        <v>10.512710885657729</v>
      </c>
      <c r="Q10">
        <v>8.8750868020090667</v>
      </c>
      <c r="R10">
        <v>7.6969397780485238</v>
      </c>
      <c r="S10">
        <v>7.032756154836493</v>
      </c>
      <c r="T10">
        <v>6.7069710245500147</v>
      </c>
      <c r="U10">
        <v>6.538520043182162</v>
      </c>
      <c r="V10">
        <v>6.407897401830736</v>
      </c>
      <c r="W10">
        <v>6.2661340928817859</v>
      </c>
      <c r="X10">
        <v>6.1153897940571467</v>
      </c>
      <c r="Z10" s="57"/>
      <c r="AA10" s="57"/>
      <c r="AB10" s="57"/>
      <c r="AC10" s="57"/>
      <c r="AD10" s="57"/>
      <c r="AE10" s="57"/>
      <c r="AF10" s="57"/>
      <c r="AG10" s="57"/>
      <c r="BA10" s="57"/>
      <c r="BB10" s="57"/>
      <c r="BC10" s="57"/>
      <c r="BD10" s="57"/>
      <c r="BE10" s="57"/>
    </row>
    <row r="11" spans="1:57" customFormat="1" ht="16.5" x14ac:dyDescent="0.3">
      <c r="A11" s="126">
        <v>8</v>
      </c>
      <c r="B11" s="73">
        <v>36</v>
      </c>
      <c r="C11" s="130">
        <f t="shared" si="1"/>
        <v>36</v>
      </c>
      <c r="D11" s="130">
        <f t="shared" si="2"/>
        <v>1.799091653143609</v>
      </c>
      <c r="E11" s="129">
        <f t="shared" si="3"/>
        <v>37.173487071925798</v>
      </c>
      <c r="F11" s="124">
        <f t="shared" si="0"/>
        <v>1.377071907976984</v>
      </c>
      <c r="G11" s="124">
        <f>AVERAGE(F$4:F11)</f>
        <v>4.4907328984373045</v>
      </c>
      <c r="H11" s="57"/>
      <c r="I11" s="124"/>
      <c r="J11" s="57"/>
      <c r="K11" s="57"/>
      <c r="M11">
        <f t="shared" si="5"/>
        <v>0.4</v>
      </c>
      <c r="N11">
        <v>8.7871447212152436</v>
      </c>
      <c r="O11">
        <v>9.0167127677244583</v>
      </c>
      <c r="P11">
        <v>7.8457627261593021</v>
      </c>
      <c r="Q11">
        <v>6.7451454048437478</v>
      </c>
      <c r="R11">
        <v>6.0647749934310946</v>
      </c>
      <c r="S11">
        <v>5.6722671903464761</v>
      </c>
      <c r="T11">
        <v>5.4162483967431925</v>
      </c>
      <c r="U11">
        <v>5.2204897239463941</v>
      </c>
      <c r="V11">
        <v>5.0652384919079987</v>
      </c>
      <c r="W11">
        <v>4.9498399774076507</v>
      </c>
      <c r="X11">
        <v>4.8701619645666101</v>
      </c>
      <c r="Z11" s="57"/>
      <c r="AA11" s="57"/>
      <c r="AB11" s="57"/>
      <c r="AC11" s="57"/>
      <c r="AD11" s="57"/>
      <c r="AE11" s="57"/>
      <c r="AF11" s="57"/>
      <c r="AG11" s="57"/>
      <c r="BA11" s="57"/>
      <c r="BB11" s="57"/>
      <c r="BC11" s="57"/>
      <c r="BD11" s="57"/>
      <c r="BE11" s="57"/>
    </row>
    <row r="12" spans="1:57" customFormat="1" ht="16.5" x14ac:dyDescent="0.3">
      <c r="A12" s="126">
        <v>9</v>
      </c>
      <c r="B12" s="73">
        <v>36</v>
      </c>
      <c r="C12" s="130">
        <f t="shared" si="1"/>
        <v>36</v>
      </c>
      <c r="D12" s="130">
        <f t="shared" si="2"/>
        <v>1.2251000949742887</v>
      </c>
      <c r="E12" s="129">
        <f t="shared" si="3"/>
        <v>37.799091653143606</v>
      </c>
      <c r="F12" s="124">
        <f t="shared" si="0"/>
        <v>3.2367307764109916</v>
      </c>
      <c r="G12" s="124">
        <f>AVERAGE(F$4:F12)</f>
        <v>4.3513993293232698</v>
      </c>
      <c r="H12" s="57"/>
      <c r="I12" s="124"/>
      <c r="J12" s="57"/>
      <c r="K12" s="57"/>
      <c r="M12">
        <f t="shared" si="5"/>
        <v>0.5</v>
      </c>
      <c r="N12">
        <v>7.2594714523822192</v>
      </c>
      <c r="O12">
        <v>7.290695811715957</v>
      </c>
      <c r="P12">
        <v>6.3173446851619479</v>
      </c>
      <c r="Q12">
        <v>5.5312808166363157</v>
      </c>
      <c r="R12">
        <v>5.0512404944294103</v>
      </c>
      <c r="S12">
        <v>4.7521486494009242</v>
      </c>
      <c r="T12">
        <v>4.5495516150136437</v>
      </c>
      <c r="U12">
        <v>4.4078454238139404</v>
      </c>
      <c r="V12">
        <v>4.3096637058768064</v>
      </c>
      <c r="W12">
        <v>4.2412000860898873</v>
      </c>
      <c r="X12">
        <v>4.1915589015227912</v>
      </c>
      <c r="Z12" s="57"/>
      <c r="AA12" s="57"/>
      <c r="AB12" s="57"/>
      <c r="AC12" s="57"/>
      <c r="AD12" s="57"/>
      <c r="AE12" s="57"/>
      <c r="AF12" s="57"/>
      <c r="AG12" s="57"/>
      <c r="BA12" s="57"/>
      <c r="BB12" s="57"/>
      <c r="BC12" s="57"/>
      <c r="BD12" s="57"/>
      <c r="BE12" s="57"/>
    </row>
    <row r="13" spans="1:57" customFormat="1" ht="16.5" x14ac:dyDescent="0.3">
      <c r="A13" s="126">
        <v>10</v>
      </c>
      <c r="B13" s="73">
        <v>37</v>
      </c>
      <c r="C13" s="130">
        <f t="shared" si="1"/>
        <v>37</v>
      </c>
      <c r="D13" s="130">
        <f t="shared" si="2"/>
        <v>1.1532829899187518</v>
      </c>
      <c r="E13" s="129">
        <f t="shared" si="3"/>
        <v>37.225100094974287</v>
      </c>
      <c r="F13" s="124">
        <f t="shared" si="0"/>
        <v>5.0670052757433207E-2</v>
      </c>
      <c r="G13" s="124">
        <f>AVERAGE(F$4:F13)</f>
        <v>3.9213264016666862</v>
      </c>
      <c r="H13" s="57"/>
      <c r="I13" s="124"/>
      <c r="J13" s="57"/>
      <c r="K13" s="57"/>
      <c r="M13">
        <f t="shared" si="5"/>
        <v>0.6</v>
      </c>
      <c r="N13">
        <v>6.2066626360250421</v>
      </c>
      <c r="O13">
        <v>6.1367081163005421</v>
      </c>
      <c r="P13">
        <v>5.3406243320199787</v>
      </c>
      <c r="Q13">
        <v>4.7467414558723133</v>
      </c>
      <c r="R13">
        <v>4.3869384581615689</v>
      </c>
      <c r="S13">
        <v>4.1653254965638196</v>
      </c>
      <c r="T13">
        <v>4.0246692950157428</v>
      </c>
      <c r="U13">
        <v>3.9362827941990948</v>
      </c>
      <c r="V13">
        <v>3.8836754844398942</v>
      </c>
      <c r="W13">
        <v>3.8572497044049436</v>
      </c>
      <c r="X13">
        <v>3.8523715750619649</v>
      </c>
      <c r="Z13" s="57"/>
      <c r="AA13" s="57"/>
      <c r="AB13" s="57"/>
      <c r="AC13" s="57"/>
      <c r="AD13" s="57"/>
      <c r="AE13" s="57"/>
      <c r="AF13" s="57"/>
      <c r="AG13" s="57"/>
      <c r="BA13" s="57"/>
      <c r="BB13" s="57"/>
      <c r="BC13" s="57"/>
      <c r="BD13" s="57"/>
      <c r="BE13" s="57"/>
    </row>
    <row r="14" spans="1:57" customFormat="1" ht="16.5" x14ac:dyDescent="0.3">
      <c r="A14" s="126">
        <v>11</v>
      </c>
      <c r="B14" s="73">
        <v>39</v>
      </c>
      <c r="C14" s="130">
        <f t="shared" si="1"/>
        <v>39</v>
      </c>
      <c r="D14" s="130">
        <f t="shared" si="2"/>
        <v>1.423423988625397</v>
      </c>
      <c r="E14" s="129">
        <f t="shared" si="3"/>
        <v>38.15328298991875</v>
      </c>
      <c r="F14" s="124">
        <f t="shared" si="0"/>
        <v>0.71692969516093086</v>
      </c>
      <c r="G14" s="124">
        <f>AVERAGE(F$4:F14)</f>
        <v>3.630017610166163</v>
      </c>
      <c r="H14" s="57"/>
      <c r="I14" s="124"/>
      <c r="J14" s="57"/>
      <c r="K14" s="57"/>
      <c r="M14">
        <f t="shared" si="5"/>
        <v>0.7</v>
      </c>
      <c r="N14">
        <v>5.451879441322065</v>
      </c>
      <c r="O14">
        <v>5.3372894483245599</v>
      </c>
      <c r="P14">
        <v>4.687750425719166</v>
      </c>
      <c r="Q14">
        <v>4.2317427736037976</v>
      </c>
      <c r="R14">
        <v>3.9664910249392809</v>
      </c>
      <c r="S14">
        <v>3.816030266542684</v>
      </c>
      <c r="T14">
        <v>3.7362676597343549</v>
      </c>
      <c r="U14">
        <v>3.7046636779259372</v>
      </c>
      <c r="V14">
        <v>3.7096030283077863</v>
      </c>
      <c r="W14">
        <v>3.7455705914718793</v>
      </c>
      <c r="X14">
        <v>3.8104928674619223</v>
      </c>
      <c r="Z14" s="57"/>
      <c r="AA14" s="57"/>
      <c r="AB14" s="57"/>
      <c r="AC14" s="57"/>
      <c r="AD14" s="57"/>
      <c r="AE14" s="57"/>
      <c r="AF14" s="57"/>
      <c r="AG14" s="57"/>
      <c r="BA14" s="57"/>
      <c r="BB14" s="57"/>
      <c r="BC14" s="57"/>
      <c r="BD14" s="57"/>
      <c r="BE14" s="57"/>
    </row>
    <row r="15" spans="1:57" customFormat="1" ht="16.5" x14ac:dyDescent="0.3">
      <c r="A15" s="126">
        <v>12</v>
      </c>
      <c r="B15" s="73">
        <v>41</v>
      </c>
      <c r="C15" s="130">
        <f t="shared" si="1"/>
        <v>41</v>
      </c>
      <c r="D15" s="130">
        <f t="shared" si="2"/>
        <v>1.6073777980901238</v>
      </c>
      <c r="E15" s="129">
        <f t="shared" si="3"/>
        <v>40.423423988625395</v>
      </c>
      <c r="F15" s="124">
        <f t="shared" si="0"/>
        <v>0.33243989689264913</v>
      </c>
      <c r="G15" s="124">
        <f>AVERAGE(F$4:F15)</f>
        <v>3.3552194673933702</v>
      </c>
      <c r="H15" s="57"/>
      <c r="I15" s="124"/>
      <c r="J15" s="57"/>
      <c r="K15" s="57"/>
      <c r="M15">
        <f t="shared" si="5"/>
        <v>0.79999999999999993</v>
      </c>
      <c r="N15">
        <v>4.9038714229519949</v>
      </c>
      <c r="O15">
        <v>4.7791983284975696</v>
      </c>
      <c r="P15">
        <v>4.2548714488298085</v>
      </c>
      <c r="Q15">
        <v>3.9116851214784591</v>
      </c>
      <c r="R15">
        <v>3.7320039908372773</v>
      </c>
      <c r="S15">
        <v>3.6540933430495288</v>
      </c>
      <c r="T15">
        <v>3.6434944195912329</v>
      </c>
      <c r="U15">
        <v>3.6835191354768106</v>
      </c>
      <c r="V15">
        <v>3.766653920751224</v>
      </c>
      <c r="W15">
        <v>3.8902560322892943</v>
      </c>
      <c r="X15">
        <v>4.0543384612443836</v>
      </c>
      <c r="Z15" s="57"/>
      <c r="AA15" s="57"/>
      <c r="AB15" s="57"/>
      <c r="AC15" s="57"/>
      <c r="AD15" s="57"/>
      <c r="AE15" s="57"/>
      <c r="AF15" s="57"/>
      <c r="AG15" s="57"/>
      <c r="BA15" s="57"/>
      <c r="BB15" s="57"/>
      <c r="BC15" s="57"/>
      <c r="BD15" s="57"/>
      <c r="BE15" s="57"/>
    </row>
    <row r="16" spans="1:57" customFormat="1" ht="16.5" x14ac:dyDescent="0.3">
      <c r="A16" s="126">
        <v>13</v>
      </c>
      <c r="B16" s="73">
        <v>42</v>
      </c>
      <c r="C16" s="130">
        <f t="shared" si="1"/>
        <v>42</v>
      </c>
      <c r="D16" s="130">
        <f t="shared" si="2"/>
        <v>1.4135968263903056</v>
      </c>
      <c r="E16" s="129">
        <f t="shared" si="3"/>
        <v>42.607377798090127</v>
      </c>
      <c r="F16" s="124">
        <f t="shared" si="0"/>
        <v>0.36890778961281101</v>
      </c>
      <c r="G16" s="124">
        <f>AVERAGE(F$4:F16)</f>
        <v>3.1255031844871732</v>
      </c>
      <c r="H16" s="57"/>
      <c r="I16" s="124"/>
      <c r="J16" s="57"/>
      <c r="K16" s="57"/>
      <c r="M16">
        <f t="shared" si="5"/>
        <v>0.89999999999999991</v>
      </c>
      <c r="N16">
        <v>4.5117133644550913</v>
      </c>
      <c r="O16">
        <v>4.4007137871429789</v>
      </c>
      <c r="P16">
        <v>3.9898643192821197</v>
      </c>
      <c r="Q16">
        <v>3.7499067140319711</v>
      </c>
      <c r="R16">
        <v>3.6574208843537215</v>
      </c>
      <c r="S16">
        <v>3.6621275222153939</v>
      </c>
      <c r="T16">
        <v>3.7376363515196616</v>
      </c>
      <c r="U16">
        <v>3.8726371541219882</v>
      </c>
      <c r="V16">
        <v>4.0637550619212073</v>
      </c>
      <c r="W16">
        <v>4.3121480944379806</v>
      </c>
      <c r="X16">
        <v>4.6221319982952105</v>
      </c>
      <c r="Z16" s="57"/>
      <c r="AA16" s="57"/>
      <c r="AB16" s="57"/>
      <c r="AC16" s="57"/>
      <c r="AD16" s="57"/>
      <c r="AE16" s="57"/>
      <c r="AF16" s="57"/>
      <c r="AG16" s="57"/>
      <c r="BA16" s="57"/>
      <c r="BB16" s="57"/>
      <c r="BC16" s="57"/>
      <c r="BD16" s="57"/>
      <c r="BE16" s="57"/>
    </row>
    <row r="17" spans="1:57" customFormat="1" ht="16.5" x14ac:dyDescent="0.3">
      <c r="A17" s="126">
        <v>14</v>
      </c>
      <c r="B17" s="73">
        <v>43</v>
      </c>
      <c r="C17" s="130">
        <f t="shared" si="1"/>
        <v>43</v>
      </c>
      <c r="D17" s="130">
        <f t="shared" si="2"/>
        <v>1.2816407437644766</v>
      </c>
      <c r="E17" s="129">
        <f t="shared" si="3"/>
        <v>43.413596826390304</v>
      </c>
      <c r="F17" s="124">
        <f t="shared" si="0"/>
        <v>0.17106233480013111</v>
      </c>
      <c r="G17" s="124">
        <f>AVERAGE(F$4:F17)</f>
        <v>2.9144716952238134</v>
      </c>
      <c r="H17" s="57"/>
      <c r="I17" s="124"/>
      <c r="J17" s="57"/>
      <c r="K17" s="57"/>
      <c r="L17" s="6"/>
      <c r="M17">
        <f t="shared" si="5"/>
        <v>0.99999999999999989</v>
      </c>
      <c r="N17">
        <v>4.2463746815598693</v>
      </c>
      <c r="O17" s="6">
        <v>4.1682813082538104</v>
      </c>
      <c r="P17" s="6">
        <v>3.8677497796240052</v>
      </c>
      <c r="Q17" s="6">
        <v>3.7326562878783918</v>
      </c>
      <c r="R17" s="6">
        <v>3.7389451022401197</v>
      </c>
      <c r="S17" s="6">
        <v>3.8468560949514319</v>
      </c>
      <c r="T17" s="6">
        <v>4.0383434233807582</v>
      </c>
      <c r="U17" s="6">
        <v>4.3093898038076324</v>
      </c>
      <c r="V17" s="6">
        <v>4.6647229007875506</v>
      </c>
      <c r="W17" s="6">
        <v>5.1162799543798103</v>
      </c>
      <c r="X17" s="6">
        <v>5.6842053693905488</v>
      </c>
      <c r="Y17" s="6"/>
      <c r="Z17" s="65"/>
      <c r="AA17" s="65"/>
      <c r="AB17" s="65"/>
      <c r="AC17" s="65"/>
      <c r="AD17" s="65"/>
      <c r="AE17" s="65"/>
      <c r="AF17" s="65"/>
      <c r="AG17" s="65"/>
      <c r="AH17" s="6"/>
      <c r="AI17" s="6"/>
      <c r="AJ17" s="6"/>
      <c r="AK17" s="6"/>
      <c r="AL17" s="6"/>
      <c r="AM17" s="6"/>
      <c r="AN17" s="6"/>
      <c r="BA17" s="57"/>
      <c r="BB17" s="57"/>
      <c r="BC17" s="57"/>
      <c r="BD17" s="57"/>
      <c r="BE17" s="57"/>
    </row>
    <row r="18" spans="1:57" ht="16.5" x14ac:dyDescent="0.3">
      <c r="A18" s="126">
        <v>15</v>
      </c>
      <c r="B18" s="73">
        <v>45</v>
      </c>
      <c r="C18" s="130">
        <f t="shared" si="1"/>
        <v>45</v>
      </c>
      <c r="D18" s="130">
        <f t="shared" si="2"/>
        <v>1.5108298170901748</v>
      </c>
      <c r="E18" s="129">
        <f t="shared" si="3"/>
        <v>44.281640743764477</v>
      </c>
      <c r="F18" s="124">
        <f t="shared" si="0"/>
        <v>0.51604002101925373</v>
      </c>
      <c r="G18" s="124">
        <f>AVERAGE(F$4:F18)</f>
        <v>2.7545762502768425</v>
      </c>
      <c r="I18" s="124"/>
      <c r="L18" s="65"/>
      <c r="M18"/>
      <c r="N18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>
        <f>MIN(N7:X17)</f>
        <v>3.6434944195912329</v>
      </c>
      <c r="Z18" s="65"/>
      <c r="AA18" s="65"/>
      <c r="AB18" s="65"/>
      <c r="AC18" s="65"/>
      <c r="AD18" s="65"/>
      <c r="AE18" s="65"/>
      <c r="AF18" s="65"/>
      <c r="AG18" s="65"/>
      <c r="AH18" s="6"/>
      <c r="AI18" s="6"/>
      <c r="AJ18" s="6"/>
      <c r="AK18" s="6"/>
      <c r="AL18" s="6"/>
      <c r="AM18" s="6"/>
      <c r="AN18" s="6"/>
    </row>
    <row r="19" spans="1:57" ht="16.5" x14ac:dyDescent="0.3">
      <c r="A19" s="126">
        <v>16</v>
      </c>
      <c r="B19" s="73">
        <v>48</v>
      </c>
      <c r="C19" s="130">
        <f t="shared" si="1"/>
        <v>48</v>
      </c>
      <c r="D19" s="130">
        <f t="shared" si="2"/>
        <v>1.9859424174816747</v>
      </c>
      <c r="E19" s="129">
        <f t="shared" si="3"/>
        <v>46.510829817090176</v>
      </c>
      <c r="F19" s="124">
        <f t="shared" si="0"/>
        <v>2.2176278336676782</v>
      </c>
      <c r="G19" s="124">
        <f>AVERAGE(F$4:F19)</f>
        <v>2.7210169742387698</v>
      </c>
      <c r="I19" s="124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"/>
      <c r="AI19" s="6"/>
      <c r="AJ19" s="6"/>
      <c r="AK19" s="6"/>
      <c r="AL19" s="6"/>
      <c r="AM19" s="6"/>
      <c r="AN19" s="6"/>
    </row>
    <row r="20" spans="1:57" ht="16.5" x14ac:dyDescent="0.3">
      <c r="A20" s="126">
        <v>17</v>
      </c>
      <c r="B20" s="73">
        <v>49</v>
      </c>
      <c r="C20" s="130">
        <f t="shared" si="1"/>
        <v>49</v>
      </c>
      <c r="D20" s="130">
        <f t="shared" si="2"/>
        <v>1.6713822206808731</v>
      </c>
      <c r="E20" s="129">
        <f t="shared" si="3"/>
        <v>49.985942417481674</v>
      </c>
      <c r="F20" s="124">
        <f t="shared" si="0"/>
        <v>0.97208245058960707</v>
      </c>
      <c r="G20" s="124">
        <f>AVERAGE(F$4:F20)</f>
        <v>2.6181384728476429</v>
      </c>
      <c r="I20" s="12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"/>
      <c r="AI20" s="6"/>
      <c r="AJ20" s="6"/>
      <c r="AK20" s="6"/>
      <c r="AL20" s="6"/>
      <c r="AM20" s="6"/>
      <c r="AN20" s="6"/>
    </row>
    <row r="21" spans="1:57" ht="16.5" x14ac:dyDescent="0.3">
      <c r="A21" s="126">
        <v>18</v>
      </c>
      <c r="B21" s="73">
        <v>50</v>
      </c>
      <c r="C21" s="130">
        <f t="shared" si="1"/>
        <v>50</v>
      </c>
      <c r="D21" s="130">
        <f t="shared" si="2"/>
        <v>1.4571809451080429</v>
      </c>
      <c r="E21" s="129">
        <f t="shared" si="3"/>
        <v>50.671382220680876</v>
      </c>
      <c r="F21" s="124">
        <f t="shared" si="0"/>
        <v>0.45075408624638408</v>
      </c>
      <c r="G21" s="124">
        <f>AVERAGE(F$4:F21)</f>
        <v>2.4977282291475729</v>
      </c>
      <c r="I21" s="124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"/>
      <c r="AI21" s="6"/>
      <c r="AJ21" s="6"/>
      <c r="AK21" s="6"/>
      <c r="AL21" s="6"/>
      <c r="AM21" s="6"/>
      <c r="AN21" s="6"/>
    </row>
    <row r="22" spans="1:57" ht="16.5" x14ac:dyDescent="0.3">
      <c r="A22" s="126">
        <v>19</v>
      </c>
      <c r="B22" s="73">
        <v>50</v>
      </c>
      <c r="C22" s="130">
        <f t="shared" si="1"/>
        <v>50</v>
      </c>
      <c r="D22" s="130">
        <f t="shared" si="2"/>
        <v>0.99227435752217763</v>
      </c>
      <c r="E22" s="129">
        <f t="shared" si="3"/>
        <v>51.457180945108043</v>
      </c>
      <c r="F22" s="124">
        <f t="shared" si="0"/>
        <v>2.1233763067859686</v>
      </c>
      <c r="G22" s="124">
        <f>AVERAGE(F$4:F22)</f>
        <v>2.478025496391699</v>
      </c>
      <c r="I22" s="124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"/>
      <c r="AI22" s="6"/>
      <c r="AJ22" s="6"/>
      <c r="AK22" s="6"/>
      <c r="AL22" s="6"/>
      <c r="AM22" s="6"/>
      <c r="AN22" s="6"/>
    </row>
    <row r="23" spans="1:57" ht="16.5" x14ac:dyDescent="0.3">
      <c r="A23" s="126">
        <v>20</v>
      </c>
      <c r="B23" s="73">
        <v>55</v>
      </c>
      <c r="C23" s="130">
        <f t="shared" si="1"/>
        <v>55</v>
      </c>
      <c r="D23" s="130">
        <f t="shared" si="2"/>
        <v>2.2709199908457629</v>
      </c>
      <c r="E23" s="129">
        <f t="shared" si="3"/>
        <v>50.992274357522177</v>
      </c>
      <c r="F23" s="124">
        <f t="shared" si="0"/>
        <v>16.061864825374276</v>
      </c>
      <c r="G23" s="124">
        <f>AVERAGE(F$4:F23)</f>
        <v>3.1572174628408276</v>
      </c>
      <c r="I23" s="124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"/>
      <c r="AI23" s="6"/>
      <c r="AJ23" s="6"/>
      <c r="AK23" s="6"/>
      <c r="AL23" s="6"/>
      <c r="AM23" s="6"/>
      <c r="AN23" s="6"/>
    </row>
    <row r="24" spans="1:57" ht="16.5" x14ac:dyDescent="0.3">
      <c r="A24" s="126">
        <v>21</v>
      </c>
      <c r="B24" s="73">
        <v>55</v>
      </c>
      <c r="C24" s="130">
        <f t="shared" si="1"/>
        <v>55</v>
      </c>
      <c r="D24" s="130">
        <f t="shared" si="2"/>
        <v>1.5463938658171734</v>
      </c>
      <c r="E24" s="129">
        <f t="shared" si="3"/>
        <v>57.270919990845762</v>
      </c>
      <c r="F24" s="124">
        <f t="shared" si="0"/>
        <v>5.1570776048229154</v>
      </c>
      <c r="G24" s="124">
        <f>AVERAGE(F$4:F24)</f>
        <v>3.252448898173308</v>
      </c>
      <c r="I24" s="124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"/>
      <c r="AI24" s="6"/>
      <c r="AJ24" s="6"/>
      <c r="AK24" s="6"/>
      <c r="AL24" s="6"/>
      <c r="AM24" s="6"/>
      <c r="AN24" s="6"/>
    </row>
    <row r="25" spans="1:57" ht="16.5" x14ac:dyDescent="0.3">
      <c r="A25" s="126">
        <v>22</v>
      </c>
      <c r="B25" s="73">
        <v>58</v>
      </c>
      <c r="C25" s="130">
        <f t="shared" si="1"/>
        <v>58</v>
      </c>
      <c r="D25" s="130">
        <f t="shared" si="2"/>
        <v>2.0101599271327175</v>
      </c>
      <c r="E25" s="129">
        <f t="shared" si="3"/>
        <v>56.546393865817173</v>
      </c>
      <c r="F25" s="124">
        <f t="shared" si="0"/>
        <v>2.1129707933339437</v>
      </c>
      <c r="G25" s="124">
        <f>AVERAGE(F$4:F25)</f>
        <v>3.2006544388624278</v>
      </c>
      <c r="I25" s="124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"/>
      <c r="AI25" s="6"/>
      <c r="AJ25" s="6"/>
      <c r="AK25" s="6"/>
      <c r="AL25" s="6"/>
      <c r="AM25" s="6"/>
      <c r="AN25" s="6"/>
    </row>
    <row r="26" spans="1:57" ht="16.5" x14ac:dyDescent="0.3">
      <c r="A26" s="126">
        <v>23</v>
      </c>
      <c r="B26" s="73">
        <v>62</v>
      </c>
      <c r="C26" s="130">
        <f t="shared" si="1"/>
        <v>62</v>
      </c>
      <c r="D26" s="130">
        <f t="shared" si="2"/>
        <v>2.6450088532211291</v>
      </c>
      <c r="E26" s="129">
        <f t="shared" si="3"/>
        <v>60.010159927132719</v>
      </c>
      <c r="F26" s="124">
        <f t="shared" si="0"/>
        <v>3.9594635155884665</v>
      </c>
      <c r="G26" s="124">
        <f>AVERAGE(F$4:F26)</f>
        <v>3.2336461378505166</v>
      </c>
      <c r="I26" s="124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"/>
      <c r="AI26" s="6"/>
      <c r="AJ26" s="6"/>
      <c r="AK26" s="6"/>
      <c r="AL26" s="6"/>
      <c r="AM26" s="6"/>
      <c r="AN26" s="6"/>
    </row>
    <row r="27" spans="1:57" ht="16.5" x14ac:dyDescent="0.3">
      <c r="A27" s="126">
        <v>24</v>
      </c>
      <c r="B27" s="73">
        <v>63</v>
      </c>
      <c r="C27" s="130">
        <f t="shared" si="1"/>
        <v>63</v>
      </c>
      <c r="D27" s="130">
        <f t="shared" si="2"/>
        <v>2.1201766729301164</v>
      </c>
      <c r="E27" s="129">
        <f t="shared" si="3"/>
        <v>64.645008853221128</v>
      </c>
      <c r="F27" s="124">
        <f t="shared" si="0"/>
        <v>2.7060541271758916</v>
      </c>
      <c r="G27" s="124">
        <f>AVERAGE(F$4:F27)</f>
        <v>3.2116631374057403</v>
      </c>
      <c r="I27" s="124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"/>
      <c r="AI27" s="6"/>
      <c r="AJ27" s="6"/>
      <c r="AK27" s="6"/>
      <c r="AL27" s="6"/>
      <c r="AM27" s="6"/>
      <c r="AN27" s="6"/>
    </row>
    <row r="28" spans="1:57" ht="16.5" x14ac:dyDescent="0.3">
      <c r="A28" s="126">
        <v>25</v>
      </c>
      <c r="B28" s="73">
        <v>67</v>
      </c>
      <c r="C28" s="130">
        <f t="shared" si="1"/>
        <v>67</v>
      </c>
      <c r="D28" s="130">
        <f t="shared" si="2"/>
        <v>2.7199252842376636</v>
      </c>
      <c r="E28" s="129">
        <f t="shared" si="3"/>
        <v>65.120176672930114</v>
      </c>
      <c r="F28" s="124">
        <f t="shared" si="0"/>
        <v>3.5337357409960952</v>
      </c>
      <c r="G28" s="124">
        <f>AVERAGE(F$4:F28)</f>
        <v>3.2245460415493543</v>
      </c>
      <c r="I28" s="124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"/>
      <c r="AI28" s="6"/>
      <c r="AJ28" s="6"/>
      <c r="AK28" s="6"/>
      <c r="AL28" s="6"/>
      <c r="AM28" s="6"/>
      <c r="AN28" s="6"/>
    </row>
    <row r="29" spans="1:57" ht="16.5" x14ac:dyDescent="0.3">
      <c r="A29" s="126">
        <v>26</v>
      </c>
      <c r="B29" s="73">
        <v>72</v>
      </c>
      <c r="C29" s="130">
        <f t="shared" si="1"/>
        <v>72</v>
      </c>
      <c r="D29" s="130">
        <f t="shared" si="2"/>
        <v>3.4473721803177408</v>
      </c>
      <c r="E29" s="129">
        <f t="shared" si="3"/>
        <v>69.719925284237661</v>
      </c>
      <c r="F29" s="124">
        <f t="shared" si="0"/>
        <v>5.1987407094587113</v>
      </c>
      <c r="G29" s="124">
        <f>AVERAGE(F$4:F29)</f>
        <v>3.3004766056997141</v>
      </c>
      <c r="I29" s="124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"/>
      <c r="AI29" s="6"/>
      <c r="AJ29" s="6"/>
      <c r="AK29" s="6"/>
      <c r="AL29" s="6"/>
      <c r="AM29" s="6"/>
      <c r="AN29" s="6"/>
    </row>
    <row r="30" spans="1:57" ht="16.5" x14ac:dyDescent="0.3">
      <c r="A30" s="126">
        <v>27</v>
      </c>
      <c r="B30" s="73">
        <v>79</v>
      </c>
      <c r="C30" s="130">
        <f t="shared" si="1"/>
        <v>79</v>
      </c>
      <c r="D30" s="130">
        <f t="shared" si="2"/>
        <v>4.5808210372739584</v>
      </c>
      <c r="E30" s="129">
        <f t="shared" si="3"/>
        <v>75.447372180317743</v>
      </c>
      <c r="F30" s="124">
        <f t="shared" si="0"/>
        <v>12.621164425180309</v>
      </c>
      <c r="G30" s="124">
        <f>AVERAGE(F$4:F30)</f>
        <v>3.6456872656804769</v>
      </c>
      <c r="I30" s="124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"/>
      <c r="AI30" s="6"/>
      <c r="AJ30" s="6"/>
      <c r="AK30" s="6"/>
      <c r="AL30" s="6"/>
      <c r="AM30" s="6"/>
      <c r="AN30" s="6"/>
    </row>
    <row r="31" spans="1:57" ht="16.5" x14ac:dyDescent="0.3">
      <c r="A31" s="126">
        <v>28</v>
      </c>
      <c r="B31" s="73">
        <v>86</v>
      </c>
      <c r="C31" s="130">
        <f t="shared" si="1"/>
        <v>86</v>
      </c>
      <c r="D31" s="130">
        <f t="shared" si="2"/>
        <v>5.3526484757923001</v>
      </c>
      <c r="E31" s="129">
        <f t="shared" si="3"/>
        <v>83.580821037273964</v>
      </c>
      <c r="F31" s="124">
        <f t="shared" si="0"/>
        <v>5.8524268536962207</v>
      </c>
      <c r="G31" s="124">
        <f>AVERAGE(F$4:F31)</f>
        <v>3.7244993938238964</v>
      </c>
      <c r="I31" s="124" t="s">
        <v>120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"/>
      <c r="AI31" s="6"/>
      <c r="AJ31" s="6"/>
      <c r="AK31" s="6"/>
      <c r="AL31" s="6"/>
      <c r="AM31" s="6"/>
      <c r="AN31" s="6"/>
    </row>
    <row r="32" spans="1:57" ht="16.5" x14ac:dyDescent="0.3">
      <c r="A32" s="125">
        <v>29</v>
      </c>
      <c r="B32"/>
      <c r="E32" s="1">
        <f t="shared" ref="E32" si="6">C31+D31</f>
        <v>91.352648475792307</v>
      </c>
      <c r="F32" s="112"/>
      <c r="G32"/>
      <c r="H32" s="65"/>
      <c r="I32" s="65" t="s">
        <v>119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"/>
      <c r="AI32" s="6"/>
      <c r="AJ32" s="6"/>
      <c r="AK32" s="6"/>
      <c r="AL32" s="6"/>
      <c r="AM32" s="6"/>
      <c r="AN32" s="6"/>
      <c r="BA32"/>
      <c r="BB32"/>
      <c r="BC32"/>
      <c r="BD32"/>
      <c r="BE32"/>
    </row>
    <row r="33" spans="1:57" x14ac:dyDescent="0.25">
      <c r="A33"/>
      <c r="B33"/>
      <c r="C33" s="6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"/>
      <c r="AI33" s="6"/>
      <c r="AJ33" s="6"/>
      <c r="AK33" s="6"/>
      <c r="AL33" s="6"/>
      <c r="AM33" s="6"/>
      <c r="AN33" s="6"/>
      <c r="BA33"/>
      <c r="BB33"/>
      <c r="BC33"/>
      <c r="BD33"/>
      <c r="BE33"/>
    </row>
    <row r="34" spans="1:57" x14ac:dyDescent="0.25">
      <c r="A34"/>
      <c r="B34"/>
      <c r="C34" s="6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"/>
      <c r="AI34" s="6"/>
      <c r="AJ34" s="6"/>
      <c r="AK34" s="6"/>
      <c r="AL34" s="6"/>
      <c r="AM34" s="6"/>
      <c r="AN34" s="6"/>
      <c r="BA34"/>
      <c r="BB34"/>
      <c r="BC34"/>
      <c r="BD34"/>
      <c r="BE34"/>
    </row>
    <row r="35" spans="1:57" x14ac:dyDescent="0.25">
      <c r="A35"/>
      <c r="B35"/>
      <c r="C35" s="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"/>
      <c r="AI35" s="6"/>
      <c r="AJ35" s="6"/>
      <c r="AK35" s="6"/>
      <c r="AL35" s="6"/>
      <c r="AM35" s="6"/>
      <c r="AN35" s="6"/>
      <c r="BA35"/>
      <c r="BB35"/>
      <c r="BC35"/>
      <c r="BD35"/>
      <c r="BE35"/>
    </row>
    <row r="36" spans="1:57" x14ac:dyDescent="0.25">
      <c r="A36"/>
      <c r="B36"/>
      <c r="C36" s="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"/>
      <c r="AI36" s="6"/>
      <c r="AJ36" s="6"/>
      <c r="AK36" s="6"/>
      <c r="AL36" s="6"/>
      <c r="AM36" s="6"/>
      <c r="AN36" s="6"/>
      <c r="BA36"/>
      <c r="BB36"/>
      <c r="BC36"/>
      <c r="BD36"/>
      <c r="BE36"/>
    </row>
    <row r="37" spans="1:57" x14ac:dyDescent="0.25">
      <c r="A37"/>
      <c r="B37"/>
      <c r="C37" s="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"/>
      <c r="AI37" s="6"/>
      <c r="AJ37" s="6"/>
      <c r="AK37" s="6"/>
      <c r="AL37" s="6"/>
      <c r="AM37" s="6"/>
      <c r="AN37" s="6"/>
      <c r="BA37"/>
      <c r="BB37"/>
      <c r="BC37"/>
      <c r="BD37"/>
      <c r="BE37"/>
    </row>
    <row r="38" spans="1:57" x14ac:dyDescent="0.25">
      <c r="A38"/>
      <c r="B38"/>
      <c r="C38" s="6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"/>
      <c r="AI38" s="6"/>
      <c r="AJ38" s="6"/>
      <c r="AK38" s="6"/>
      <c r="AL38" s="6"/>
      <c r="AM38" s="6"/>
      <c r="AN38" s="6"/>
      <c r="BA38"/>
      <c r="BB38"/>
      <c r="BC38"/>
      <c r="BD38"/>
      <c r="BE38"/>
    </row>
    <row r="39" spans="1:57" x14ac:dyDescent="0.25">
      <c r="A39"/>
      <c r="B39"/>
      <c r="C39" s="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"/>
      <c r="AI39" s="6"/>
      <c r="AJ39" s="6"/>
      <c r="AK39" s="6"/>
      <c r="AL39" s="6"/>
      <c r="AM39" s="6"/>
      <c r="AN39" s="6"/>
      <c r="BA39"/>
      <c r="BB39"/>
      <c r="BC39"/>
      <c r="BD39"/>
      <c r="BE39"/>
    </row>
    <row r="40" spans="1:57" x14ac:dyDescent="0.25">
      <c r="A40"/>
      <c r="B40"/>
      <c r="C40" s="6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"/>
      <c r="AI40" s="6"/>
      <c r="AJ40" s="6"/>
      <c r="AK40" s="6"/>
      <c r="AL40" s="6"/>
      <c r="AM40" s="6"/>
      <c r="AN40" s="6"/>
      <c r="BA40"/>
      <c r="BB40"/>
      <c r="BC40"/>
      <c r="BD40"/>
      <c r="BE40"/>
    </row>
    <row r="41" spans="1:57" x14ac:dyDescent="0.25">
      <c r="A41"/>
      <c r="B41"/>
      <c r="C41" s="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"/>
      <c r="AI41" s="6"/>
      <c r="AJ41" s="6"/>
      <c r="AK41" s="6"/>
      <c r="AL41" s="6"/>
      <c r="AM41" s="6"/>
      <c r="AN41" s="6"/>
      <c r="BA41"/>
      <c r="BB41"/>
      <c r="BC41"/>
      <c r="BD41"/>
      <c r="BE41"/>
    </row>
    <row r="42" spans="1:57" x14ac:dyDescent="0.25">
      <c r="A42"/>
      <c r="B42"/>
      <c r="C42" s="6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"/>
      <c r="AI42" s="6"/>
      <c r="AJ42" s="6"/>
      <c r="AK42" s="6"/>
      <c r="AL42" s="6"/>
      <c r="AM42" s="6"/>
      <c r="AN42" s="6"/>
      <c r="BA42"/>
      <c r="BB42"/>
      <c r="BC42"/>
      <c r="BD42"/>
      <c r="BE42"/>
    </row>
    <row r="43" spans="1:57" x14ac:dyDescent="0.25">
      <c r="A43"/>
      <c r="B43"/>
      <c r="C43" s="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"/>
      <c r="AI43" s="6"/>
      <c r="AJ43" s="6"/>
      <c r="AK43" s="6"/>
      <c r="AL43" s="6"/>
      <c r="AM43" s="6"/>
      <c r="AN43" s="6"/>
      <c r="BA43"/>
      <c r="BB43"/>
      <c r="BC43"/>
      <c r="BD43"/>
      <c r="BE43"/>
    </row>
    <row r="44" spans="1:57" x14ac:dyDescent="0.25">
      <c r="A44"/>
      <c r="B44"/>
      <c r="C44" s="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"/>
      <c r="AI44" s="6"/>
      <c r="AJ44" s="6"/>
      <c r="AK44" s="6"/>
      <c r="AL44" s="6"/>
      <c r="AM44" s="6"/>
      <c r="AN44" s="6"/>
      <c r="BA44"/>
      <c r="BB44"/>
      <c r="BC44"/>
      <c r="BD44"/>
      <c r="BE44"/>
    </row>
    <row r="45" spans="1:57" x14ac:dyDescent="0.25">
      <c r="A45"/>
      <c r="B45"/>
      <c r="C45" s="6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"/>
      <c r="AI45" s="6"/>
      <c r="AJ45" s="6"/>
      <c r="AK45" s="6"/>
      <c r="AL45" s="6"/>
      <c r="AM45" s="6"/>
      <c r="AN45" s="6"/>
      <c r="BA45"/>
      <c r="BB45"/>
      <c r="BC45"/>
      <c r="BD45"/>
      <c r="BE45"/>
    </row>
    <row r="46" spans="1:57" x14ac:dyDescent="0.25">
      <c r="A46"/>
      <c r="B46"/>
      <c r="C46" s="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"/>
      <c r="AI46" s="6"/>
      <c r="AJ46" s="6"/>
      <c r="AK46" s="6"/>
      <c r="AL46" s="6"/>
      <c r="AM46" s="6"/>
      <c r="AN46" s="6"/>
      <c r="BA46"/>
      <c r="BB46"/>
      <c r="BC46"/>
      <c r="BD46"/>
      <c r="BE46"/>
    </row>
    <row r="47" spans="1:57" x14ac:dyDescent="0.25">
      <c r="A47"/>
      <c r="B47"/>
      <c r="C47" s="6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"/>
      <c r="AI47" s="6"/>
      <c r="AJ47" s="6"/>
      <c r="AK47" s="6"/>
      <c r="AL47" s="6"/>
      <c r="AM47" s="6"/>
      <c r="AN47" s="6"/>
      <c r="BA47"/>
      <c r="BB47"/>
      <c r="BC47"/>
      <c r="BD47"/>
      <c r="BE47"/>
    </row>
    <row r="48" spans="1:57" x14ac:dyDescent="0.25">
      <c r="A48"/>
      <c r="B48"/>
      <c r="C48" s="6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"/>
      <c r="AI48" s="6"/>
      <c r="AJ48" s="6"/>
      <c r="AK48" s="6"/>
      <c r="AL48" s="6"/>
      <c r="AM48" s="6"/>
      <c r="AN48" s="6"/>
      <c r="BA48"/>
      <c r="BB48"/>
      <c r="BC48"/>
      <c r="BD48"/>
      <c r="BE48"/>
    </row>
    <row r="49" spans="1:57" x14ac:dyDescent="0.25">
      <c r="A49"/>
      <c r="B49"/>
      <c r="C49" s="6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"/>
      <c r="AI49" s="6"/>
      <c r="AJ49" s="6"/>
      <c r="AK49" s="6"/>
      <c r="AL49" s="6"/>
      <c r="AM49" s="6"/>
      <c r="AN49" s="6"/>
      <c r="BA49"/>
      <c r="BB49"/>
      <c r="BC49"/>
      <c r="BD49"/>
      <c r="BE49"/>
    </row>
    <row r="50" spans="1:57" x14ac:dyDescent="0.25">
      <c r="A50"/>
      <c r="B50"/>
      <c r="C50" s="6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"/>
      <c r="AI50" s="6"/>
      <c r="AJ50" s="6"/>
      <c r="AK50" s="6"/>
      <c r="AL50" s="6"/>
      <c r="AM50" s="6"/>
      <c r="AN50" s="6"/>
      <c r="BA50"/>
      <c r="BB50"/>
      <c r="BC50"/>
      <c r="BD50"/>
      <c r="BE50"/>
    </row>
    <row r="51" spans="1:57" x14ac:dyDescent="0.25">
      <c r="A51"/>
      <c r="B51"/>
      <c r="C51" s="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"/>
      <c r="AI51" s="6"/>
      <c r="AJ51" s="6"/>
      <c r="AK51" s="6"/>
      <c r="AL51" s="6"/>
      <c r="AM51" s="6"/>
      <c r="AN51" s="6"/>
      <c r="BA51"/>
      <c r="BB51"/>
      <c r="BC51"/>
      <c r="BD51"/>
      <c r="BE51"/>
    </row>
    <row r="52" spans="1:57" x14ac:dyDescent="0.25">
      <c r="A52"/>
      <c r="B52"/>
      <c r="C52" s="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"/>
      <c r="AI52" s="6"/>
      <c r="AJ52" s="6"/>
      <c r="AK52" s="6"/>
      <c r="AL52" s="6"/>
      <c r="AM52" s="6"/>
      <c r="AN52" s="6"/>
      <c r="BA52"/>
      <c r="BB52"/>
      <c r="BC52"/>
      <c r="BD52"/>
      <c r="BE52"/>
    </row>
    <row r="53" spans="1:57" x14ac:dyDescent="0.25">
      <c r="A53"/>
      <c r="B53"/>
      <c r="C53" s="6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"/>
      <c r="AI53" s="6"/>
      <c r="AJ53" s="6"/>
      <c r="AK53" s="6"/>
      <c r="AL53" s="6"/>
      <c r="AM53" s="6"/>
      <c r="AN53" s="6"/>
      <c r="BA53"/>
      <c r="BB53"/>
      <c r="BC53"/>
      <c r="BD53"/>
      <c r="BE53"/>
    </row>
    <row r="54" spans="1:57" x14ac:dyDescent="0.25">
      <c r="A54"/>
      <c r="B54"/>
      <c r="C54" s="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"/>
      <c r="AI54" s="6"/>
      <c r="AJ54" s="6"/>
      <c r="AK54" s="6"/>
      <c r="AL54" s="6"/>
      <c r="AM54" s="6"/>
      <c r="AN54" s="6"/>
      <c r="BA54"/>
      <c r="BB54"/>
      <c r="BC54"/>
      <c r="BD54"/>
      <c r="BE54"/>
    </row>
    <row r="55" spans="1:57" x14ac:dyDescent="0.25">
      <c r="A55"/>
      <c r="B55"/>
      <c r="C55" s="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"/>
      <c r="AI55" s="6"/>
      <c r="AJ55" s="6"/>
      <c r="AK55" s="6"/>
      <c r="AL55" s="6"/>
      <c r="AM55" s="6"/>
      <c r="AN55" s="6"/>
      <c r="BA55"/>
      <c r="BB55"/>
      <c r="BC55"/>
      <c r="BD55"/>
      <c r="BE55"/>
    </row>
    <row r="56" spans="1:57" x14ac:dyDescent="0.25">
      <c r="A56"/>
      <c r="B56"/>
      <c r="C56" s="6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"/>
      <c r="AI56" s="6"/>
      <c r="AJ56" s="6"/>
      <c r="AK56" s="6"/>
      <c r="AL56" s="6"/>
      <c r="AM56" s="6"/>
      <c r="AN56" s="6"/>
      <c r="BA56"/>
      <c r="BB56"/>
      <c r="BC56"/>
      <c r="BD56"/>
      <c r="BE56"/>
    </row>
    <row r="57" spans="1:57" x14ac:dyDescent="0.25">
      <c r="A57"/>
      <c r="B57"/>
      <c r="C57" s="6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"/>
      <c r="AI57" s="6"/>
      <c r="AJ57" s="6"/>
      <c r="AK57" s="6"/>
      <c r="AL57" s="6"/>
      <c r="AM57" s="6"/>
      <c r="AN57" s="6"/>
      <c r="BA57"/>
      <c r="BB57"/>
      <c r="BC57"/>
      <c r="BD57"/>
      <c r="BE57"/>
    </row>
    <row r="58" spans="1:57" x14ac:dyDescent="0.25">
      <c r="A58"/>
      <c r="B58"/>
      <c r="C58" s="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"/>
      <c r="AI58" s="6"/>
      <c r="AJ58" s="6"/>
      <c r="AK58" s="6"/>
      <c r="AL58" s="6"/>
      <c r="AM58" s="6"/>
      <c r="AN58" s="6"/>
      <c r="BA58"/>
      <c r="BB58"/>
      <c r="BC58"/>
      <c r="BD58"/>
      <c r="BE58"/>
    </row>
    <row r="59" spans="1:57" x14ac:dyDescent="0.25">
      <c r="A59"/>
      <c r="B59"/>
      <c r="C59" s="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"/>
      <c r="AI59" s="6"/>
      <c r="AJ59" s="6"/>
      <c r="AK59" s="6"/>
      <c r="AL59" s="6"/>
      <c r="AM59" s="6"/>
      <c r="AN59" s="6"/>
      <c r="BA59"/>
      <c r="BB59"/>
      <c r="BC59"/>
      <c r="BD59"/>
      <c r="BE59"/>
    </row>
    <row r="60" spans="1:57" x14ac:dyDescent="0.25">
      <c r="A60"/>
      <c r="B60"/>
      <c r="C60" s="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"/>
      <c r="AI60" s="6"/>
      <c r="AJ60" s="6"/>
      <c r="AK60" s="6"/>
      <c r="AL60" s="6"/>
      <c r="AM60" s="6"/>
      <c r="AN60" s="6"/>
      <c r="BA60"/>
      <c r="BB60"/>
      <c r="BC60"/>
      <c r="BD60"/>
      <c r="BE60"/>
    </row>
    <row r="61" spans="1:57" x14ac:dyDescent="0.25">
      <c r="A61"/>
      <c r="B61"/>
      <c r="C61" s="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"/>
      <c r="AI61" s="6"/>
      <c r="AJ61" s="6"/>
      <c r="AK61" s="6"/>
      <c r="AL61" s="6"/>
      <c r="AM61" s="6"/>
      <c r="AN61" s="6"/>
      <c r="BA61"/>
      <c r="BB61"/>
      <c r="BC61"/>
      <c r="BD61"/>
      <c r="BE61"/>
    </row>
    <row r="62" spans="1:57" x14ac:dyDescent="0.25">
      <c r="A62"/>
      <c r="B62"/>
      <c r="C62" s="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"/>
      <c r="AI62" s="6"/>
      <c r="AJ62" s="6"/>
      <c r="AK62" s="6"/>
      <c r="AL62" s="6"/>
      <c r="AM62" s="6"/>
      <c r="AN62" s="6"/>
      <c r="BA62"/>
      <c r="BB62"/>
      <c r="BC62"/>
      <c r="BD62"/>
      <c r="BE62"/>
    </row>
    <row r="63" spans="1:57" x14ac:dyDescent="0.25">
      <c r="A63"/>
      <c r="B63"/>
      <c r="C63" s="6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"/>
      <c r="AI63" s="6"/>
      <c r="AJ63" s="6"/>
      <c r="AK63" s="6"/>
      <c r="AL63" s="6"/>
      <c r="AM63" s="6"/>
      <c r="AN63" s="6"/>
      <c r="BA63"/>
      <c r="BB63"/>
      <c r="BC63"/>
      <c r="BD63"/>
      <c r="BE63"/>
    </row>
    <row r="64" spans="1:57" x14ac:dyDescent="0.25">
      <c r="A64"/>
      <c r="B64"/>
      <c r="C64" s="6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"/>
      <c r="AI64" s="6"/>
      <c r="AJ64" s="6"/>
      <c r="AK64" s="6"/>
      <c r="AL64" s="6"/>
      <c r="AM64" s="6"/>
      <c r="AN64" s="6"/>
      <c r="BA64"/>
      <c r="BB64"/>
      <c r="BC64"/>
      <c r="BD64"/>
      <c r="BE64"/>
    </row>
    <row r="65" spans="1:57" x14ac:dyDescent="0.25">
      <c r="A65"/>
      <c r="B65"/>
      <c r="C65" s="6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"/>
      <c r="AI65" s="6"/>
      <c r="AJ65" s="6"/>
      <c r="AK65" s="6"/>
      <c r="AL65" s="6"/>
      <c r="AM65" s="6"/>
      <c r="AN65" s="6"/>
      <c r="BA65"/>
      <c r="BB65"/>
      <c r="BC65"/>
      <c r="BD65"/>
      <c r="BE65"/>
    </row>
    <row r="66" spans="1:57" x14ac:dyDescent="0.25">
      <c r="A66"/>
      <c r="B66"/>
      <c r="C66" s="6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"/>
      <c r="AI66" s="6"/>
      <c r="AJ66" s="6"/>
      <c r="AK66" s="6"/>
      <c r="AL66" s="6"/>
      <c r="AM66" s="6"/>
      <c r="AN66" s="6"/>
      <c r="BA66"/>
      <c r="BB66"/>
      <c r="BC66"/>
      <c r="BD66"/>
      <c r="BE66"/>
    </row>
    <row r="67" spans="1:57" x14ac:dyDescent="0.25">
      <c r="A67"/>
      <c r="B67"/>
      <c r="C67" s="6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"/>
      <c r="AI67" s="6"/>
      <c r="AJ67" s="6"/>
      <c r="AK67" s="6"/>
      <c r="AL67" s="6"/>
      <c r="AM67" s="6"/>
      <c r="AN67" s="6"/>
      <c r="BA67"/>
      <c r="BB67"/>
      <c r="BC67"/>
      <c r="BD67"/>
      <c r="BE67"/>
    </row>
    <row r="68" spans="1:57" x14ac:dyDescent="0.25">
      <c r="A68"/>
      <c r="B68"/>
      <c r="C68" s="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"/>
      <c r="AI68" s="6"/>
      <c r="AJ68" s="6"/>
      <c r="AK68" s="6"/>
      <c r="AL68" s="6"/>
      <c r="AM68" s="6"/>
      <c r="AN68" s="6"/>
      <c r="BA68"/>
      <c r="BB68"/>
      <c r="BC68"/>
      <c r="BD68"/>
      <c r="BE68"/>
    </row>
    <row r="69" spans="1:57" x14ac:dyDescent="0.25">
      <c r="A69"/>
      <c r="B69"/>
      <c r="C69" s="6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"/>
      <c r="AI69" s="6"/>
      <c r="AJ69" s="6"/>
      <c r="AK69" s="6"/>
      <c r="AL69" s="6"/>
      <c r="AM69" s="6"/>
      <c r="AN69" s="6"/>
      <c r="BA69"/>
      <c r="BB69"/>
      <c r="BC69"/>
      <c r="BD69"/>
      <c r="BE69"/>
    </row>
    <row r="70" spans="1:57" x14ac:dyDescent="0.25">
      <c r="A70"/>
      <c r="B70"/>
      <c r="C70" s="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"/>
      <c r="AI70" s="6"/>
      <c r="AJ70" s="6"/>
      <c r="AK70" s="6"/>
      <c r="AL70" s="6"/>
      <c r="AM70" s="6"/>
      <c r="AN70" s="6"/>
      <c r="BA70"/>
      <c r="BB70"/>
      <c r="BC70"/>
      <c r="BD70"/>
      <c r="BE70"/>
    </row>
    <row r="71" spans="1:57" x14ac:dyDescent="0.25">
      <c r="A71"/>
      <c r="B71"/>
      <c r="C71" s="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"/>
      <c r="AI71" s="6"/>
      <c r="AJ71" s="6"/>
      <c r="AK71" s="6"/>
      <c r="AL71" s="6"/>
      <c r="AM71" s="6"/>
      <c r="AN71" s="6"/>
      <c r="BA71"/>
      <c r="BB71"/>
      <c r="BC71"/>
      <c r="BD71"/>
      <c r="BE71"/>
    </row>
    <row r="72" spans="1:57" x14ac:dyDescent="0.25">
      <c r="A72"/>
      <c r="B72"/>
      <c r="C72" s="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"/>
      <c r="AI72" s="6"/>
      <c r="AJ72" s="6"/>
      <c r="AK72" s="6"/>
      <c r="AL72" s="6"/>
      <c r="AM72" s="6"/>
      <c r="AN72" s="6"/>
      <c r="BA72"/>
      <c r="BB72"/>
      <c r="BC72"/>
      <c r="BD72"/>
      <c r="BE72"/>
    </row>
    <row r="73" spans="1:57" x14ac:dyDescent="0.25">
      <c r="A73"/>
      <c r="B73"/>
      <c r="C73" s="6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"/>
      <c r="AI73" s="6"/>
      <c r="AJ73" s="6"/>
      <c r="AK73" s="6"/>
      <c r="AL73" s="6"/>
      <c r="AM73" s="6"/>
      <c r="AN73" s="6"/>
      <c r="BA73"/>
      <c r="BB73"/>
      <c r="BC73"/>
      <c r="BD73"/>
      <c r="BE73"/>
    </row>
    <row r="74" spans="1:57" x14ac:dyDescent="0.25">
      <c r="A74"/>
      <c r="B74"/>
      <c r="C74"/>
      <c r="BA74"/>
      <c r="BB74"/>
      <c r="BC74"/>
      <c r="BD74"/>
      <c r="BE74"/>
    </row>
    <row r="75" spans="1:57" x14ac:dyDescent="0.25">
      <c r="A75"/>
      <c r="B75"/>
      <c r="C75"/>
      <c r="BA75"/>
      <c r="BB75"/>
      <c r="BC75"/>
      <c r="BD75"/>
      <c r="BE75"/>
    </row>
    <row r="76" spans="1:57" x14ac:dyDescent="0.25">
      <c r="A76"/>
      <c r="B76"/>
      <c r="C76"/>
      <c r="BA76"/>
      <c r="BB76"/>
      <c r="BC76"/>
      <c r="BD76"/>
      <c r="BE76"/>
    </row>
    <row r="77" spans="1:57" x14ac:dyDescent="0.25">
      <c r="A77"/>
      <c r="B77"/>
      <c r="C77"/>
      <c r="BA77"/>
      <c r="BB77"/>
      <c r="BC77"/>
      <c r="BD77"/>
      <c r="BE77"/>
    </row>
    <row r="78" spans="1:57" x14ac:dyDescent="0.25">
      <c r="A78"/>
      <c r="B78"/>
      <c r="C78"/>
      <c r="BA78"/>
      <c r="BB78"/>
      <c r="BC78"/>
      <c r="BD78"/>
      <c r="BE78"/>
    </row>
    <row r="79" spans="1:57" ht="16.5" x14ac:dyDescent="0.3">
      <c r="A79"/>
      <c r="B79"/>
      <c r="C79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BA79"/>
      <c r="BB79"/>
      <c r="BC79"/>
      <c r="BD79"/>
      <c r="BE79"/>
    </row>
    <row r="80" spans="1:57" ht="16.5" x14ac:dyDescent="0.3">
      <c r="A80"/>
      <c r="B80"/>
      <c r="C80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BA80"/>
      <c r="BB80"/>
      <c r="BC80"/>
      <c r="BD80"/>
      <c r="BE80"/>
    </row>
    <row r="81" spans="1:57" ht="16.5" x14ac:dyDescent="0.3">
      <c r="A81"/>
      <c r="B81"/>
      <c r="C8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BA81"/>
      <c r="BB81"/>
      <c r="BC81"/>
      <c r="BD81"/>
      <c r="BE81"/>
    </row>
    <row r="82" spans="1:57" ht="16.5" x14ac:dyDescent="0.3">
      <c r="A82"/>
      <c r="B82"/>
      <c r="C82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BA82"/>
      <c r="BB82"/>
      <c r="BC82"/>
      <c r="BD82"/>
      <c r="BE82"/>
    </row>
    <row r="83" spans="1:57" ht="16.5" x14ac:dyDescent="0.3">
      <c r="A83"/>
      <c r="B83"/>
      <c r="C83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BA83"/>
      <c r="BB83"/>
      <c r="BC83"/>
      <c r="BD83"/>
      <c r="BE83"/>
    </row>
    <row r="84" spans="1:57" ht="16.5" x14ac:dyDescent="0.3">
      <c r="A84"/>
      <c r="B84"/>
      <c r="C84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BA84"/>
      <c r="BB84"/>
      <c r="BC84"/>
      <c r="BD84"/>
      <c r="BE84"/>
    </row>
    <row r="85" spans="1:57" ht="16.5" x14ac:dyDescent="0.3">
      <c r="A85"/>
      <c r="B85"/>
      <c r="C85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BA85"/>
      <c r="BB85"/>
      <c r="BC85"/>
      <c r="BD85"/>
      <c r="BE85"/>
    </row>
    <row r="86" spans="1:57" ht="16.5" x14ac:dyDescent="0.3">
      <c r="A86"/>
      <c r="B86"/>
      <c r="C86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BA86"/>
      <c r="BB86"/>
      <c r="BC86"/>
      <c r="BD86"/>
      <c r="BE86"/>
    </row>
    <row r="87" spans="1:57" ht="16.5" x14ac:dyDescent="0.3">
      <c r="A87"/>
      <c r="B87"/>
      <c r="C87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BA87"/>
      <c r="BB87"/>
      <c r="BC87"/>
      <c r="BD87"/>
      <c r="BE87"/>
    </row>
    <row r="88" spans="1:57" ht="16.5" x14ac:dyDescent="0.3">
      <c r="A88"/>
      <c r="B88"/>
      <c r="C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</row>
    <row r="89" spans="1:57" ht="16.5" x14ac:dyDescent="0.3">
      <c r="A89"/>
      <c r="B89"/>
      <c r="C89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</row>
    <row r="90" spans="1:57" ht="16.5" x14ac:dyDescent="0.3">
      <c r="A90"/>
      <c r="B90"/>
      <c r="C90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</row>
    <row r="91" spans="1:57" x14ac:dyDescent="0.25">
      <c r="A91"/>
      <c r="B91"/>
      <c r="C91"/>
    </row>
    <row r="92" spans="1:57" x14ac:dyDescent="0.25">
      <c r="A92"/>
      <c r="B92"/>
      <c r="C92"/>
    </row>
    <row r="93" spans="1:57" x14ac:dyDescent="0.25">
      <c r="A93"/>
      <c r="B93"/>
      <c r="C93"/>
    </row>
    <row r="94" spans="1:57" x14ac:dyDescent="0.25">
      <c r="A94"/>
      <c r="B94"/>
      <c r="C94"/>
    </row>
    <row r="95" spans="1:57" x14ac:dyDescent="0.25">
      <c r="A95"/>
      <c r="B95"/>
      <c r="C95"/>
    </row>
    <row r="96" spans="1:57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N7:X17">
    <cfRule type="cellIs" dxfId="2" priority="1" operator="equal">
      <formula>$Y$18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57" bestFit="1" customWidth="1"/>
    <col min="2" max="2" width="11.140625" style="57" customWidth="1"/>
    <col min="3" max="5" width="9.7109375" style="57" customWidth="1"/>
    <col min="6" max="6" width="12.42578125" style="57" bestFit="1" customWidth="1"/>
    <col min="7" max="8" width="9.7109375" style="57" customWidth="1"/>
    <col min="9" max="9" width="9.140625" style="57"/>
    <col min="10" max="10" width="12.28515625" style="57" bestFit="1" customWidth="1"/>
    <col min="11" max="11" width="14" style="57" bestFit="1" customWidth="1"/>
    <col min="12" max="12" width="12.5703125" style="57" bestFit="1" customWidth="1"/>
    <col min="13" max="13" width="12.42578125" style="57" customWidth="1"/>
    <col min="14" max="14" width="12.28515625" style="57" bestFit="1" customWidth="1"/>
    <col min="15" max="15" width="10" style="57" bestFit="1" customWidth="1"/>
    <col min="16" max="16" width="9.28515625" style="57" bestFit="1" customWidth="1"/>
    <col min="17" max="17" width="10.42578125" style="57" bestFit="1" customWidth="1"/>
    <col min="18" max="18" width="9.28515625" style="57" bestFit="1" customWidth="1"/>
    <col min="19" max="20" width="9.140625" style="57"/>
    <col min="21" max="21" width="9.28515625" style="57" bestFit="1" customWidth="1"/>
    <col min="22" max="32" width="9.140625" style="57"/>
    <col min="33" max="33" width="9.140625" style="57" customWidth="1"/>
    <col min="34" max="36" width="9.140625" style="57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57"/>
  </cols>
  <sheetData>
    <row r="1" spans="1:60" ht="16.5" thickBot="1" x14ac:dyDescent="0.35">
      <c r="Q1" s="57" t="s">
        <v>87</v>
      </c>
      <c r="R1" s="166" t="s">
        <v>159</v>
      </c>
      <c r="S1" s="103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38" t="s">
        <v>4</v>
      </c>
      <c r="B2" s="139" t="s">
        <v>162</v>
      </c>
      <c r="C2" s="112" t="s">
        <v>67</v>
      </c>
      <c r="D2" s="112" t="s">
        <v>19</v>
      </c>
      <c r="E2" s="112" t="s">
        <v>122</v>
      </c>
      <c r="F2" s="1" t="s">
        <v>108</v>
      </c>
      <c r="G2" s="1" t="s">
        <v>3</v>
      </c>
      <c r="H2" s="1" t="s">
        <v>111</v>
      </c>
      <c r="I2" s="1" t="s">
        <v>113</v>
      </c>
      <c r="J2" s="57"/>
      <c r="K2" s="57"/>
      <c r="L2" s="57"/>
      <c r="M2" s="57"/>
      <c r="N2" s="57"/>
      <c r="O2" s="57"/>
      <c r="P2" s="57"/>
      <c r="Q2" s="57" t="s">
        <v>154</v>
      </c>
      <c r="R2" s="167" t="s">
        <v>158</v>
      </c>
      <c r="S2" s="161">
        <v>0.4</v>
      </c>
    </row>
    <row r="3" spans="1:60" customFormat="1" ht="16.5" x14ac:dyDescent="0.3">
      <c r="A3" s="65">
        <v>0</v>
      </c>
      <c r="B3" s="65"/>
      <c r="C3" s="140">
        <f>AVERAGE(B4:B7)</f>
        <v>28.5</v>
      </c>
      <c r="D3" s="140">
        <f>(AVERAGE(B28:B31)-AVERAGE(B4:B7))/(A31-S1-1)</f>
        <v>1.5543478260869565</v>
      </c>
      <c r="E3" s="140"/>
      <c r="F3" s="89"/>
      <c r="G3" s="89"/>
      <c r="H3" s="89"/>
      <c r="I3" s="89"/>
      <c r="J3" s="1" t="s">
        <v>163</v>
      </c>
      <c r="K3" s="1" t="s">
        <v>164</v>
      </c>
      <c r="L3" s="1" t="s">
        <v>165</v>
      </c>
      <c r="M3" s="1" t="s">
        <v>166</v>
      </c>
      <c r="N3" s="89" t="s">
        <v>167</v>
      </c>
      <c r="O3" s="89" t="s">
        <v>168</v>
      </c>
      <c r="P3" s="57"/>
      <c r="Q3" s="57" t="s">
        <v>152</v>
      </c>
      <c r="R3" s="167" t="s">
        <v>160</v>
      </c>
      <c r="S3" s="168">
        <v>0.7</v>
      </c>
      <c r="AH3" s="57"/>
      <c r="AI3" s="57"/>
      <c r="AJ3" s="57"/>
      <c r="BD3" s="57"/>
      <c r="BE3" s="57"/>
      <c r="BF3" s="57"/>
      <c r="BG3" s="57"/>
      <c r="BH3" s="57"/>
    </row>
    <row r="4" spans="1:60" customFormat="1" ht="16.5" x14ac:dyDescent="0.3">
      <c r="A4" s="74">
        <v>1</v>
      </c>
      <c r="B4" s="149">
        <v>21</v>
      </c>
      <c r="C4" s="141">
        <f t="shared" ref="C4:C31" si="0">(1-$S$2)*SUM(C3:D3)+$S$2*B4/E4</f>
        <v>29.432608695652171</v>
      </c>
      <c r="D4" s="170">
        <f t="shared" ref="D4:D31" si="1">(1-$S$3)*D3+$S$3*(C4-C3)</f>
        <v>1.1191304347826065</v>
      </c>
      <c r="E4" s="169">
        <f>B4/AVERAGE($B$4:$B$7)</f>
        <v>0.73684210526315785</v>
      </c>
      <c r="F4" s="129">
        <f>SUM(C4:D4)*E4</f>
        <v>22.51180778032036</v>
      </c>
      <c r="G4" s="124"/>
      <c r="H4" s="124"/>
      <c r="I4" s="124"/>
      <c r="J4" s="171">
        <f>C3+D3</f>
        <v>30.054347826086957</v>
      </c>
      <c r="K4" s="171">
        <f>B4/E4</f>
        <v>28.5</v>
      </c>
      <c r="L4" s="171">
        <f>D3</f>
        <v>1.5543478260869565</v>
      </c>
      <c r="M4" s="171">
        <f>C4-C3</f>
        <v>0.93260869565217064</v>
      </c>
      <c r="N4" s="104">
        <f>E4</f>
        <v>0.73684210526315785</v>
      </c>
      <c r="O4" s="104">
        <f>B4/(C3+D3)</f>
        <v>0.69873417721518982</v>
      </c>
      <c r="P4" s="57"/>
      <c r="Q4" s="57" t="s">
        <v>153</v>
      </c>
      <c r="R4" s="167" t="s">
        <v>161</v>
      </c>
      <c r="S4" s="161">
        <v>0.5</v>
      </c>
      <c r="AH4" s="57"/>
      <c r="AI4" s="57"/>
      <c r="AJ4" s="57"/>
      <c r="BD4" s="57"/>
      <c r="BE4" s="57"/>
      <c r="BF4" s="57"/>
      <c r="BG4" s="57"/>
      <c r="BH4" s="57"/>
    </row>
    <row r="5" spans="1:60" customFormat="1" ht="16.5" x14ac:dyDescent="0.3">
      <c r="A5" s="74">
        <v>2</v>
      </c>
      <c r="B5" s="149">
        <v>27</v>
      </c>
      <c r="C5" s="141">
        <f t="shared" si="0"/>
        <v>29.731043478260865</v>
      </c>
      <c r="D5" s="170">
        <f t="shared" si="1"/>
        <v>0.54464347826086823</v>
      </c>
      <c r="E5" s="169">
        <f t="shared" ref="E5:E6" si="2">B5/AVERAGE($B$4:$B$7)</f>
        <v>0.94736842105263153</v>
      </c>
      <c r="F5" s="129">
        <f t="shared" ref="F5:F30" si="3">SUM(C5:D5)*E5</f>
        <v>28.682229748283746</v>
      </c>
      <c r="G5" s="124"/>
      <c r="H5" s="124"/>
      <c r="I5" s="124"/>
      <c r="J5" s="171">
        <f>J4*(1-$S$2)</f>
        <v>18.032608695652172</v>
      </c>
      <c r="K5" s="171">
        <f>K4*$S$2</f>
        <v>11.4</v>
      </c>
      <c r="L5" s="171">
        <f>L4*(1-$S$3)</f>
        <v>0.46630434782608704</v>
      </c>
      <c r="M5" s="171">
        <f>M4*$S$3</f>
        <v>0.65282608695651945</v>
      </c>
      <c r="N5" s="171">
        <f>N4*(1-$S$4)</f>
        <v>0.36842105263157893</v>
      </c>
      <c r="O5" s="171">
        <f>O4*$S$4</f>
        <v>0.34936708860759491</v>
      </c>
      <c r="AH5" s="57"/>
      <c r="AI5" s="57"/>
      <c r="AJ5" s="57"/>
      <c r="BD5" s="57"/>
      <c r="BE5" s="57"/>
      <c r="BF5" s="57"/>
      <c r="BG5" s="57"/>
      <c r="BH5" s="57"/>
    </row>
    <row r="6" spans="1:60" customFormat="1" ht="16.5" x14ac:dyDescent="0.3">
      <c r="A6" s="74">
        <v>3</v>
      </c>
      <c r="B6" s="149">
        <v>38</v>
      </c>
      <c r="C6" s="141">
        <f t="shared" si="0"/>
        <v>29.565412173913042</v>
      </c>
      <c r="D6" s="170">
        <f t="shared" si="1"/>
        <v>4.745113043478455E-2</v>
      </c>
      <c r="E6" s="169">
        <f t="shared" si="2"/>
        <v>1.3333333333333333</v>
      </c>
      <c r="F6" s="129">
        <f t="shared" si="3"/>
        <v>39.48381773913043</v>
      </c>
      <c r="G6" s="124"/>
      <c r="H6" s="124"/>
      <c r="I6" s="124"/>
      <c r="J6" s="171"/>
      <c r="K6" s="171">
        <f>J5+K5</f>
        <v>29.432608695652171</v>
      </c>
      <c r="L6" s="171"/>
      <c r="M6" s="171">
        <f>L5+M5</f>
        <v>1.1191304347826065</v>
      </c>
      <c r="N6" s="171"/>
      <c r="O6" s="171">
        <f>N5+O5</f>
        <v>0.71778814123917378</v>
      </c>
      <c r="AH6" s="57"/>
      <c r="AI6" s="57"/>
      <c r="AJ6" s="57"/>
      <c r="BD6" s="57"/>
      <c r="BE6" s="57"/>
      <c r="BF6" s="57"/>
      <c r="BG6" s="57"/>
      <c r="BH6" s="57"/>
    </row>
    <row r="7" spans="1:60" customFormat="1" ht="16.5" x14ac:dyDescent="0.3">
      <c r="A7" s="74">
        <v>4</v>
      </c>
      <c r="B7" s="149">
        <v>28</v>
      </c>
      <c r="C7" s="141">
        <f t="shared" si="0"/>
        <v>29.167717982608696</v>
      </c>
      <c r="D7" s="170">
        <f t="shared" si="1"/>
        <v>-0.26415059478260694</v>
      </c>
      <c r="E7" s="169">
        <f>B7/AVERAGE($B$4:$B$7)</f>
        <v>0.98245614035087714</v>
      </c>
      <c r="F7" s="129">
        <f t="shared" si="3"/>
        <v>28.396487258215103</v>
      </c>
      <c r="G7" s="124"/>
      <c r="H7" s="124"/>
      <c r="I7" s="124"/>
      <c r="AH7" s="57"/>
      <c r="AI7" s="57"/>
      <c r="AJ7" s="57"/>
      <c r="BD7" s="57"/>
      <c r="BE7" s="57"/>
      <c r="BF7" s="57"/>
      <c r="BG7" s="57"/>
      <c r="BH7" s="57"/>
    </row>
    <row r="8" spans="1:60" customFormat="1" ht="16.5" x14ac:dyDescent="0.3">
      <c r="A8" s="74">
        <v>5</v>
      </c>
      <c r="B8" s="149">
        <v>38</v>
      </c>
      <c r="C8" s="141">
        <f t="shared" si="0"/>
        <v>38.518305273980232</v>
      </c>
      <c r="D8" s="170">
        <f t="shared" si="1"/>
        <v>6.466165925525293</v>
      </c>
      <c r="E8" s="141">
        <f>(1-$S$4)*E4+$S$4*B4/(C3+D3)</f>
        <v>0.71778814123917378</v>
      </c>
      <c r="F8" s="129">
        <f t="shared" si="3"/>
        <v>32.289319966920218</v>
      </c>
      <c r="G8" s="124">
        <f t="shared" ref="G8:G31" si="4">B8-F8</f>
        <v>5.7106800330797824</v>
      </c>
      <c r="H8" s="124">
        <f>G8^2</f>
        <v>32.611866440216104</v>
      </c>
      <c r="I8" s="124">
        <f>AVERAGE(H$8:H8)</f>
        <v>32.611866440216104</v>
      </c>
      <c r="AH8" s="57"/>
      <c r="AI8" s="57"/>
      <c r="AJ8" s="57"/>
      <c r="BD8" s="57"/>
      <c r="BE8" s="57"/>
      <c r="BF8" s="57"/>
      <c r="BG8" s="57"/>
      <c r="BH8" s="57"/>
    </row>
    <row r="9" spans="1:60" customFormat="1" ht="16.5" x14ac:dyDescent="0.3">
      <c r="A9" s="74">
        <v>6</v>
      </c>
      <c r="B9" s="149">
        <v>49</v>
      </c>
      <c r="C9" s="141">
        <f t="shared" si="0"/>
        <v>48.398402307291704</v>
      </c>
      <c r="D9" s="170">
        <f t="shared" si="1"/>
        <v>8.8559177009756187</v>
      </c>
      <c r="E9" s="141">
        <f t="shared" ref="E9:E31" si="5">(1-$S$4)*E5+$S$4*B5/(C4+D4)</f>
        <v>0.91555758285266176</v>
      </c>
      <c r="F9" s="129">
        <f t="shared" si="3"/>
        <v>52.419626834642017</v>
      </c>
      <c r="G9" s="124">
        <f t="shared" si="4"/>
        <v>-3.4196268346420169</v>
      </c>
      <c r="H9" s="124">
        <f t="shared" ref="H9:H31" si="6">G9^2</f>
        <v>11.69384768820378</v>
      </c>
      <c r="I9" s="124">
        <f>AVERAGE(H$8:H9)</f>
        <v>22.152857064209943</v>
      </c>
      <c r="AH9" s="57"/>
      <c r="AI9" s="57"/>
      <c r="AJ9" s="57"/>
      <c r="BD9" s="57"/>
      <c r="BE9" s="57"/>
      <c r="BF9" s="57"/>
      <c r="BG9" s="57"/>
      <c r="BH9" s="57"/>
    </row>
    <row r="10" spans="1:60" customFormat="1" ht="16.5" x14ac:dyDescent="0.3">
      <c r="A10" s="74">
        <v>7</v>
      </c>
      <c r="B10" s="149">
        <v>47</v>
      </c>
      <c r="C10" s="141">
        <f t="shared" si="0"/>
        <v>48.878570626111639</v>
      </c>
      <c r="D10" s="170">
        <f t="shared" si="1"/>
        <v>2.99289313346664</v>
      </c>
      <c r="E10" s="141">
        <f t="shared" si="5"/>
        <v>1.2942329388138682</v>
      </c>
      <c r="F10" s="129">
        <f t="shared" si="3"/>
        <v>67.133756982136049</v>
      </c>
      <c r="G10" s="124">
        <f t="shared" si="4"/>
        <v>-20.133756982136049</v>
      </c>
      <c r="H10" s="124">
        <f t="shared" si="6"/>
        <v>405.3681702157121</v>
      </c>
      <c r="I10" s="124">
        <f>AVERAGE(H$8:H10)</f>
        <v>149.89129478137733</v>
      </c>
      <c r="AH10" s="57"/>
      <c r="AI10" s="57"/>
      <c r="AJ10" s="57"/>
      <c r="BD10" s="57"/>
      <c r="BE10" s="57"/>
      <c r="BF10" s="57"/>
      <c r="BG10" s="57"/>
      <c r="BH10" s="57"/>
    </row>
    <row r="11" spans="1:60" customFormat="1" ht="16.5" x14ac:dyDescent="0.3">
      <c r="A11" s="74">
        <v>8</v>
      </c>
      <c r="B11" s="149">
        <v>35</v>
      </c>
      <c r="C11" s="141">
        <f t="shared" si="0"/>
        <v>45.645766239323059</v>
      </c>
      <c r="D11" s="170">
        <f t="shared" si="1"/>
        <v>-1.3650951307120134</v>
      </c>
      <c r="E11" s="141">
        <f t="shared" si="5"/>
        <v>0.96399559204977514</v>
      </c>
      <c r="F11" s="129">
        <f t="shared" si="3"/>
        <v>42.68637176170688</v>
      </c>
      <c r="G11" s="124">
        <f t="shared" si="4"/>
        <v>-7.6863717617068801</v>
      </c>
      <c r="H11" s="124">
        <f t="shared" si="6"/>
        <v>59.080310859164925</v>
      </c>
      <c r="I11" s="124">
        <f>AVERAGE(H$8:H11)</f>
        <v>127.18854880082422</v>
      </c>
      <c r="AH11" s="57"/>
      <c r="AI11" s="57"/>
      <c r="AJ11" s="57"/>
      <c r="BD11" s="57"/>
      <c r="BE11" s="57"/>
      <c r="BF11" s="57"/>
      <c r="BG11" s="57"/>
      <c r="BH11" s="57"/>
    </row>
    <row r="12" spans="1:60" customFormat="1" ht="16.5" x14ac:dyDescent="0.3">
      <c r="A12" s="74">
        <v>9</v>
      </c>
      <c r="B12" s="149">
        <v>42</v>
      </c>
      <c r="C12" s="141">
        <f t="shared" si="0"/>
        <v>43.09972937207867</v>
      </c>
      <c r="D12" s="170">
        <f t="shared" si="1"/>
        <v>-2.1917543462846765</v>
      </c>
      <c r="E12" s="141">
        <f t="shared" si="5"/>
        <v>1.0162523733183264</v>
      </c>
      <c r="F12" s="129">
        <f t="shared" si="3"/>
        <v>41.57282670760997</v>
      </c>
      <c r="G12" s="124">
        <f t="shared" si="4"/>
        <v>0.42717329239003021</v>
      </c>
      <c r="H12" s="124">
        <f t="shared" si="6"/>
        <v>0.18247702173133826</v>
      </c>
      <c r="I12" s="124">
        <f>AVERAGE(H$8:H12)</f>
        <v>101.78733444500565</v>
      </c>
      <c r="AH12" s="57"/>
      <c r="AI12" s="57"/>
      <c r="AJ12" s="57"/>
      <c r="BD12" s="57"/>
      <c r="BE12" s="57"/>
      <c r="BF12" s="57"/>
      <c r="BG12" s="57"/>
      <c r="BH12" s="57"/>
    </row>
    <row r="13" spans="1:60" customFormat="1" ht="16.5" x14ac:dyDescent="0.3">
      <c r="A13" s="74">
        <v>10</v>
      </c>
      <c r="B13" s="149">
        <v>55</v>
      </c>
      <c r="C13" s="141">
        <f t="shared" si="0"/>
        <v>46.49186665025821</v>
      </c>
      <c r="D13" s="170">
        <f t="shared" si="1"/>
        <v>1.7169697908402748</v>
      </c>
      <c r="E13" s="141">
        <f t="shared" si="5"/>
        <v>1.0024111800420117</v>
      </c>
      <c r="F13" s="129">
        <f t="shared" si="3"/>
        <v>48.325076625373868</v>
      </c>
      <c r="G13" s="124">
        <f t="shared" si="4"/>
        <v>6.6749233746261325</v>
      </c>
      <c r="H13" s="124">
        <f t="shared" si="6"/>
        <v>44.554602057130317</v>
      </c>
      <c r="I13" s="124">
        <f>AVERAGE(H$8:H13)</f>
        <v>92.24854571369309</v>
      </c>
      <c r="AH13" s="57"/>
      <c r="AI13" s="57"/>
      <c r="AJ13" s="57"/>
      <c r="BD13" s="57"/>
      <c r="BE13" s="57"/>
      <c r="BF13" s="57"/>
      <c r="BG13" s="57"/>
      <c r="BH13" s="57"/>
    </row>
    <row r="14" spans="1:60" customFormat="1" ht="16.5" x14ac:dyDescent="0.3">
      <c r="A14" s="74">
        <v>11</v>
      </c>
      <c r="B14" s="149">
        <v>56</v>
      </c>
      <c r="C14" s="141">
        <f t="shared" si="0"/>
        <v>50.106016113277491</v>
      </c>
      <c r="D14" s="170">
        <f t="shared" si="1"/>
        <v>3.044995561365579</v>
      </c>
      <c r="E14" s="141">
        <f t="shared" si="5"/>
        <v>1.0575658467920237</v>
      </c>
      <c r="F14" s="129">
        <f t="shared" si="3"/>
        <v>56.210694669546641</v>
      </c>
      <c r="G14" s="124">
        <f t="shared" si="4"/>
        <v>-0.21069466954664051</v>
      </c>
      <c r="H14" s="124">
        <f t="shared" si="6"/>
        <v>4.4392243775368045E-2</v>
      </c>
      <c r="I14" s="124">
        <f>AVERAGE(H$8:H14)</f>
        <v>79.076523789419142</v>
      </c>
      <c r="AH14" s="57"/>
      <c r="AI14" s="57"/>
      <c r="AJ14" s="57"/>
      <c r="BD14" s="57"/>
      <c r="BE14" s="57"/>
      <c r="BF14" s="57"/>
      <c r="BG14" s="57"/>
      <c r="BH14" s="57"/>
    </row>
    <row r="15" spans="1:60" customFormat="1" ht="16.5" x14ac:dyDescent="0.3">
      <c r="A15" s="74">
        <v>12</v>
      </c>
      <c r="B15" s="149">
        <v>32</v>
      </c>
      <c r="C15" s="141">
        <f t="shared" si="0"/>
        <v>47.512361528417188</v>
      </c>
      <c r="D15" s="170">
        <f t="shared" si="1"/>
        <v>-0.90205954099253816</v>
      </c>
      <c r="E15" s="141">
        <f t="shared" si="5"/>
        <v>0.81937019178205484</v>
      </c>
      <c r="F15" s="129">
        <f t="shared" si="3"/>
        <v>38.191092078455625</v>
      </c>
      <c r="G15" s="124">
        <f t="shared" si="4"/>
        <v>-6.1910920784556254</v>
      </c>
      <c r="H15" s="124">
        <f t="shared" si="6"/>
        <v>38.329621123915999</v>
      </c>
      <c r="I15" s="124">
        <f>AVERAGE(H$8:H15)</f>
        <v>73.983160956231245</v>
      </c>
      <c r="AH15" s="57"/>
      <c r="AI15" s="57"/>
      <c r="AJ15" s="57"/>
      <c r="BD15" s="57"/>
      <c r="BE15" s="57"/>
      <c r="BF15" s="57"/>
      <c r="BG15" s="57"/>
      <c r="BH15" s="57"/>
    </row>
    <row r="16" spans="1:60" customFormat="1" ht="16.5" x14ac:dyDescent="0.3">
      <c r="A16" s="74">
        <v>13</v>
      </c>
      <c r="B16" s="149">
        <v>35</v>
      </c>
      <c r="C16" s="141">
        <f t="shared" si="0"/>
        <v>42.217376443880767</v>
      </c>
      <c r="D16" s="170">
        <f t="shared" si="1"/>
        <v>-3.9771074214732556</v>
      </c>
      <c r="E16" s="141">
        <f t="shared" si="5"/>
        <v>0.9823737415006758</v>
      </c>
      <c r="F16" s="129">
        <f t="shared" si="3"/>
        <v>37.566236155534853</v>
      </c>
      <c r="G16" s="124">
        <f t="shared" si="4"/>
        <v>-2.5662361555348525</v>
      </c>
      <c r="H16" s="124">
        <f t="shared" si="6"/>
        <v>6.5855680059742996</v>
      </c>
      <c r="I16" s="124">
        <f>AVERAGE(H$8:H16)</f>
        <v>66.494539517313811</v>
      </c>
      <c r="AH16" s="57"/>
      <c r="AI16" s="57"/>
      <c r="AJ16" s="57"/>
      <c r="BD16" s="57"/>
      <c r="BE16" s="57"/>
      <c r="BF16" s="57"/>
      <c r="BG16" s="57"/>
      <c r="BH16" s="57"/>
    </row>
    <row r="17" spans="1:60" customFormat="1" ht="16.5" x14ac:dyDescent="0.3">
      <c r="A17" s="74">
        <v>14</v>
      </c>
      <c r="B17" s="149">
        <v>55</v>
      </c>
      <c r="C17" s="141">
        <f t="shared" si="0"/>
        <v>41.692358778827852</v>
      </c>
      <c r="D17" s="170">
        <f t="shared" si="1"/>
        <v>-1.5606445919790166</v>
      </c>
      <c r="E17" s="141">
        <f t="shared" si="5"/>
        <v>1.1734461490479493</v>
      </c>
      <c r="F17" s="129">
        <f t="shared" si="3"/>
        <v>47.092405467250721</v>
      </c>
      <c r="G17" s="124">
        <f t="shared" si="4"/>
        <v>7.9075945327492789</v>
      </c>
      <c r="H17" s="124">
        <f t="shared" si="6"/>
        <v>62.530051294366288</v>
      </c>
      <c r="I17" s="124">
        <f>AVERAGE(H$8:H17)</f>
        <v>66.098090695019067</v>
      </c>
      <c r="AH17" s="65"/>
      <c r="AI17" s="65"/>
      <c r="AJ17" s="65"/>
      <c r="AK17" s="6"/>
      <c r="AL17" s="6"/>
      <c r="AM17" s="6"/>
      <c r="AN17" s="6"/>
      <c r="AO17" s="6"/>
      <c r="AP17" s="6"/>
      <c r="AQ17" s="6"/>
      <c r="BD17" s="57"/>
      <c r="BE17" s="57"/>
      <c r="BF17" s="57"/>
      <c r="BG17" s="57"/>
      <c r="BH17" s="57"/>
    </row>
    <row r="18" spans="1:60" ht="16.5" x14ac:dyDescent="0.3">
      <c r="A18" s="74">
        <v>15</v>
      </c>
      <c r="B18" s="149">
        <v>50</v>
      </c>
      <c r="C18" s="141">
        <f t="shared" si="0"/>
        <v>42.103715534188595</v>
      </c>
      <c r="D18" s="170">
        <f t="shared" si="1"/>
        <v>-0.18024364884118538</v>
      </c>
      <c r="E18" s="141">
        <f t="shared" si="5"/>
        <v>1.1095893080141175</v>
      </c>
      <c r="F18" s="129">
        <f t="shared" si="3"/>
        <v>46.517836158811946</v>
      </c>
      <c r="G18" s="124">
        <f t="shared" si="4"/>
        <v>3.4821638411880542</v>
      </c>
      <c r="H18" s="124">
        <f t="shared" si="6"/>
        <v>12.125465016877545</v>
      </c>
      <c r="I18" s="124">
        <f>AVERAGE(H$8:H18)</f>
        <v>61.191488360642559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65"/>
      <c r="AI18" s="65"/>
      <c r="AJ18" s="65"/>
      <c r="AK18" s="6"/>
      <c r="AL18" s="6"/>
      <c r="AM18" s="6"/>
      <c r="AN18" s="6"/>
      <c r="AO18" s="6"/>
      <c r="AP18" s="6"/>
      <c r="AQ18" s="6"/>
    </row>
    <row r="19" spans="1:60" ht="16.5" x14ac:dyDescent="0.3">
      <c r="A19" s="74">
        <v>16</v>
      </c>
      <c r="B19" s="149">
        <v>46</v>
      </c>
      <c r="C19" s="141">
        <f t="shared" si="0"/>
        <v>51.043534467672117</v>
      </c>
      <c r="D19" s="170">
        <f t="shared" si="1"/>
        <v>6.2038001587861089</v>
      </c>
      <c r="E19" s="141">
        <f t="shared" si="5"/>
        <v>0.7107141731537876</v>
      </c>
      <c r="F19" s="129">
        <f t="shared" si="3"/>
        <v>40.68649209430145</v>
      </c>
      <c r="G19" s="124">
        <f t="shared" si="4"/>
        <v>5.3135079056985504</v>
      </c>
      <c r="H19" s="124">
        <f t="shared" si="6"/>
        <v>28.233366263920995</v>
      </c>
      <c r="I19" s="124">
        <f>AVERAGE(H$8:H19)</f>
        <v>58.444978185915765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65"/>
      <c r="AI19" s="65"/>
      <c r="AJ19" s="65"/>
      <c r="AK19" s="6"/>
      <c r="AL19" s="6"/>
      <c r="AM19" s="6"/>
      <c r="AN19" s="6"/>
      <c r="AO19" s="6"/>
      <c r="AP19" s="6"/>
      <c r="AQ19" s="6"/>
    </row>
    <row r="20" spans="1:60" ht="16.5" x14ac:dyDescent="0.3">
      <c r="A20" s="74">
        <v>17</v>
      </c>
      <c r="B20" s="149">
        <v>44</v>
      </c>
      <c r="C20" s="141">
        <f t="shared" si="0"/>
        <v>54.656709778345942</v>
      </c>
      <c r="D20" s="170">
        <f t="shared" si="1"/>
        <v>4.3903627651075094</v>
      </c>
      <c r="E20" s="141">
        <f t="shared" si="5"/>
        <v>0.86664034892607378</v>
      </c>
      <c r="F20" s="129">
        <f t="shared" si="3"/>
        <v>51.172575552121693</v>
      </c>
      <c r="G20" s="124">
        <f t="shared" si="4"/>
        <v>-7.1725755521216925</v>
      </c>
      <c r="H20" s="124">
        <f t="shared" si="6"/>
        <v>51.4458400508938</v>
      </c>
      <c r="I20" s="124">
        <f>AVERAGE(H$8:H20)</f>
        <v>57.906582944760231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65"/>
      <c r="AI20" s="65"/>
      <c r="AJ20" s="65"/>
      <c r="AK20" s="6"/>
      <c r="AL20" s="6"/>
      <c r="AM20" s="6"/>
      <c r="AN20" s="6"/>
      <c r="AO20" s="6"/>
      <c r="AP20" s="6"/>
      <c r="AQ20" s="6"/>
    </row>
    <row r="21" spans="1:60" ht="16.5" x14ac:dyDescent="0.3">
      <c r="A21" s="74">
        <v>18</v>
      </c>
      <c r="B21" s="149">
        <v>45</v>
      </c>
      <c r="C21" s="141">
        <f t="shared" si="0"/>
        <v>49.21226035259312</v>
      </c>
      <c r="D21" s="170">
        <f t="shared" si="1"/>
        <v>-2.4940057684947217</v>
      </c>
      <c r="E21" s="141">
        <f t="shared" si="5"/>
        <v>1.3058602747326322</v>
      </c>
      <c r="F21" s="129">
        <f t="shared" si="3"/>
        <v>61.007512766219783</v>
      </c>
      <c r="G21" s="124">
        <f t="shared" si="4"/>
        <v>-16.007512766219783</v>
      </c>
      <c r="H21" s="124">
        <f t="shared" si="6"/>
        <v>256.24046496068934</v>
      </c>
      <c r="I21" s="124">
        <f>AVERAGE(H$8:H21)</f>
        <v>72.073288803040882</v>
      </c>
      <c r="J21"/>
      <c r="K21"/>
      <c r="L21"/>
      <c r="M21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"/>
      <c r="AL21" s="6"/>
      <c r="AM21" s="6"/>
      <c r="AN21" s="6"/>
      <c r="AO21" s="6"/>
      <c r="AP21" s="6"/>
      <c r="AQ21" s="6"/>
    </row>
    <row r="22" spans="1:60" ht="16.5" x14ac:dyDescent="0.3">
      <c r="A22" s="74">
        <v>19</v>
      </c>
      <c r="B22" s="149">
        <v>59</v>
      </c>
      <c r="C22" s="141">
        <f t="shared" si="0"/>
        <v>48.069273927141055</v>
      </c>
      <c r="D22" s="170">
        <f t="shared" si="1"/>
        <v>-1.5482922283648621</v>
      </c>
      <c r="E22" s="141">
        <f t="shared" si="5"/>
        <v>1.1777433744031711</v>
      </c>
      <c r="F22" s="129">
        <f t="shared" si="3"/>
        <v>54.78977796646484</v>
      </c>
      <c r="G22" s="124">
        <f t="shared" si="4"/>
        <v>4.2102220335351603</v>
      </c>
      <c r="H22" s="124">
        <f t="shared" si="6"/>
        <v>17.72596957166494</v>
      </c>
      <c r="I22" s="124">
        <f>AVERAGE(H$8:H22)</f>
        <v>68.450134187615816</v>
      </c>
      <c r="J22"/>
      <c r="K22"/>
      <c r="L22"/>
      <c r="M22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"/>
      <c r="AL22" s="6"/>
      <c r="AM22" s="6"/>
      <c r="AN22" s="6"/>
      <c r="AO22" s="6"/>
      <c r="AP22" s="6"/>
      <c r="AQ22" s="6"/>
    </row>
    <row r="23" spans="1:60" ht="16.5" x14ac:dyDescent="0.3">
      <c r="A23" s="74">
        <v>20</v>
      </c>
      <c r="B23" s="149">
        <v>49</v>
      </c>
      <c r="C23" s="141">
        <f t="shared" si="0"/>
        <v>49.594586064693146</v>
      </c>
      <c r="D23" s="170">
        <f t="shared" si="1"/>
        <v>0.60323082777700554</v>
      </c>
      <c r="E23" s="141">
        <f t="shared" si="5"/>
        <v>0.90397577118633055</v>
      </c>
      <c r="F23" s="129">
        <f t="shared" si="3"/>
        <v>45.377610237240916</v>
      </c>
      <c r="G23" s="124">
        <f t="shared" si="4"/>
        <v>3.6223897627590844</v>
      </c>
      <c r="H23" s="124">
        <f t="shared" si="6"/>
        <v>13.121707593341815</v>
      </c>
      <c r="I23" s="124">
        <f>AVERAGE(H$8:H23)</f>
        <v>64.992107525473699</v>
      </c>
      <c r="J23"/>
      <c r="K23"/>
      <c r="L23"/>
      <c r="M2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"/>
      <c r="AL23" s="6"/>
      <c r="AM23" s="6"/>
      <c r="AN23" s="6"/>
      <c r="AO23" s="6"/>
      <c r="AP23" s="6"/>
      <c r="AQ23" s="6"/>
    </row>
    <row r="24" spans="1:60" ht="16.5" x14ac:dyDescent="0.3">
      <c r="A24" s="74">
        <v>21</v>
      </c>
      <c r="B24" s="149">
        <v>39</v>
      </c>
      <c r="C24" s="141">
        <f t="shared" si="0"/>
        <v>49.198515600485862</v>
      </c>
      <c r="D24" s="170">
        <f t="shared" si="1"/>
        <v>-9.6280076611997167E-2</v>
      </c>
      <c r="E24" s="141">
        <f t="shared" si="5"/>
        <v>0.81761754207938298</v>
      </c>
      <c r="F24" s="129">
        <f t="shared" si="3"/>
        <v>40.146849119632712</v>
      </c>
      <c r="G24" s="124">
        <f t="shared" si="4"/>
        <v>-1.1468491196327122</v>
      </c>
      <c r="H24" s="124">
        <f t="shared" si="6"/>
        <v>1.3152629032023271</v>
      </c>
      <c r="I24" s="124">
        <f>AVERAGE(H$8:H24)</f>
        <v>61.246410782987155</v>
      </c>
      <c r="J24"/>
      <c r="K24"/>
      <c r="L24"/>
      <c r="M24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"/>
      <c r="AL24" s="6"/>
      <c r="AM24" s="6"/>
      <c r="AN24" s="6"/>
      <c r="AO24" s="6"/>
      <c r="AP24" s="6"/>
      <c r="AQ24" s="6"/>
    </row>
    <row r="25" spans="1:60" ht="16.5" x14ac:dyDescent="0.3">
      <c r="A25" s="74">
        <v>22</v>
      </c>
      <c r="B25" s="149">
        <v>73</v>
      </c>
      <c r="C25" s="141">
        <f t="shared" si="0"/>
        <v>57.701676787859739</v>
      </c>
      <c r="D25" s="170">
        <f t="shared" si="1"/>
        <v>5.9233288081781144</v>
      </c>
      <c r="E25" s="141">
        <f t="shared" si="5"/>
        <v>1.0339820512176248</v>
      </c>
      <c r="F25" s="129">
        <f t="shared" si="3"/>
        <v>65.787113794924068</v>
      </c>
      <c r="G25" s="124">
        <f t="shared" si="4"/>
        <v>7.2128862050759324</v>
      </c>
      <c r="H25" s="124">
        <f t="shared" si="6"/>
        <v>52.025727407374688</v>
      </c>
      <c r="I25" s="124">
        <f>AVERAGE(H$8:H25)</f>
        <v>60.73415059545313</v>
      </c>
      <c r="J25"/>
      <c r="K25"/>
      <c r="L25"/>
      <c r="M2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"/>
      <c r="AL25" s="6"/>
      <c r="AM25" s="6"/>
      <c r="AN25" s="6"/>
      <c r="AO25" s="6"/>
      <c r="AP25" s="6"/>
      <c r="AQ25" s="6"/>
    </row>
    <row r="26" spans="1:60" ht="16.5" x14ac:dyDescent="0.3">
      <c r="A26" s="74">
        <v>23</v>
      </c>
      <c r="B26" s="149">
        <v>75</v>
      </c>
      <c r="C26" s="141">
        <f t="shared" si="0"/>
        <v>62.758789406146207</v>
      </c>
      <c r="D26" s="170">
        <f t="shared" si="1"/>
        <v>5.3169774752539611</v>
      </c>
      <c r="E26" s="141">
        <f t="shared" si="5"/>
        <v>1.2203165102716877</v>
      </c>
      <c r="F26" s="129">
        <f t="shared" si="3"/>
        <v>83.073982274779198</v>
      </c>
      <c r="G26" s="124">
        <f t="shared" si="4"/>
        <v>-8.0739822747791976</v>
      </c>
      <c r="H26" s="124">
        <f t="shared" si="6"/>
        <v>65.189189773448661</v>
      </c>
      <c r="I26" s="124">
        <f>AVERAGE(H$8:H26)</f>
        <v>60.968626341663416</v>
      </c>
      <c r="J26"/>
      <c r="K26"/>
      <c r="L26"/>
      <c r="M26"/>
      <c r="N26" s="65"/>
      <c r="O26" s="65"/>
      <c r="P26" s="65"/>
      <c r="Q26" s="65"/>
      <c r="R26" s="65"/>
      <c r="S26" s="65"/>
      <c r="T26" s="65"/>
      <c r="U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"/>
      <c r="AL26" s="6"/>
      <c r="AM26" s="6"/>
      <c r="AN26" s="6"/>
      <c r="AO26" s="6"/>
      <c r="AP26" s="6"/>
      <c r="AQ26" s="6"/>
    </row>
    <row r="27" spans="1:60" ht="16.5" x14ac:dyDescent="0.3">
      <c r="A27" s="74">
        <v>24</v>
      </c>
      <c r="B27" s="149">
        <v>56</v>
      </c>
      <c r="C27" s="141">
        <f t="shared" si="0"/>
        <v>63.734554900316624</v>
      </c>
      <c r="D27" s="170">
        <f t="shared" si="1"/>
        <v>2.278129088495481</v>
      </c>
      <c r="E27" s="141">
        <f t="shared" si="5"/>
        <v>0.97863197403131863</v>
      </c>
      <c r="F27" s="129">
        <f t="shared" si="3"/>
        <v>64.602123243076804</v>
      </c>
      <c r="G27" s="124">
        <f t="shared" si="4"/>
        <v>-8.6021232430768038</v>
      </c>
      <c r="H27" s="124">
        <f t="shared" si="6"/>
        <v>73.996524289082188</v>
      </c>
      <c r="I27" s="124">
        <f>AVERAGE(H$8:H27)</f>
        <v>61.620021239034351</v>
      </c>
      <c r="J27"/>
      <c r="K27"/>
      <c r="L27"/>
      <c r="M27"/>
      <c r="N27" s="65"/>
      <c r="O27" s="65"/>
      <c r="P27" s="65"/>
      <c r="Q27" s="65"/>
      <c r="R27" s="65"/>
      <c r="S27" s="65"/>
      <c r="T27" s="65"/>
      <c r="U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"/>
      <c r="AL27" s="6"/>
      <c r="AM27" s="6"/>
      <c r="AN27" s="6"/>
      <c r="AO27" s="6"/>
      <c r="AP27" s="6"/>
      <c r="AQ27" s="6"/>
    </row>
    <row r="28" spans="1:60" ht="16.5" x14ac:dyDescent="0.3">
      <c r="A28" s="74">
        <v>25</v>
      </c>
      <c r="B28" s="149">
        <v>60</v>
      </c>
      <c r="C28" s="141">
        <f t="shared" si="0"/>
        <v>69.710264970590771</v>
      </c>
      <c r="D28" s="170">
        <f t="shared" si="1"/>
        <v>4.8664357757405465</v>
      </c>
      <c r="E28" s="141">
        <f t="shared" si="5"/>
        <v>0.79727187973964508</v>
      </c>
      <c r="F28" s="129">
        <f t="shared" si="3"/>
        <v>59.45790638880856</v>
      </c>
      <c r="G28" s="124">
        <f t="shared" si="4"/>
        <v>0.54209361119144006</v>
      </c>
      <c r="H28" s="124">
        <f t="shared" si="6"/>
        <v>0.29386548329457618</v>
      </c>
      <c r="I28" s="124">
        <f>AVERAGE(H$8:H28)</f>
        <v>58.699728107808653</v>
      </c>
      <c r="J28"/>
      <c r="K28"/>
      <c r="L28"/>
      <c r="M28"/>
      <c r="N28" s="65"/>
      <c r="O28" s="65"/>
      <c r="P28" s="65"/>
      <c r="Q28" s="65"/>
      <c r="R28" s="65"/>
      <c r="S28" s="65"/>
      <c r="T28" s="65"/>
      <c r="U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"/>
      <c r="AL28" s="6"/>
      <c r="AM28" s="6"/>
      <c r="AN28" s="6"/>
      <c r="AO28" s="6"/>
      <c r="AP28" s="6"/>
      <c r="AQ28" s="6"/>
    </row>
    <row r="29" spans="1:60" ht="16.5" x14ac:dyDescent="0.3">
      <c r="A29" s="74">
        <v>26</v>
      </c>
      <c r="B29" s="149">
        <v>71</v>
      </c>
      <c r="C29" s="141">
        <f t="shared" si="0"/>
        <v>67.279657598865072</v>
      </c>
      <c r="D29" s="170">
        <f t="shared" si="1"/>
        <v>-0.24149442748582528</v>
      </c>
      <c r="E29" s="141">
        <f t="shared" si="5"/>
        <v>1.2603380364033296</v>
      </c>
      <c r="F29" s="129">
        <f t="shared" si="3"/>
        <v>84.490746935502131</v>
      </c>
      <c r="G29" s="124">
        <f t="shared" si="4"/>
        <v>-13.490746935502131</v>
      </c>
      <c r="H29" s="124">
        <f t="shared" si="6"/>
        <v>182.00025287776012</v>
      </c>
      <c r="I29" s="124">
        <f>AVERAGE(H$8:H29)</f>
        <v>64.304297415533725</v>
      </c>
      <c r="J29"/>
      <c r="K29"/>
      <c r="L29"/>
      <c r="M29"/>
      <c r="N29" s="65"/>
      <c r="O29" s="65"/>
      <c r="P29" s="65"/>
      <c r="Q29" s="65"/>
      <c r="R29" s="65"/>
      <c r="S29" s="65"/>
      <c r="T29" s="65"/>
      <c r="U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"/>
      <c r="AL29" s="6"/>
      <c r="AM29" s="6"/>
      <c r="AN29" s="6"/>
      <c r="AO29" s="6"/>
      <c r="AP29" s="6"/>
      <c r="AQ29" s="6"/>
    </row>
    <row r="30" spans="1:60" ht="16.5" x14ac:dyDescent="0.3">
      <c r="A30" s="74">
        <v>27</v>
      </c>
      <c r="B30" s="149">
        <v>84</v>
      </c>
      <c r="C30" s="141">
        <f t="shared" si="0"/>
        <v>68.233421317150217</v>
      </c>
      <c r="D30" s="170">
        <f t="shared" si="1"/>
        <v>0.59518627455385431</v>
      </c>
      <c r="E30" s="141">
        <f t="shared" si="5"/>
        <v>1.1995491659687894</v>
      </c>
      <c r="F30" s="129">
        <f t="shared" si="3"/>
        <v>82.563298831421704</v>
      </c>
      <c r="G30" s="124">
        <f t="shared" si="4"/>
        <v>1.4367011685782956</v>
      </c>
      <c r="H30" s="124">
        <f t="shared" si="6"/>
        <v>2.0641102477942401</v>
      </c>
      <c r="I30" s="124">
        <f>AVERAGE(H$8:H30)</f>
        <v>61.598202321284177</v>
      </c>
      <c r="J30"/>
      <c r="K30"/>
      <c r="L30"/>
      <c r="M30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"/>
      <c r="AL30" s="6"/>
      <c r="AM30" s="6"/>
      <c r="AN30" s="6"/>
      <c r="AO30" s="6"/>
      <c r="AP30" s="6"/>
      <c r="AQ30" s="6"/>
    </row>
    <row r="31" spans="1:60" ht="16.5" x14ac:dyDescent="0.3">
      <c r="A31" s="74">
        <v>28</v>
      </c>
      <c r="B31" s="149">
        <v>42</v>
      </c>
      <c r="C31" s="141">
        <f t="shared" si="0"/>
        <v>59.950930949763084</v>
      </c>
      <c r="D31" s="170">
        <f t="shared" si="1"/>
        <v>-5.6191873748048362</v>
      </c>
      <c r="E31" s="141">
        <f t="shared" si="5"/>
        <v>0.9006224075335636</v>
      </c>
      <c r="F31" s="129">
        <f>SUM(C31:D31)*E31</f>
        <v>48.932385703975122</v>
      </c>
      <c r="G31" s="124">
        <f t="shared" si="4"/>
        <v>-6.9323857039751218</v>
      </c>
      <c r="H31" s="124">
        <f t="shared" si="6"/>
        <v>48.057971548678644</v>
      </c>
      <c r="I31" s="124">
        <f>AVERAGE(H$8:H31)</f>
        <v>61.034026039092275</v>
      </c>
      <c r="J31"/>
      <c r="K31"/>
      <c r="L31"/>
      <c r="M31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"/>
      <c r="AL31" s="6"/>
      <c r="AM31" s="6"/>
      <c r="AN31" s="6"/>
      <c r="AO31" s="6"/>
      <c r="AP31" s="6"/>
      <c r="AQ31" s="6"/>
    </row>
    <row r="32" spans="1:60" ht="16.5" x14ac:dyDescent="0.3">
      <c r="A32" s="74">
        <v>29</v>
      </c>
      <c r="B32"/>
      <c r="C32"/>
      <c r="D32"/>
      <c r="E32" s="141"/>
      <c r="F32" s="124">
        <f>($C$31+$D$31*(A32-$A$31))*E28</f>
        <v>43.317171329539342</v>
      </c>
      <c r="G32" s="112"/>
      <c r="H32" s="112"/>
      <c r="I32"/>
      <c r="J32"/>
      <c r="K32"/>
      <c r="L32"/>
      <c r="M32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"/>
      <c r="AL32" s="6"/>
      <c r="AM32" s="6"/>
      <c r="AN32" s="6"/>
      <c r="AO32" s="6"/>
      <c r="AP32" s="6"/>
      <c r="AQ32" s="6"/>
      <c r="BD32"/>
      <c r="BE32"/>
      <c r="BF32"/>
      <c r="BG32"/>
      <c r="BH32"/>
    </row>
    <row r="33" spans="1:60" ht="16.5" x14ac:dyDescent="0.3">
      <c r="A33" s="74">
        <v>30</v>
      </c>
      <c r="B33"/>
      <c r="C33"/>
      <c r="D33"/>
      <c r="E33" s="141"/>
      <c r="F33" s="124">
        <f>($C$31+$D$31*(A33-$A$31))*E29</f>
        <v>61.394287429488195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"/>
      <c r="AL33" s="6"/>
      <c r="AM33" s="6"/>
      <c r="AN33" s="6"/>
      <c r="AO33" s="6"/>
      <c r="AP33" s="6"/>
      <c r="AQ33" s="6"/>
      <c r="BD33"/>
      <c r="BE33"/>
      <c r="BF33"/>
      <c r="BG33"/>
      <c r="BH33"/>
    </row>
    <row r="34" spans="1:60" ht="16.5" x14ac:dyDescent="0.3">
      <c r="A34" s="74">
        <v>31</v>
      </c>
      <c r="E34" s="141"/>
      <c r="F34" s="124">
        <f>($C$31+$D$31*(A34-$A$31))*E30</f>
        <v>51.69261463323231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"/>
      <c r="AL34" s="6"/>
      <c r="AM34" s="6"/>
      <c r="AN34" s="6"/>
      <c r="AO34" s="6"/>
      <c r="AP34" s="6"/>
      <c r="AQ34" s="6"/>
      <c r="BD34"/>
      <c r="BE34"/>
      <c r="BF34"/>
      <c r="BG34"/>
      <c r="BH34"/>
    </row>
    <row r="35" spans="1:60" ht="16.5" x14ac:dyDescent="0.3">
      <c r="A35" s="74">
        <v>32</v>
      </c>
      <c r="E35" s="141"/>
      <c r="F35" s="124">
        <f>($C$31+$D$31*(A35-$A$31))*E31</f>
        <v>33.750087518338312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"/>
      <c r="AL35" s="6"/>
      <c r="AM35" s="6"/>
      <c r="AN35" s="6"/>
      <c r="AO35" s="6"/>
      <c r="AP35" s="6"/>
      <c r="AQ35" s="6"/>
      <c r="BD35"/>
      <c r="BE35"/>
      <c r="BF35"/>
      <c r="BG35"/>
      <c r="BH35"/>
    </row>
    <row r="36" spans="1:60" x14ac:dyDescent="0.25">
      <c r="A36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"/>
      <c r="AL36" s="6"/>
      <c r="AM36" s="6"/>
      <c r="AN36" s="6"/>
      <c r="AO36" s="6"/>
      <c r="AP36" s="6"/>
      <c r="AQ36" s="6"/>
      <c r="BD36"/>
      <c r="BE36"/>
      <c r="BF36"/>
      <c r="BG36"/>
      <c r="BH36"/>
    </row>
    <row r="37" spans="1:60" x14ac:dyDescent="0.25">
      <c r="A37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"/>
      <c r="AL37" s="6"/>
      <c r="AM37" s="6"/>
      <c r="AN37" s="6"/>
      <c r="AO37" s="6"/>
      <c r="AP37" s="6"/>
      <c r="AQ37" s="6"/>
      <c r="BD37"/>
      <c r="BE37"/>
      <c r="BF37"/>
      <c r="BG37"/>
      <c r="BH37"/>
    </row>
    <row r="38" spans="1:60" x14ac:dyDescent="0.25">
      <c r="A38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"/>
      <c r="AL38" s="6"/>
      <c r="AM38" s="6"/>
      <c r="AN38" s="6"/>
      <c r="AO38" s="6"/>
      <c r="AP38" s="6"/>
      <c r="AQ38" s="6"/>
      <c r="BD38"/>
      <c r="BE38"/>
      <c r="BF38"/>
      <c r="BG38"/>
      <c r="BH38"/>
    </row>
    <row r="39" spans="1:60" x14ac:dyDescent="0.25">
      <c r="A39"/>
      <c r="B39" t="s">
        <v>139</v>
      </c>
      <c r="C39"/>
      <c r="D39"/>
      <c r="E39"/>
      <c r="F39" s="65"/>
      <c r="G39" s="65"/>
      <c r="H39" s="65"/>
      <c r="I39" s="65"/>
      <c r="J39" s="65"/>
      <c r="K39" s="65"/>
      <c r="L39" s="65"/>
      <c r="M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"/>
      <c r="AL39" s="6"/>
      <c r="AM39" s="6"/>
      <c r="AN39" s="6"/>
      <c r="AO39" s="6"/>
      <c r="AP39" s="6"/>
      <c r="AQ39" s="6"/>
      <c r="BD39"/>
      <c r="BE39"/>
      <c r="BF39"/>
      <c r="BG39"/>
      <c r="BH39"/>
    </row>
    <row r="40" spans="1:60" x14ac:dyDescent="0.25">
      <c r="A40"/>
      <c r="B40" s="57" t="s">
        <v>140</v>
      </c>
      <c r="C40"/>
      <c r="D40"/>
      <c r="E40"/>
      <c r="F40" s="65"/>
      <c r="G40" s="65"/>
      <c r="H40" s="65"/>
      <c r="I40" s="65"/>
      <c r="J40" s="65"/>
      <c r="K40" s="65"/>
      <c r="L40" s="65"/>
      <c r="M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"/>
      <c r="AL40" s="6"/>
      <c r="AM40" s="6"/>
      <c r="AN40" s="6"/>
      <c r="AO40" s="6"/>
      <c r="AP40" s="6"/>
      <c r="AQ40" s="6"/>
      <c r="BD40"/>
      <c r="BE40"/>
      <c r="BF40"/>
      <c r="BG40"/>
      <c r="BH40"/>
    </row>
    <row r="41" spans="1:60" x14ac:dyDescent="0.25">
      <c r="A41"/>
      <c r="B41" s="57" t="s">
        <v>141</v>
      </c>
      <c r="C41" s="123"/>
      <c r="D41"/>
      <c r="E41"/>
      <c r="F41" s="65"/>
      <c r="G41" s="65"/>
      <c r="H41" s="65"/>
      <c r="I41" s="65"/>
      <c r="J41" s="65"/>
      <c r="K41" s="65"/>
      <c r="L41" s="65"/>
      <c r="M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"/>
      <c r="AL41" s="6"/>
      <c r="AM41" s="6"/>
      <c r="AN41" s="6"/>
      <c r="AO41" s="6"/>
      <c r="AP41" s="6"/>
      <c r="AQ41" s="6"/>
      <c r="BD41"/>
      <c r="BE41"/>
      <c r="BF41"/>
      <c r="BG41"/>
      <c r="BH41"/>
    </row>
    <row r="42" spans="1:60" x14ac:dyDescent="0.25">
      <c r="A42"/>
      <c r="B42" s="57" t="s">
        <v>142</v>
      </c>
      <c r="C42"/>
      <c r="D42"/>
      <c r="E42"/>
      <c r="F42" s="65"/>
      <c r="G42" s="65"/>
      <c r="H42" s="65"/>
      <c r="I42" s="65"/>
      <c r="J42" s="65"/>
      <c r="K42" s="65"/>
      <c r="L42" s="65"/>
      <c r="M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"/>
      <c r="AL42" s="6"/>
      <c r="AM42" s="6"/>
      <c r="AN42" s="6"/>
      <c r="AO42" s="6"/>
      <c r="AP42" s="6"/>
      <c r="AQ42" s="6"/>
      <c r="BD42"/>
      <c r="BE42"/>
      <c r="BF42"/>
      <c r="BG42"/>
      <c r="BH42"/>
    </row>
    <row r="43" spans="1:60" x14ac:dyDescent="0.25">
      <c r="A43"/>
      <c r="B43" s="135" t="s">
        <v>123</v>
      </c>
      <c r="C43"/>
      <c r="D43"/>
      <c r="E43"/>
      <c r="F43" s="65"/>
      <c r="G43" s="65"/>
      <c r="H43" s="65"/>
      <c r="I43" s="65"/>
      <c r="J43" s="65"/>
      <c r="K43" s="65"/>
      <c r="L43" s="65"/>
      <c r="M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"/>
      <c r="AL43" s="6"/>
      <c r="AM43" s="6"/>
      <c r="AN43" s="6"/>
      <c r="AO43" s="6"/>
      <c r="AP43" s="6"/>
      <c r="AQ43" s="6"/>
      <c r="BD43"/>
      <c r="BE43"/>
      <c r="BF43"/>
      <c r="BG43"/>
      <c r="BH43"/>
    </row>
    <row r="44" spans="1:60" x14ac:dyDescent="0.25">
      <c r="A44"/>
      <c r="B44" t="s">
        <v>143</v>
      </c>
      <c r="C44"/>
      <c r="D44"/>
      <c r="E44"/>
      <c r="F44" s="65"/>
      <c r="G44" s="65"/>
      <c r="H44" s="65"/>
      <c r="I44" s="65"/>
      <c r="J44" s="65"/>
      <c r="K44" s="65"/>
      <c r="L44" s="65"/>
      <c r="M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"/>
      <c r="AL44" s="6"/>
      <c r="AM44" s="6"/>
      <c r="AN44" s="6"/>
      <c r="AO44" s="6"/>
      <c r="AP44" s="6"/>
      <c r="AQ44" s="6"/>
      <c r="BD44"/>
      <c r="BE44"/>
      <c r="BF44"/>
      <c r="BG44"/>
      <c r="BH44"/>
    </row>
    <row r="45" spans="1:60" x14ac:dyDescent="0.25">
      <c r="A45"/>
      <c r="B45" t="s">
        <v>129</v>
      </c>
      <c r="C45"/>
      <c r="D45"/>
      <c r="E45"/>
      <c r="F45" s="65"/>
      <c r="G45" s="65"/>
      <c r="H45" s="65"/>
      <c r="I45" s="65"/>
      <c r="J45" s="65"/>
      <c r="K45" s="65"/>
      <c r="L45" s="65"/>
      <c r="M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"/>
      <c r="AL45" s="6"/>
      <c r="AM45" s="6"/>
      <c r="AN45" s="6"/>
      <c r="AO45" s="6"/>
      <c r="AP45" s="6"/>
      <c r="AQ45" s="6"/>
      <c r="BD45"/>
      <c r="BE45"/>
      <c r="BF45"/>
      <c r="BG45"/>
      <c r="BH45"/>
    </row>
    <row r="46" spans="1:60" x14ac:dyDescent="0.25">
      <c r="A46"/>
      <c r="B46" t="s">
        <v>144</v>
      </c>
      <c r="C46"/>
      <c r="D46"/>
      <c r="E46"/>
      <c r="F46" s="65"/>
      <c r="G46" s="65"/>
      <c r="H46" s="65"/>
      <c r="I46" s="65"/>
      <c r="J46" s="65"/>
      <c r="K46" s="65"/>
      <c r="L46" s="65"/>
      <c r="M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"/>
      <c r="AL46" s="6"/>
      <c r="AM46" s="6"/>
      <c r="AN46" s="6"/>
      <c r="AO46" s="6"/>
      <c r="AP46" s="6"/>
      <c r="AQ46" s="6"/>
      <c r="BD46"/>
      <c r="BE46"/>
      <c r="BF46"/>
      <c r="BG46"/>
      <c r="BH46"/>
    </row>
    <row r="47" spans="1:60" x14ac:dyDescent="0.25">
      <c r="A47"/>
      <c r="B47" t="s">
        <v>145</v>
      </c>
      <c r="C47"/>
      <c r="D47"/>
      <c r="E47"/>
      <c r="F47" s="65"/>
      <c r="G47" s="65"/>
      <c r="H47" s="65"/>
      <c r="I47" s="65"/>
      <c r="J47" s="65"/>
      <c r="K47" s="65"/>
      <c r="L47" s="65"/>
      <c r="M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"/>
      <c r="AL47" s="6"/>
      <c r="AM47" s="6"/>
      <c r="AN47" s="6"/>
      <c r="AO47" s="6"/>
      <c r="AP47" s="6"/>
      <c r="AQ47" s="6"/>
      <c r="BD47"/>
      <c r="BE47"/>
      <c r="BF47"/>
      <c r="BG47"/>
      <c r="BH47"/>
    </row>
    <row r="48" spans="1:60" x14ac:dyDescent="0.25">
      <c r="A48"/>
      <c r="B48" t="s">
        <v>146</v>
      </c>
      <c r="C48"/>
      <c r="D48"/>
      <c r="E4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"/>
      <c r="AL48" s="6"/>
      <c r="AM48" s="6"/>
      <c r="AN48" s="6"/>
      <c r="AO48" s="6"/>
      <c r="AP48" s="6"/>
      <c r="AQ48" s="6"/>
      <c r="BD48"/>
      <c r="BE48"/>
      <c r="BF48"/>
      <c r="BG48"/>
      <c r="BH48"/>
    </row>
    <row r="49" spans="1:60" x14ac:dyDescent="0.25">
      <c r="A49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"/>
      <c r="AL49" s="6"/>
      <c r="AM49" s="6"/>
      <c r="AN49" s="6"/>
      <c r="AO49" s="6"/>
      <c r="AP49" s="6"/>
      <c r="AQ49" s="6"/>
      <c r="BD49"/>
      <c r="BE49"/>
      <c r="BF49"/>
      <c r="BG49"/>
      <c r="BH49"/>
    </row>
    <row r="50" spans="1:60" x14ac:dyDescent="0.25">
      <c r="A50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"/>
      <c r="AL50" s="6"/>
      <c r="AM50" s="6"/>
      <c r="AN50" s="6"/>
      <c r="AO50" s="6"/>
      <c r="AP50" s="6"/>
      <c r="AQ50" s="6"/>
      <c r="BD50"/>
      <c r="BE50"/>
      <c r="BF50"/>
      <c r="BG50"/>
      <c r="BH50"/>
    </row>
    <row r="51" spans="1:60" x14ac:dyDescent="0.25">
      <c r="A51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"/>
      <c r="AL51" s="6"/>
      <c r="AM51" s="6"/>
      <c r="AN51" s="6"/>
      <c r="AO51" s="6"/>
      <c r="AP51" s="6"/>
      <c r="AQ51" s="6"/>
      <c r="BD51"/>
      <c r="BE51"/>
      <c r="BF51"/>
      <c r="BG51"/>
      <c r="BH51"/>
    </row>
    <row r="52" spans="1:60" x14ac:dyDescent="0.25">
      <c r="A52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"/>
      <c r="AL52" s="6"/>
      <c r="AM52" s="6"/>
      <c r="AN52" s="6"/>
      <c r="AO52" s="6"/>
      <c r="AP52" s="6"/>
      <c r="AQ52" s="6"/>
      <c r="BD52"/>
      <c r="BE52"/>
      <c r="BF52"/>
      <c r="BG52"/>
      <c r="BH52"/>
    </row>
    <row r="53" spans="1:60" x14ac:dyDescent="0.25">
      <c r="A53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"/>
      <c r="AL53" s="6"/>
      <c r="AM53" s="6"/>
      <c r="AN53" s="6"/>
      <c r="AO53" s="6"/>
      <c r="AP53" s="6"/>
      <c r="AQ53" s="6"/>
      <c r="BD53"/>
      <c r="BE53"/>
      <c r="BF53"/>
      <c r="BG53"/>
      <c r="BH53"/>
    </row>
    <row r="54" spans="1:60" x14ac:dyDescent="0.25">
      <c r="A54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"/>
      <c r="AL54" s="6"/>
      <c r="AM54" s="6"/>
      <c r="AN54" s="6"/>
      <c r="AO54" s="6"/>
      <c r="AP54" s="6"/>
      <c r="AQ54" s="6"/>
      <c r="BD54"/>
      <c r="BE54"/>
      <c r="BF54"/>
      <c r="BG54"/>
      <c r="BH54"/>
    </row>
    <row r="55" spans="1:60" x14ac:dyDescent="0.25">
      <c r="A5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"/>
      <c r="AL55" s="6"/>
      <c r="AM55" s="6"/>
      <c r="AN55" s="6"/>
      <c r="AO55" s="6"/>
      <c r="AP55" s="6"/>
      <c r="AQ55" s="6"/>
      <c r="BD55"/>
      <c r="BE55"/>
      <c r="BF55"/>
      <c r="BG55"/>
      <c r="BH55"/>
    </row>
    <row r="56" spans="1:60" x14ac:dyDescent="0.25">
      <c r="A56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"/>
      <c r="AL56" s="6"/>
      <c r="AM56" s="6"/>
      <c r="AN56" s="6"/>
      <c r="AO56" s="6"/>
      <c r="AP56" s="6"/>
      <c r="AQ56" s="6"/>
      <c r="BD56"/>
      <c r="BE56"/>
      <c r="BF56"/>
      <c r="BG56"/>
      <c r="BH56"/>
    </row>
    <row r="57" spans="1:60" x14ac:dyDescent="0.25">
      <c r="A57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"/>
      <c r="AL57" s="6"/>
      <c r="AM57" s="6"/>
      <c r="AN57" s="6"/>
      <c r="AO57" s="6"/>
      <c r="AP57" s="6"/>
      <c r="AQ57" s="6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"/>
      <c r="AL58" s="6"/>
      <c r="AM58" s="6"/>
      <c r="AN58" s="6"/>
      <c r="AO58" s="6"/>
      <c r="AP58" s="6"/>
      <c r="AQ58" s="6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"/>
      <c r="AL59" s="6"/>
      <c r="AM59" s="6"/>
      <c r="AN59" s="6"/>
      <c r="AO59" s="6"/>
      <c r="AP59" s="6"/>
      <c r="AQ59" s="6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"/>
      <c r="AL60" s="6"/>
      <c r="AM60" s="6"/>
      <c r="AN60" s="6"/>
      <c r="AO60" s="6"/>
      <c r="AP60" s="6"/>
      <c r="AQ60" s="6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"/>
      <c r="AL61" s="6"/>
      <c r="AM61" s="6"/>
      <c r="AN61" s="6"/>
      <c r="AO61" s="6"/>
      <c r="AP61" s="6"/>
      <c r="AQ61" s="6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"/>
      <c r="AL62" s="6"/>
      <c r="AM62" s="6"/>
      <c r="AN62" s="6"/>
      <c r="AO62" s="6"/>
      <c r="AP62" s="6"/>
      <c r="AQ62" s="6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"/>
      <c r="AL63" s="6"/>
      <c r="AM63" s="6"/>
      <c r="AN63" s="6"/>
      <c r="AO63" s="6"/>
      <c r="AP63" s="6"/>
      <c r="AQ63" s="6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"/>
      <c r="AL64" s="6"/>
      <c r="AM64" s="6"/>
      <c r="AN64" s="6"/>
      <c r="AO64" s="6"/>
      <c r="AP64" s="6"/>
      <c r="AQ64" s="6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"/>
      <c r="AL65" s="6"/>
      <c r="AM65" s="6"/>
      <c r="AN65" s="6"/>
      <c r="AO65" s="6"/>
      <c r="AP65" s="6"/>
      <c r="AQ65" s="6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"/>
      <c r="AL66" s="6"/>
      <c r="AM66" s="6"/>
      <c r="AN66" s="6"/>
      <c r="AO66" s="6"/>
      <c r="AP66" s="6"/>
      <c r="AQ66" s="6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"/>
      <c r="AL67" s="6"/>
      <c r="AM67" s="6"/>
      <c r="AN67" s="6"/>
      <c r="AO67" s="6"/>
      <c r="AP67" s="6"/>
      <c r="AQ67" s="6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"/>
      <c r="AL68" s="6"/>
      <c r="AM68" s="6"/>
      <c r="AN68" s="6"/>
      <c r="AO68" s="6"/>
      <c r="AP68" s="6"/>
      <c r="AQ68" s="6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"/>
      <c r="AL69" s="6"/>
      <c r="AM69" s="6"/>
      <c r="AN69" s="6"/>
      <c r="AO69" s="6"/>
      <c r="AP69" s="6"/>
      <c r="AQ69" s="6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"/>
      <c r="AL70" s="6"/>
      <c r="AM70" s="6"/>
      <c r="AN70" s="6"/>
      <c r="AO70" s="6"/>
      <c r="AP70" s="6"/>
      <c r="AQ70" s="6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"/>
      <c r="AL71" s="6"/>
      <c r="AM71" s="6"/>
      <c r="AN71" s="6"/>
      <c r="AO71" s="6"/>
      <c r="AP71" s="6"/>
      <c r="AQ71" s="6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"/>
      <c r="AL72" s="6"/>
      <c r="AM72" s="6"/>
      <c r="AN72" s="6"/>
      <c r="AO72" s="6"/>
      <c r="AP72" s="6"/>
      <c r="AQ72" s="6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"/>
      <c r="AL73" s="6"/>
      <c r="AM73" s="6"/>
      <c r="AN73" s="6"/>
      <c r="AO73" s="6"/>
      <c r="AP73" s="6"/>
      <c r="AQ73" s="6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</row>
    <row r="89" spans="1:60" ht="16.5" x14ac:dyDescent="0.3">
      <c r="A89"/>
      <c r="B89"/>
      <c r="C89"/>
      <c r="D89"/>
      <c r="E89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spans="1:60" ht="16.5" x14ac:dyDescent="0.3">
      <c r="A90"/>
      <c r="B90"/>
      <c r="C90"/>
      <c r="D90"/>
      <c r="E90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66D0-702E-4D5E-B6E8-9E433487E108}">
  <dimension ref="A1:BP298"/>
  <sheetViews>
    <sheetView zoomScale="75" zoomScaleNormal="75" workbookViewId="0">
      <selection activeCell="X41" sqref="X41"/>
    </sheetView>
  </sheetViews>
  <sheetFormatPr defaultColWidth="9.140625" defaultRowHeight="15" x14ac:dyDescent="0.25"/>
  <cols>
    <col min="1" max="1" width="4.5703125" style="57" bestFit="1" customWidth="1"/>
    <col min="2" max="2" width="17" style="57" customWidth="1"/>
    <col min="3" max="3" width="14.140625" style="57" bestFit="1" customWidth="1"/>
    <col min="4" max="4" width="11.7109375" style="57" bestFit="1" customWidth="1"/>
    <col min="5" max="5" width="9" style="57" bestFit="1" customWidth="1"/>
    <col min="6" max="6" width="5.140625" style="57" bestFit="1" customWidth="1"/>
    <col min="7" max="8" width="11.85546875" style="57" bestFit="1" customWidth="1"/>
    <col min="9" max="9" width="12.85546875" style="57" bestFit="1" customWidth="1"/>
    <col min="10" max="11" width="9.7109375" style="57" customWidth="1"/>
    <col min="12" max="12" width="11" style="57" bestFit="1" customWidth="1"/>
    <col min="13" max="13" width="20.5703125" style="57" bestFit="1" customWidth="1"/>
    <col min="14" max="16" width="9.7109375" style="57" customWidth="1"/>
    <col min="17" max="17" width="9.140625" style="57"/>
    <col min="18" max="18" width="12.140625" style="57" bestFit="1" customWidth="1"/>
    <col min="19" max="19" width="13.85546875" style="57" bestFit="1" customWidth="1"/>
    <col min="20" max="20" width="12.42578125" style="57" bestFit="1" customWidth="1"/>
    <col min="21" max="21" width="12.42578125" style="57" customWidth="1"/>
    <col min="22" max="22" width="12.140625" style="57" bestFit="1" customWidth="1"/>
    <col min="23" max="26" width="9.28515625" style="57" bestFit="1" customWidth="1"/>
    <col min="27" max="28" width="9.140625" style="57"/>
    <col min="29" max="29" width="9.28515625" style="57" bestFit="1" customWidth="1"/>
    <col min="30" max="40" width="9.140625" style="57"/>
    <col min="41" max="41" width="9.140625" style="57" customWidth="1"/>
    <col min="42" max="44" width="9.140625" style="57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57"/>
  </cols>
  <sheetData>
    <row r="1" spans="1:68" customFormat="1" ht="17.25" thickBot="1" x14ac:dyDescent="0.35">
      <c r="A1" s="138" t="s">
        <v>4</v>
      </c>
      <c r="B1" s="139" t="s">
        <v>118</v>
      </c>
      <c r="C1" s="140" t="s">
        <v>147</v>
      </c>
      <c r="D1" s="140" t="s">
        <v>148</v>
      </c>
      <c r="E1" s="140" t="s">
        <v>149</v>
      </c>
      <c r="F1" s="140" t="s">
        <v>20</v>
      </c>
      <c r="G1" s="140" t="s">
        <v>150</v>
      </c>
      <c r="H1" s="140" t="s">
        <v>151</v>
      </c>
      <c r="I1" s="140" t="s">
        <v>156</v>
      </c>
      <c r="J1" s="112" t="s">
        <v>67</v>
      </c>
      <c r="K1" s="112" t="s">
        <v>19</v>
      </c>
      <c r="L1" s="112" t="s">
        <v>122</v>
      </c>
      <c r="M1" s="1" t="s">
        <v>157</v>
      </c>
      <c r="N1" s="1" t="s">
        <v>3</v>
      </c>
      <c r="O1" s="1" t="s">
        <v>2</v>
      </c>
      <c r="P1" s="1" t="s">
        <v>155</v>
      </c>
      <c r="Q1" s="1" t="s">
        <v>111</v>
      </c>
      <c r="R1" s="57" t="s">
        <v>120</v>
      </c>
      <c r="S1" s="57" t="s">
        <v>1</v>
      </c>
      <c r="T1" s="57" t="s">
        <v>114</v>
      </c>
      <c r="U1" s="57" t="s">
        <v>113</v>
      </c>
      <c r="V1" s="65" t="s">
        <v>24</v>
      </c>
    </row>
    <row r="2" spans="1:68" customFormat="1" ht="16.5" x14ac:dyDescent="0.3">
      <c r="A2" s="65">
        <v>0</v>
      </c>
      <c r="B2" s="65"/>
      <c r="C2" s="154">
        <f>INTERCEPT($C$5:$C$28,$A$5:$A$28)</f>
        <v>30.653007246376816</v>
      </c>
      <c r="D2" s="154">
        <f>SLOPE($C$5:$C$28,$A$5:$A$28)</f>
        <v>1.2613586956521738</v>
      </c>
      <c r="E2" s="65"/>
      <c r="F2" s="65"/>
      <c r="G2" s="65"/>
      <c r="H2" s="65"/>
      <c r="I2" s="65"/>
      <c r="J2" s="163">
        <f>C2</f>
        <v>30.653007246376816</v>
      </c>
      <c r="K2" s="163">
        <f>D2</f>
        <v>1.2613586956521738</v>
      </c>
      <c r="L2" s="140"/>
      <c r="M2" s="89"/>
      <c r="N2" s="89"/>
      <c r="O2" s="89"/>
      <c r="P2" s="89"/>
      <c r="Q2" s="89"/>
      <c r="R2" s="57"/>
      <c r="AP2" s="57"/>
      <c r="AQ2" s="57"/>
      <c r="AR2" s="57"/>
      <c r="BL2" s="57"/>
      <c r="BM2" s="57"/>
      <c r="BN2" s="57"/>
      <c r="BO2" s="57"/>
      <c r="BP2" s="57"/>
    </row>
    <row r="3" spans="1:68" customFormat="1" ht="16.5" x14ac:dyDescent="0.3">
      <c r="A3" s="74">
        <v>1</v>
      </c>
      <c r="B3" s="149">
        <v>21</v>
      </c>
      <c r="C3" s="172"/>
      <c r="D3" s="155">
        <f t="shared" ref="D3:D34" si="0">$C$2+$D$2*A3</f>
        <v>31.91436594202899</v>
      </c>
      <c r="E3" s="156">
        <f>B3/D3</f>
        <v>0.65801087943108616</v>
      </c>
      <c r="F3" s="157">
        <f t="shared" ref="F3:F34" si="1">IF(MOD(A3,$C$37)&gt;0,MOD(A3,$C$37),$C$37)</f>
        <v>1</v>
      </c>
      <c r="G3" s="158">
        <f>AVERAGEIF($F$3:$F$30,F3,$E$3:$E$30)</f>
        <v>0.84597858424179706</v>
      </c>
      <c r="H3" s="158">
        <f>G3/AVERAGE($G$3:$G$6)</f>
        <v>0.86089331338097475</v>
      </c>
      <c r="I3" s="150">
        <f>D3*VLOOKUP(F3,$F$3:$H$6,3,0)</f>
        <v>27.474864240286269</v>
      </c>
      <c r="J3" s="142">
        <f>(1-$C$38)*SUM(J2:K2)+$C$38*B3/L3</f>
        <v>24.393266475176794</v>
      </c>
      <c r="K3" s="142">
        <f>(1-$C$39)*K2+$C$39*(J3-J2)</f>
        <v>1.1668803779882901</v>
      </c>
      <c r="L3" s="143">
        <f>H3</f>
        <v>0.86089331338097475</v>
      </c>
      <c r="M3" s="164">
        <f>(J2+K2)*L3</f>
        <v>27.474864240286269</v>
      </c>
      <c r="N3" s="124">
        <f>B3-M3</f>
        <v>-6.4748642402862693</v>
      </c>
      <c r="O3" s="124">
        <f>ABS(N3)</f>
        <v>6.4748642402862693</v>
      </c>
      <c r="P3" s="124">
        <f>O3/B3</f>
        <v>0.30832686858506042</v>
      </c>
      <c r="Q3" s="124">
        <f>N3^2</f>
        <v>41.923866930137891</v>
      </c>
      <c r="R3" s="160">
        <f>SUM($N3:N3)</f>
        <v>-6.4748642402862693</v>
      </c>
      <c r="S3" s="123">
        <f>AVERAGE(O$3:O3)</f>
        <v>6.4748642402862693</v>
      </c>
      <c r="T3" s="123">
        <f>AVERAGE(P$3:P3)</f>
        <v>0.30832686858506042</v>
      </c>
      <c r="U3" s="123">
        <f>AVERAGE(Q$3:Q3)</f>
        <v>41.923866930137891</v>
      </c>
      <c r="V3" s="123">
        <f>R3/S3</f>
        <v>-1</v>
      </c>
      <c r="AP3" s="57"/>
      <c r="AQ3" s="57"/>
      <c r="AR3" s="57"/>
      <c r="BL3" s="57"/>
      <c r="BM3" s="57"/>
      <c r="BN3" s="57"/>
      <c r="BO3" s="57"/>
      <c r="BP3" s="57"/>
    </row>
    <row r="4" spans="1:68" customFormat="1" ht="16.5" x14ac:dyDescent="0.3">
      <c r="A4" s="74">
        <v>2</v>
      </c>
      <c r="B4" s="149">
        <v>27</v>
      </c>
      <c r="C4" s="172"/>
      <c r="D4" s="155">
        <f t="shared" si="0"/>
        <v>33.175724637681164</v>
      </c>
      <c r="E4" s="156">
        <f t="shared" ref="E4:E29" si="2">B4/D4</f>
        <v>0.81384808605908365</v>
      </c>
      <c r="F4" s="157">
        <f t="shared" si="1"/>
        <v>2</v>
      </c>
      <c r="G4" s="158">
        <f t="shared" ref="G4:G6" si="3">AVERAGEIF($F$3:$F$30,F4,$E$3:$E$30)</f>
        <v>1.1025441413126487</v>
      </c>
      <c r="H4" s="158">
        <f>G4/AVERAGE($G$3:$G$6)</f>
        <v>1.121982159647833</v>
      </c>
      <c r="I4" s="150">
        <f>D4*VLOOKUP(F4,$F$3:$H$6,3,0)</f>
        <v>37.222571176867334</v>
      </c>
      <c r="J4" s="142">
        <f>(1-$C$38)*(J3+K3)+$C$38*(B4/L4)</f>
        <v>24.064553761242284</v>
      </c>
      <c r="K4" s="142">
        <f>(1-$C$39)*K3+$C$39*(J4-J3)</f>
        <v>1.1480930823465625</v>
      </c>
      <c r="L4" s="143">
        <f t="shared" ref="L4:L6" si="4">H4</f>
        <v>1.121982159647833</v>
      </c>
      <c r="M4" s="164">
        <f t="shared" ref="M4:M30" si="5">(J4+K4)*L4</f>
        <v>28.288139956007932</v>
      </c>
      <c r="N4" s="124">
        <f t="shared" ref="N4:N30" si="6">B4-M4</f>
        <v>-1.2881399560079316</v>
      </c>
      <c r="O4" s="124">
        <f t="shared" ref="O4:O30" si="7">ABS(N4)</f>
        <v>1.2881399560079316</v>
      </c>
      <c r="P4" s="124">
        <f t="shared" ref="P4:P30" si="8">O4/B4</f>
        <v>4.7708887259553023E-2</v>
      </c>
      <c r="Q4" s="124">
        <f t="shared" ref="Q4:Q30" si="9">N4^2</f>
        <v>1.6593045462641161</v>
      </c>
      <c r="R4" s="160">
        <f>SUM($N4:N4)</f>
        <v>-1.2881399560079316</v>
      </c>
      <c r="S4" s="123">
        <f>AVERAGE(O$3:O4)</f>
        <v>3.8815020981471005</v>
      </c>
      <c r="T4" s="123">
        <f>AVERAGE(P$3:P4)</f>
        <v>0.17801787792230672</v>
      </c>
      <c r="U4" s="123">
        <f>AVERAGE(Q$3:Q4)</f>
        <v>21.791585738201004</v>
      </c>
      <c r="V4" s="123">
        <f t="shared" ref="V4:V30" si="10">R4/S4</f>
        <v>-0.33186635571389916</v>
      </c>
      <c r="AP4" s="57"/>
      <c r="AQ4" s="57"/>
      <c r="AR4" s="57"/>
      <c r="BL4" s="57"/>
      <c r="BM4" s="57"/>
      <c r="BN4" s="57"/>
      <c r="BO4" s="57"/>
      <c r="BP4" s="57"/>
    </row>
    <row r="5" spans="1:68" customFormat="1" ht="16.5" x14ac:dyDescent="0.3">
      <c r="A5" s="74">
        <v>3</v>
      </c>
      <c r="B5" s="149">
        <v>38</v>
      </c>
      <c r="C5" s="153">
        <f>AVERAGE(AVERAGE(B3:B6),AVERAGE(B4:B7))</f>
        <v>30.625</v>
      </c>
      <c r="D5" s="155">
        <f t="shared" si="0"/>
        <v>34.437083333333341</v>
      </c>
      <c r="E5" s="156">
        <f t="shared" si="2"/>
        <v>1.1034616268799378</v>
      </c>
      <c r="F5" s="157">
        <f t="shared" si="1"/>
        <v>3</v>
      </c>
      <c r="G5" s="158">
        <f t="shared" si="3"/>
        <v>1.1707796605485288</v>
      </c>
      <c r="H5" s="158">
        <f>G5/AVERAGE($G$3:$G$6)</f>
        <v>1.1914206813072159</v>
      </c>
      <c r="I5" s="150">
        <f>D5*VLOOKUP(F5,$F$3:$H$6,3,0)</f>
        <v>41.029053287233381</v>
      </c>
      <c r="J5" s="142">
        <f>(1-$C$38)*(J4+K4)+$C$38*(B5/L5)</f>
        <v>31.894695632030448</v>
      </c>
      <c r="K5" s="142">
        <f>(1-$C$39)*K4+$C$39*(J5-J4)</f>
        <v>1.2320314388145666</v>
      </c>
      <c r="L5" s="143">
        <f t="shared" si="4"/>
        <v>1.1914206813072159</v>
      </c>
      <c r="M5" s="164">
        <f t="shared" si="5"/>
        <v>39.467867736224356</v>
      </c>
      <c r="N5" s="124">
        <f t="shared" si="6"/>
        <v>-1.4678677362243562</v>
      </c>
      <c r="O5" s="124">
        <f t="shared" si="7"/>
        <v>1.4678677362243562</v>
      </c>
      <c r="P5" s="124">
        <f t="shared" si="8"/>
        <v>3.8628098321693581E-2</v>
      </c>
      <c r="Q5" s="124">
        <f t="shared" si="9"/>
        <v>2.1546356910484161</v>
      </c>
      <c r="R5" s="160">
        <f>SUM($N5:N5)</f>
        <v>-1.4678677362243562</v>
      </c>
      <c r="S5" s="123">
        <f>AVERAGE(O$3:O5)</f>
        <v>3.0769573108395192</v>
      </c>
      <c r="T5" s="123">
        <f>AVERAGE(P$3:P5)</f>
        <v>0.13155461805543567</v>
      </c>
      <c r="U5" s="123">
        <f>AVERAGE(Q$3:Q5)</f>
        <v>15.245935722483475</v>
      </c>
      <c r="V5" s="123">
        <f t="shared" si="10"/>
        <v>-0.47705170658473067</v>
      </c>
      <c r="Z5">
        <f>INTERCEPT($B$3:$B$30,$A$3:$A$30)</f>
        <v>29.30952380952381</v>
      </c>
      <c r="AA5">
        <f>SLOPE($B$3:$B$30,$A$3:$A$30)</f>
        <v>1.30623973727422</v>
      </c>
      <c r="AP5" s="57"/>
      <c r="AQ5" s="57"/>
      <c r="AR5" s="57"/>
      <c r="BL5" s="57"/>
      <c r="BM5" s="57"/>
      <c r="BN5" s="57"/>
      <c r="BO5" s="57"/>
      <c r="BP5" s="57"/>
    </row>
    <row r="6" spans="1:68" customFormat="1" ht="16.5" x14ac:dyDescent="0.3">
      <c r="A6" s="74">
        <v>4</v>
      </c>
      <c r="B6" s="149">
        <v>28</v>
      </c>
      <c r="C6" s="153">
        <f t="shared" ref="C6:C28" si="11">AVERAGE(AVERAGE(B4:B7),AVERAGE(B5:B8))</f>
        <v>35.5</v>
      </c>
      <c r="D6" s="155">
        <f t="shared" si="0"/>
        <v>35.698442028985511</v>
      </c>
      <c r="E6" s="156">
        <f t="shared" si="2"/>
        <v>0.78434795494059029</v>
      </c>
      <c r="F6" s="157">
        <f t="shared" si="1"/>
        <v>4</v>
      </c>
      <c r="G6" s="158">
        <f t="shared" si="3"/>
        <v>0.81139876393568344</v>
      </c>
      <c r="H6" s="158">
        <f>G6/AVERAGE($G$3:$G$6)</f>
        <v>0.82570384566397614</v>
      </c>
      <c r="I6" s="150">
        <f t="shared" ref="I6:I34" si="12">D6*VLOOKUP(F6,$F$3:$H$6,3,0)</f>
        <v>29.476340867545851</v>
      </c>
      <c r="J6" s="142">
        <f>(1-$C$38)*(J5+K5)+$C$38*(B6/L6)</f>
        <v>33.910463354429773</v>
      </c>
      <c r="K6" s="142">
        <f>(1-$C$39)*K5+$C$39*(J6-J5)</f>
        <v>1.2418765533342691</v>
      </c>
      <c r="L6" s="143">
        <f t="shared" si="4"/>
        <v>0.82570384566397614</v>
      </c>
      <c r="M6" s="164">
        <f t="shared" si="5"/>
        <v>29.025422245928031</v>
      </c>
      <c r="N6" s="124">
        <f t="shared" si="6"/>
        <v>-1.0254222459280307</v>
      </c>
      <c r="O6" s="124">
        <f t="shared" si="7"/>
        <v>1.0254222459280307</v>
      </c>
      <c r="P6" s="124">
        <f t="shared" si="8"/>
        <v>3.6622223068858241E-2</v>
      </c>
      <c r="Q6" s="124">
        <f t="shared" si="9"/>
        <v>1.0514907824440867</v>
      </c>
      <c r="R6" s="160">
        <f>SUM($N6:N6)</f>
        <v>-1.0254222459280307</v>
      </c>
      <c r="S6" s="123">
        <f>AVERAGE(O$3:O6)</f>
        <v>2.5640735446116469</v>
      </c>
      <c r="T6" s="123">
        <f>AVERAGE(P$3:P6)</f>
        <v>0.10782151930879132</v>
      </c>
      <c r="U6" s="123">
        <f>AVERAGE(Q$3:Q6)</f>
        <v>11.697324487473628</v>
      </c>
      <c r="V6" s="123">
        <f t="shared" si="10"/>
        <v>-0.3999192020380759</v>
      </c>
      <c r="Z6">
        <f>Z5+4*AA5</f>
        <v>34.53448275862069</v>
      </c>
      <c r="AP6" s="57"/>
      <c r="AQ6" s="57"/>
      <c r="AR6" s="57"/>
      <c r="BL6" s="57"/>
      <c r="BM6" s="57"/>
      <c r="BN6" s="57"/>
      <c r="BO6" s="57"/>
      <c r="BP6" s="57"/>
    </row>
    <row r="7" spans="1:68" customFormat="1" ht="16.5" x14ac:dyDescent="0.3">
      <c r="A7" s="74">
        <v>5</v>
      </c>
      <c r="B7" s="149">
        <v>38</v>
      </c>
      <c r="C7" s="153">
        <f t="shared" si="11"/>
        <v>39.375</v>
      </c>
      <c r="D7" s="155">
        <f t="shared" si="0"/>
        <v>36.959800724637688</v>
      </c>
      <c r="E7" s="156">
        <f t="shared" si="2"/>
        <v>1.028144071530908</v>
      </c>
      <c r="F7" s="157">
        <f t="shared" si="1"/>
        <v>1</v>
      </c>
      <c r="G7" s="159">
        <f>AVERAGE(G3:G6)</f>
        <v>0.98267528750966449</v>
      </c>
      <c r="H7" s="159">
        <f>AVERAGE(H3:H6)</f>
        <v>0.99999999999999989</v>
      </c>
      <c r="I7" s="150">
        <f t="shared" si="12"/>
        <v>31.818445307733892</v>
      </c>
      <c r="J7" s="141">
        <f>(1-$C$38)*(J6+K6)+$C$38*(B7/L7)</f>
        <v>44.14019647889134</v>
      </c>
      <c r="K7" s="141">
        <f>(1-$C$39)*K6+$C$39*(J7-J6)</f>
        <v>1.3547799356106089</v>
      </c>
      <c r="L7" s="141">
        <f>(1-$C$40)*L3+$C$40*(B3/SUM(J2:K2))</f>
        <v>0.86089331338097475</v>
      </c>
      <c r="M7" s="164">
        <f t="shared" si="5"/>
        <v>39.166320987669884</v>
      </c>
      <c r="N7" s="124">
        <f t="shared" si="6"/>
        <v>-1.1663209876698843</v>
      </c>
      <c r="O7" s="124">
        <f t="shared" si="7"/>
        <v>1.1663209876698843</v>
      </c>
      <c r="P7" s="124">
        <f t="shared" si="8"/>
        <v>3.0692657570260115E-2</v>
      </c>
      <c r="Q7" s="124">
        <f t="shared" si="9"/>
        <v>1.3603046462792545</v>
      </c>
      <c r="R7" s="160">
        <f>SUM($N7:N7)</f>
        <v>-1.1663209876698843</v>
      </c>
      <c r="S7" s="123">
        <f>AVERAGE(O$3:O7)</f>
        <v>2.2845230332232944</v>
      </c>
      <c r="T7" s="123">
        <f>AVERAGE(P$3:P7)</f>
        <v>9.2395746961085073E-2</v>
      </c>
      <c r="U7" s="123">
        <f>AVERAGE(Q$3:Q7)</f>
        <v>9.6299205192347532</v>
      </c>
      <c r="V7" s="123">
        <f t="shared" si="10"/>
        <v>-0.51053150732487518</v>
      </c>
      <c r="AP7" s="57"/>
      <c r="AQ7" s="57"/>
      <c r="AR7" s="57"/>
      <c r="BL7" s="57"/>
      <c r="BM7" s="57"/>
      <c r="BN7" s="57"/>
      <c r="BO7" s="57"/>
      <c r="BP7" s="57"/>
    </row>
    <row r="8" spans="1:68" customFormat="1" ht="16.5" x14ac:dyDescent="0.3">
      <c r="A8" s="74">
        <v>6</v>
      </c>
      <c r="B8" s="149">
        <v>49</v>
      </c>
      <c r="C8" s="153">
        <f t="shared" si="11"/>
        <v>41.375</v>
      </c>
      <c r="D8" s="155">
        <f t="shared" si="0"/>
        <v>38.221159420289858</v>
      </c>
      <c r="E8" s="156">
        <f t="shared" si="2"/>
        <v>1.2820123916489083</v>
      </c>
      <c r="F8" s="157">
        <f t="shared" si="1"/>
        <v>2</v>
      </c>
      <c r="G8" s="157"/>
      <c r="H8" s="157"/>
      <c r="I8" s="150">
        <f t="shared" si="12"/>
        <v>42.88345899062093</v>
      </c>
      <c r="J8" s="141">
        <f t="shared" ref="J8:J30" si="13">(1-$C$38)*(J7+K7)+$C$38*(B8/L8)</f>
        <v>43.672708677810071</v>
      </c>
      <c r="K8" s="141">
        <f t="shared" ref="K8:K30" si="14">(1-$C$39)*K7+$C$39*(J8-J7)</f>
        <v>1.331889028389583</v>
      </c>
      <c r="L8" s="141">
        <f t="shared" ref="L8:L30" si="15">(1-$C$40)*L4+$C$40*(B4/SUM(J3:K3))</f>
        <v>1.121982159647833</v>
      </c>
      <c r="M8" s="164">
        <f t="shared" si="5"/>
        <v>50.494355728483796</v>
      </c>
      <c r="N8" s="124">
        <f t="shared" si="6"/>
        <v>-1.4943557284837965</v>
      </c>
      <c r="O8" s="124">
        <f t="shared" si="7"/>
        <v>1.4943557284837965</v>
      </c>
      <c r="P8" s="124">
        <f t="shared" si="8"/>
        <v>3.0497055683342787E-2</v>
      </c>
      <c r="Q8" s="124">
        <f t="shared" si="9"/>
        <v>2.2330990432523383</v>
      </c>
      <c r="R8" s="160">
        <f>SUM($N8:N8)</f>
        <v>-1.4943557284837965</v>
      </c>
      <c r="S8" s="123">
        <f>AVERAGE(O$3:O8)</f>
        <v>2.1528284824333781</v>
      </c>
      <c r="T8" s="123">
        <f>AVERAGE(P$3:P8)</f>
        <v>8.2079298414794694E-2</v>
      </c>
      <c r="U8" s="123">
        <f>AVERAGE(Q$3:Q8)</f>
        <v>8.3971169399043504</v>
      </c>
      <c r="V8" s="123">
        <f t="shared" si="10"/>
        <v>-0.69413598931704079</v>
      </c>
      <c r="AP8" s="57"/>
      <c r="AQ8" s="57"/>
      <c r="AR8" s="57"/>
      <c r="BL8" s="57"/>
      <c r="BM8" s="57"/>
      <c r="BN8" s="57"/>
      <c r="BO8" s="57"/>
      <c r="BP8" s="57"/>
    </row>
    <row r="9" spans="1:68" customFormat="1" ht="16.5" x14ac:dyDescent="0.3">
      <c r="A9" s="74">
        <v>7</v>
      </c>
      <c r="B9" s="149">
        <v>47</v>
      </c>
      <c r="C9" s="153">
        <f t="shared" si="11"/>
        <v>42.75</v>
      </c>
      <c r="D9" s="155">
        <f t="shared" si="0"/>
        <v>39.482518115942035</v>
      </c>
      <c r="E9" s="156">
        <f t="shared" si="2"/>
        <v>1.1904002642886802</v>
      </c>
      <c r="F9" s="157">
        <f t="shared" si="1"/>
        <v>3</v>
      </c>
      <c r="G9" s="157"/>
      <c r="H9" s="157"/>
      <c r="I9" s="150">
        <f t="shared" si="12"/>
        <v>47.040288633420154</v>
      </c>
      <c r="J9" s="141">
        <f t="shared" si="13"/>
        <v>39.448702492248188</v>
      </c>
      <c r="K9" s="141">
        <f t="shared" si="14"/>
        <v>1.2620971535121923</v>
      </c>
      <c r="L9" s="141">
        <f t="shared" si="15"/>
        <v>1.1914206813072159</v>
      </c>
      <c r="M9" s="164">
        <f t="shared" si="5"/>
        <v>48.503688650513396</v>
      </c>
      <c r="N9" s="124">
        <f t="shared" si="6"/>
        <v>-1.5036886505133964</v>
      </c>
      <c r="O9" s="124">
        <f t="shared" si="7"/>
        <v>1.5036886505133964</v>
      </c>
      <c r="P9" s="124">
        <f t="shared" si="8"/>
        <v>3.1993375542838223E-2</v>
      </c>
      <c r="Q9" s="124">
        <f t="shared" si="9"/>
        <v>2.2610795576827991</v>
      </c>
      <c r="R9" s="160">
        <f>SUM($N9:N9)</f>
        <v>-1.5036886505133964</v>
      </c>
      <c r="S9" s="123">
        <f>AVERAGE(O$3:O9)</f>
        <v>2.0600942207305235</v>
      </c>
      <c r="T9" s="123">
        <f>AVERAGE(P$3:P9)</f>
        <v>7.4924166575943779E-2</v>
      </c>
      <c r="U9" s="123">
        <f>AVERAGE(Q$3:Q9)</f>
        <v>7.5205401710155568</v>
      </c>
      <c r="V9" s="123">
        <f t="shared" si="10"/>
        <v>-0.72991256195077237</v>
      </c>
      <c r="AP9" s="57"/>
      <c r="AQ9" s="57"/>
      <c r="AR9" s="57"/>
      <c r="BL9" s="57"/>
      <c r="BM9" s="57"/>
      <c r="BN9" s="57"/>
      <c r="BO9" s="57"/>
      <c r="BP9" s="57"/>
    </row>
    <row r="10" spans="1:68" customFormat="1" ht="16.5" x14ac:dyDescent="0.3">
      <c r="A10" s="74">
        <v>8</v>
      </c>
      <c r="B10" s="149">
        <v>35</v>
      </c>
      <c r="C10" s="153">
        <f t="shared" si="11"/>
        <v>44</v>
      </c>
      <c r="D10" s="155">
        <f t="shared" si="0"/>
        <v>40.743876811594205</v>
      </c>
      <c r="E10" s="156">
        <f t="shared" si="2"/>
        <v>0.85902478455462761</v>
      </c>
      <c r="F10" s="157">
        <f t="shared" si="1"/>
        <v>4</v>
      </c>
      <c r="G10" s="157"/>
      <c r="H10" s="157"/>
      <c r="I10" s="150">
        <f t="shared" si="12"/>
        <v>33.642375770592636</v>
      </c>
      <c r="J10" s="141">
        <f t="shared" si="13"/>
        <v>42.388079193037214</v>
      </c>
      <c r="K10" s="141">
        <f t="shared" si="14"/>
        <v>1.2831667525219073</v>
      </c>
      <c r="L10" s="141">
        <f t="shared" si="15"/>
        <v>0.82570384566397614</v>
      </c>
      <c r="M10" s="164">
        <f t="shared" si="5"/>
        <v>36.059515722185495</v>
      </c>
      <c r="N10" s="124">
        <f t="shared" si="6"/>
        <v>-1.0595157221854947</v>
      </c>
      <c r="O10" s="124">
        <f t="shared" si="7"/>
        <v>1.0595157221854947</v>
      </c>
      <c r="P10" s="124">
        <f t="shared" si="8"/>
        <v>3.027187777672842E-2</v>
      </c>
      <c r="Q10" s="124">
        <f t="shared" si="9"/>
        <v>1.1225735655582505</v>
      </c>
      <c r="R10" s="160">
        <f>SUM($N10:N10)</f>
        <v>-1.0595157221854947</v>
      </c>
      <c r="S10" s="123">
        <f>AVERAGE(O$3:O10)</f>
        <v>1.935021908412395</v>
      </c>
      <c r="T10" s="123">
        <f>AVERAGE(P$3:P10)</f>
        <v>6.9342630476041861E-2</v>
      </c>
      <c r="U10" s="123">
        <f>AVERAGE(Q$3:Q10)</f>
        <v>6.7207943453333936</v>
      </c>
      <c r="V10" s="123">
        <f t="shared" si="10"/>
        <v>-0.54754714537303784</v>
      </c>
      <c r="AP10" s="57"/>
      <c r="AQ10" s="57"/>
      <c r="AR10" s="57"/>
      <c r="BL10" s="57"/>
      <c r="BM10" s="57"/>
      <c r="BN10" s="57"/>
      <c r="BO10" s="57"/>
      <c r="BP10" s="57"/>
    </row>
    <row r="11" spans="1:68" customFormat="1" ht="16.5" x14ac:dyDescent="0.3">
      <c r="A11" s="74">
        <v>9</v>
      </c>
      <c r="B11" s="149">
        <v>42</v>
      </c>
      <c r="C11" s="153">
        <f t="shared" si="11"/>
        <v>45.875</v>
      </c>
      <c r="D11" s="155">
        <f t="shared" si="0"/>
        <v>42.005235507246383</v>
      </c>
      <c r="E11" s="156">
        <f t="shared" si="2"/>
        <v>0.99987536060247828</v>
      </c>
      <c r="F11" s="157">
        <f t="shared" si="1"/>
        <v>1</v>
      </c>
      <c r="G11" s="157"/>
      <c r="H11" s="157"/>
      <c r="I11" s="150">
        <f t="shared" si="12"/>
        <v>36.162026375181505</v>
      </c>
      <c r="J11" s="141">
        <f t="shared" si="13"/>
        <v>48.786532950353589</v>
      </c>
      <c r="K11" s="141">
        <f t="shared" si="14"/>
        <v>1.3474238086492578</v>
      </c>
      <c r="L11" s="141">
        <f t="shared" si="15"/>
        <v>0.86089331338097475</v>
      </c>
      <c r="M11" s="164">
        <f t="shared" si="5"/>
        <v>43.159988147156476</v>
      </c>
      <c r="N11" s="124">
        <f t="shared" si="6"/>
        <v>-1.1599881471564757</v>
      </c>
      <c r="O11" s="124">
        <f t="shared" si="7"/>
        <v>1.1599881471564757</v>
      </c>
      <c r="P11" s="124">
        <f t="shared" si="8"/>
        <v>2.7618765408487518E-2</v>
      </c>
      <c r="Q11" s="124">
        <f t="shared" si="9"/>
        <v>1.3455725015435136</v>
      </c>
      <c r="R11" s="160">
        <f>SUM($N11:N11)</f>
        <v>-1.1599881471564757</v>
      </c>
      <c r="S11" s="123">
        <f>AVERAGE(O$3:O11)</f>
        <v>1.8489070460506261</v>
      </c>
      <c r="T11" s="123">
        <f>AVERAGE(P$3:P11)</f>
        <v>6.4706645468535828E-2</v>
      </c>
      <c r="U11" s="123">
        <f>AVERAGE(Q$3:Q11)</f>
        <v>6.1235474738011852</v>
      </c>
      <c r="V11" s="123">
        <f t="shared" si="10"/>
        <v>-0.62739127401470962</v>
      </c>
      <c r="AP11" s="57"/>
      <c r="AQ11" s="57"/>
      <c r="AR11" s="57"/>
      <c r="BL11" s="57"/>
      <c r="BM11" s="57"/>
      <c r="BN11" s="57"/>
      <c r="BO11" s="57"/>
      <c r="BP11" s="57"/>
    </row>
    <row r="12" spans="1:68" customFormat="1" ht="16.5" x14ac:dyDescent="0.3">
      <c r="A12" s="74">
        <v>10</v>
      </c>
      <c r="B12" s="149">
        <v>55</v>
      </c>
      <c r="C12" s="153">
        <f t="shared" si="11"/>
        <v>46.625</v>
      </c>
      <c r="D12" s="155">
        <f t="shared" si="0"/>
        <v>43.266594202898553</v>
      </c>
      <c r="E12" s="156">
        <f t="shared" si="2"/>
        <v>1.2711885696867584</v>
      </c>
      <c r="F12" s="157">
        <f t="shared" si="1"/>
        <v>2</v>
      </c>
      <c r="G12" s="157"/>
      <c r="H12" s="157"/>
      <c r="I12" s="150">
        <f t="shared" si="12"/>
        <v>48.544346804374527</v>
      </c>
      <c r="J12" s="141">
        <f t="shared" si="13"/>
        <v>49.020387291419468</v>
      </c>
      <c r="K12" s="141">
        <f t="shared" si="14"/>
        <v>1.3334354057085935</v>
      </c>
      <c r="L12" s="141">
        <f t="shared" si="15"/>
        <v>1.121982159647833</v>
      </c>
      <c r="M12" s="164">
        <f t="shared" si="5"/>
        <v>56.496090736247808</v>
      </c>
      <c r="N12" s="124">
        <f t="shared" si="6"/>
        <v>-1.4960907362478082</v>
      </c>
      <c r="O12" s="124">
        <f t="shared" si="7"/>
        <v>1.4960907362478082</v>
      </c>
      <c r="P12" s="124">
        <f t="shared" si="8"/>
        <v>2.7201649749960147E-2</v>
      </c>
      <c r="Q12" s="124">
        <f t="shared" si="9"/>
        <v>2.2382874910865089</v>
      </c>
      <c r="R12" s="160">
        <f>SUM($N12:N12)</f>
        <v>-1.4960907362478082</v>
      </c>
      <c r="S12" s="123">
        <f>AVERAGE(O$3:O12)</f>
        <v>1.8136254150703444</v>
      </c>
      <c r="T12" s="123">
        <f>AVERAGE(P$3:P12)</f>
        <v>6.0956145896678263E-2</v>
      </c>
      <c r="U12" s="123">
        <f>AVERAGE(Q$3:Q12)</f>
        <v>5.7350214755297175</v>
      </c>
      <c r="V12" s="123">
        <f t="shared" si="10"/>
        <v>-0.82491716526247505</v>
      </c>
      <c r="AP12" s="57"/>
      <c r="AQ12" s="57"/>
      <c r="AR12" s="57"/>
      <c r="BL12" s="57"/>
      <c r="BM12" s="57"/>
      <c r="BN12" s="57"/>
      <c r="BO12" s="57"/>
      <c r="BP12" s="57"/>
    </row>
    <row r="13" spans="1:68" customFormat="1" ht="16.5" x14ac:dyDescent="0.3">
      <c r="A13" s="74">
        <v>11</v>
      </c>
      <c r="B13" s="149">
        <v>56</v>
      </c>
      <c r="C13" s="153">
        <f t="shared" si="11"/>
        <v>45.375</v>
      </c>
      <c r="D13" s="155">
        <f t="shared" si="0"/>
        <v>44.52795289855073</v>
      </c>
      <c r="E13" s="156">
        <f t="shared" si="2"/>
        <v>1.2576369753082148</v>
      </c>
      <c r="F13" s="157">
        <f t="shared" si="1"/>
        <v>3</v>
      </c>
      <c r="G13" s="157"/>
      <c r="H13" s="157"/>
      <c r="I13" s="150">
        <f t="shared" si="12"/>
        <v>53.051523979606927</v>
      </c>
      <c r="J13" s="141">
        <f t="shared" si="13"/>
        <v>47.002709352465921</v>
      </c>
      <c r="K13" s="141">
        <f t="shared" si="14"/>
        <v>1.2913394924049526</v>
      </c>
      <c r="L13" s="141">
        <f t="shared" si="15"/>
        <v>1.1914206813072159</v>
      </c>
      <c r="M13" s="164">
        <f t="shared" si="5"/>
        <v>57.538528577840019</v>
      </c>
      <c r="N13" s="124">
        <f t="shared" si="6"/>
        <v>-1.5385285778400188</v>
      </c>
      <c r="O13" s="124">
        <f t="shared" si="7"/>
        <v>1.5385285778400188</v>
      </c>
      <c r="P13" s="124">
        <f t="shared" si="8"/>
        <v>2.747372460428605E-2</v>
      </c>
      <c r="Q13" s="124">
        <f t="shared" si="9"/>
        <v>2.367070184830431</v>
      </c>
      <c r="R13" s="160">
        <f>SUM($N13:N13)</f>
        <v>-1.5385285778400188</v>
      </c>
      <c r="S13" s="123">
        <f>AVERAGE(O$3:O13)</f>
        <v>1.7886166116857694</v>
      </c>
      <c r="T13" s="123">
        <f>AVERAGE(P$3:P13)</f>
        <v>5.7912289415551703E-2</v>
      </c>
      <c r="U13" s="123">
        <f>AVERAGE(Q$3:Q13)</f>
        <v>5.4288440854661459</v>
      </c>
      <c r="V13" s="123">
        <f t="shared" si="10"/>
        <v>-0.86017795417317366</v>
      </c>
      <c r="AP13" s="57"/>
      <c r="AQ13" s="57"/>
      <c r="AR13" s="57"/>
      <c r="BL13" s="57"/>
      <c r="BM13" s="57"/>
      <c r="BN13" s="57"/>
      <c r="BO13" s="57"/>
      <c r="BP13" s="57"/>
    </row>
    <row r="14" spans="1:68" customFormat="1" ht="16.5" x14ac:dyDescent="0.3">
      <c r="A14" s="74">
        <v>12</v>
      </c>
      <c r="B14" s="149">
        <v>32</v>
      </c>
      <c r="C14" s="153">
        <f t="shared" si="11"/>
        <v>44.5</v>
      </c>
      <c r="D14" s="155">
        <f t="shared" si="0"/>
        <v>45.7893115942029</v>
      </c>
      <c r="E14" s="156">
        <f t="shared" si="2"/>
        <v>0.69885304858025687</v>
      </c>
      <c r="F14" s="157">
        <f t="shared" si="1"/>
        <v>4</v>
      </c>
      <c r="G14" s="157"/>
      <c r="H14" s="157"/>
      <c r="I14" s="150">
        <f t="shared" si="12"/>
        <v>37.808410673639422</v>
      </c>
      <c r="J14" s="141">
        <f t="shared" si="13"/>
        <v>38.754815262205454</v>
      </c>
      <c r="K14" s="141">
        <f t="shared" si="14"/>
        <v>1.1715098392185879</v>
      </c>
      <c r="L14" s="141">
        <f t="shared" si="15"/>
        <v>0.82570384566397614</v>
      </c>
      <c r="M14" s="164">
        <f t="shared" si="5"/>
        <v>32.967320179475976</v>
      </c>
      <c r="N14" s="124">
        <f t="shared" si="6"/>
        <v>-0.96732017947597626</v>
      </c>
      <c r="O14" s="124">
        <f t="shared" si="7"/>
        <v>0.96732017947597626</v>
      </c>
      <c r="P14" s="124">
        <f t="shared" si="8"/>
        <v>3.0228755608624258E-2</v>
      </c>
      <c r="Q14" s="124">
        <f t="shared" si="9"/>
        <v>0.93570832962143491</v>
      </c>
      <c r="R14" s="160">
        <f>SUM($N14:N14)</f>
        <v>-0.96732017947597626</v>
      </c>
      <c r="S14" s="123">
        <f>AVERAGE(O$3:O14)</f>
        <v>1.7201752423349532</v>
      </c>
      <c r="T14" s="123">
        <f>AVERAGE(P$3:P14)</f>
        <v>5.5605328264974413E-2</v>
      </c>
      <c r="U14" s="123">
        <f>AVERAGE(Q$3:Q14)</f>
        <v>5.05441610581242</v>
      </c>
      <c r="V14" s="123">
        <f t="shared" si="10"/>
        <v>-0.56233815931622344</v>
      </c>
      <c r="AP14" s="57"/>
      <c r="AQ14" s="57"/>
      <c r="AR14" s="57"/>
      <c r="BL14" s="57"/>
      <c r="BM14" s="57"/>
      <c r="BN14" s="57"/>
      <c r="BO14" s="57"/>
      <c r="BP14" s="57"/>
    </row>
    <row r="15" spans="1:68" customFormat="1" ht="16.5" x14ac:dyDescent="0.3">
      <c r="A15" s="74">
        <v>13</v>
      </c>
      <c r="B15" s="149">
        <v>35</v>
      </c>
      <c r="C15" s="153">
        <f t="shared" si="11"/>
        <v>43.75</v>
      </c>
      <c r="D15" s="155">
        <f t="shared" si="0"/>
        <v>47.050670289855077</v>
      </c>
      <c r="E15" s="156">
        <f t="shared" si="2"/>
        <v>0.74387888173288352</v>
      </c>
      <c r="F15" s="157">
        <f t="shared" si="1"/>
        <v>1</v>
      </c>
      <c r="G15" s="157"/>
      <c r="H15" s="157"/>
      <c r="I15" s="150">
        <f t="shared" si="12"/>
        <v>40.505607442629127</v>
      </c>
      <c r="J15" s="141">
        <f t="shared" si="13"/>
        <v>40.655444125294657</v>
      </c>
      <c r="K15" s="141">
        <f t="shared" si="14"/>
        <v>1.1806688643126755</v>
      </c>
      <c r="L15" s="141">
        <f t="shared" si="15"/>
        <v>0.86089331338097475</v>
      </c>
      <c r="M15" s="164">
        <f t="shared" si="5"/>
        <v>36.016429930603891</v>
      </c>
      <c r="N15" s="124">
        <f t="shared" si="6"/>
        <v>-1.0164299306038913</v>
      </c>
      <c r="O15" s="124">
        <f t="shared" si="7"/>
        <v>1.0164299306038913</v>
      </c>
      <c r="P15" s="124">
        <f t="shared" si="8"/>
        <v>2.9040855160111179E-2</v>
      </c>
      <c r="Q15" s="124">
        <f t="shared" si="9"/>
        <v>1.0331298038274312</v>
      </c>
      <c r="R15" s="160">
        <f>SUM($N15:N15)</f>
        <v>-1.0164299306038913</v>
      </c>
      <c r="S15" s="123">
        <f>AVERAGE(O$3:O15)</f>
        <v>1.6660409875864099</v>
      </c>
      <c r="T15" s="123">
        <f>AVERAGE(P$3:P15)</f>
        <v>5.3561907256908015E-2</v>
      </c>
      <c r="U15" s="123">
        <f>AVERAGE(Q$3:Q15)</f>
        <v>4.7450863902751133</v>
      </c>
      <c r="V15" s="123">
        <f t="shared" si="10"/>
        <v>-0.61008698956223828</v>
      </c>
      <c r="AP15" s="57"/>
      <c r="AQ15" s="57"/>
      <c r="AR15" s="57"/>
      <c r="BL15" s="57"/>
      <c r="BM15" s="57"/>
      <c r="BN15" s="57"/>
      <c r="BO15" s="57"/>
      <c r="BP15" s="57"/>
    </row>
    <row r="16" spans="1:68" customFormat="1" ht="16.5" x14ac:dyDescent="0.3">
      <c r="A16" s="74">
        <v>14</v>
      </c>
      <c r="B16" s="149">
        <v>55</v>
      </c>
      <c r="C16" s="153">
        <f t="shared" si="11"/>
        <v>44.75</v>
      </c>
      <c r="D16" s="155">
        <f t="shared" si="0"/>
        <v>48.312028985507254</v>
      </c>
      <c r="E16" s="156">
        <f t="shared" si="2"/>
        <v>1.1384328324628845</v>
      </c>
      <c r="F16" s="157">
        <f t="shared" si="1"/>
        <v>2</v>
      </c>
      <c r="G16" s="157"/>
      <c r="H16" s="157"/>
      <c r="I16" s="150">
        <f t="shared" si="12"/>
        <v>54.205234618128138</v>
      </c>
      <c r="J16" s="141">
        <f t="shared" si="13"/>
        <v>49.020387291419468</v>
      </c>
      <c r="K16" s="141">
        <f t="shared" si="14"/>
        <v>1.2709160619016158</v>
      </c>
      <c r="L16" s="141">
        <f t="shared" si="15"/>
        <v>1.121982159647833</v>
      </c>
      <c r="M16" s="164">
        <f t="shared" si="5"/>
        <v>56.425945147863494</v>
      </c>
      <c r="N16" s="124">
        <f t="shared" si="6"/>
        <v>-1.4259451478634944</v>
      </c>
      <c r="O16" s="124">
        <f t="shared" si="7"/>
        <v>1.4259451478634944</v>
      </c>
      <c r="P16" s="124">
        <f t="shared" si="8"/>
        <v>2.5926275415699897E-2</v>
      </c>
      <c r="Q16" s="124">
        <f t="shared" si="9"/>
        <v>2.033319564715443</v>
      </c>
      <c r="R16" s="160">
        <f>SUM($N16:N16)</f>
        <v>-1.4259451478634944</v>
      </c>
      <c r="S16" s="123">
        <f>AVERAGE(O$3:O16)</f>
        <v>1.6488912847490589</v>
      </c>
      <c r="T16" s="123">
        <f>AVERAGE(P$3:P16)</f>
        <v>5.1587933553964578E-2</v>
      </c>
      <c r="U16" s="123">
        <f>AVERAGE(Q$3:Q16)</f>
        <v>4.5513887598779936</v>
      </c>
      <c r="V16" s="123">
        <f t="shared" si="10"/>
        <v>-0.86479027516996421</v>
      </c>
      <c r="AP16" s="65"/>
      <c r="AQ16" s="65"/>
      <c r="AR16" s="65"/>
      <c r="AS16" s="6"/>
      <c r="AT16" s="6"/>
      <c r="AU16" s="6"/>
      <c r="AV16" s="6"/>
      <c r="AW16" s="6"/>
      <c r="AX16" s="6"/>
      <c r="AY16" s="6"/>
      <c r="BL16" s="57"/>
      <c r="BM16" s="57"/>
      <c r="BN16" s="57"/>
      <c r="BO16" s="57"/>
      <c r="BP16" s="57"/>
    </row>
    <row r="17" spans="1:68" ht="16.5" x14ac:dyDescent="0.3">
      <c r="A17" s="74">
        <v>15</v>
      </c>
      <c r="B17" s="149">
        <v>50</v>
      </c>
      <c r="C17" s="153">
        <f t="shared" si="11"/>
        <v>47.625</v>
      </c>
      <c r="D17" s="155">
        <f t="shared" si="0"/>
        <v>49.573387681159424</v>
      </c>
      <c r="E17" s="156">
        <f t="shared" si="2"/>
        <v>1.0086056720913328</v>
      </c>
      <c r="F17" s="157">
        <f t="shared" si="1"/>
        <v>3</v>
      </c>
      <c r="G17" s="157"/>
      <c r="H17" s="157"/>
      <c r="I17" s="150">
        <f t="shared" si="12"/>
        <v>59.062759325793706</v>
      </c>
      <c r="J17" s="141">
        <f t="shared" si="13"/>
        <v>41.966704778987435</v>
      </c>
      <c r="K17" s="141">
        <f t="shared" si="14"/>
        <v>1.1663443736801624</v>
      </c>
      <c r="L17" s="141">
        <f t="shared" si="15"/>
        <v>1.1914206813072159</v>
      </c>
      <c r="M17" s="164">
        <f t="shared" si="5"/>
        <v>51.389606808328857</v>
      </c>
      <c r="N17" s="124">
        <f t="shared" si="6"/>
        <v>-1.3896068083288569</v>
      </c>
      <c r="O17" s="124">
        <f t="shared" si="7"/>
        <v>1.3896068083288569</v>
      </c>
      <c r="P17" s="124">
        <f t="shared" si="8"/>
        <v>2.7792136166577136E-2</v>
      </c>
      <c r="Q17" s="124">
        <f t="shared" si="9"/>
        <v>1.9310070817539122</v>
      </c>
      <c r="R17" s="160">
        <f>SUM($N17:N17)</f>
        <v>-1.3896068083288569</v>
      </c>
      <c r="S17" s="123">
        <f>AVERAGE(O$3:O17)</f>
        <v>1.6316056529877121</v>
      </c>
      <c r="T17" s="123">
        <f>AVERAGE(P$3:P17)</f>
        <v>5.0001547061472085E-2</v>
      </c>
      <c r="U17" s="123">
        <f>AVERAGE(Q$3:Q17)</f>
        <v>4.3766966480030556</v>
      </c>
      <c r="V17" s="123">
        <f t="shared" si="10"/>
        <v>-0.85168055515392493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65"/>
      <c r="AQ17" s="65"/>
      <c r="AR17" s="65"/>
      <c r="AS17" s="6"/>
      <c r="AT17" s="6"/>
      <c r="AU17" s="6"/>
      <c r="AV17" s="6"/>
      <c r="AW17" s="6"/>
      <c r="AX17" s="6"/>
      <c r="AY17" s="6"/>
    </row>
    <row r="18" spans="1:68" ht="16.5" x14ac:dyDescent="0.3">
      <c r="A18" s="74">
        <v>16</v>
      </c>
      <c r="B18" s="149">
        <v>46</v>
      </c>
      <c r="C18" s="153">
        <f t="shared" si="11"/>
        <v>47.5</v>
      </c>
      <c r="D18" s="155">
        <f t="shared" si="0"/>
        <v>50.834746376811594</v>
      </c>
      <c r="E18" s="156">
        <f t="shared" si="2"/>
        <v>0.90489287895774817</v>
      </c>
      <c r="F18" s="157">
        <f t="shared" si="1"/>
        <v>4</v>
      </c>
      <c r="G18" s="157"/>
      <c r="H18" s="157"/>
      <c r="I18" s="150">
        <f t="shared" si="12"/>
        <v>41.974445576686215</v>
      </c>
      <c r="J18" s="141">
        <f t="shared" si="13"/>
        <v>55.710046939420344</v>
      </c>
      <c r="K18" s="141">
        <f t="shared" si="14"/>
        <v>1.3243337205026302</v>
      </c>
      <c r="L18" s="141">
        <f t="shared" si="15"/>
        <v>0.82570384566397614</v>
      </c>
      <c r="M18" s="164">
        <f t="shared" si="5"/>
        <v>47.093507445961507</v>
      </c>
      <c r="N18" s="124">
        <f t="shared" si="6"/>
        <v>-1.0935074459615066</v>
      </c>
      <c r="O18" s="124">
        <f t="shared" si="7"/>
        <v>1.0935074459615066</v>
      </c>
      <c r="P18" s="124">
        <f t="shared" si="8"/>
        <v>2.3771900999163188E-2</v>
      </c>
      <c r="Q18" s="124">
        <f t="shared" si="9"/>
        <v>1.1957585343732573</v>
      </c>
      <c r="R18" s="160">
        <f>SUM($N18:N18)</f>
        <v>-1.0935074459615066</v>
      </c>
      <c r="S18" s="123">
        <f>AVERAGE(O$3:O18)</f>
        <v>1.5979745150485742</v>
      </c>
      <c r="T18" s="123">
        <f>AVERAGE(P$3:P18)</f>
        <v>4.8362194182577777E-2</v>
      </c>
      <c r="U18" s="123">
        <f>AVERAGE(Q$3:Q18)</f>
        <v>4.1778880159011926</v>
      </c>
      <c r="V18" s="123">
        <f t="shared" si="10"/>
        <v>-0.68430843900427718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65"/>
      <c r="AQ18" s="65"/>
      <c r="AR18" s="65"/>
      <c r="AS18" s="6"/>
      <c r="AT18" s="6"/>
      <c r="AU18" s="6"/>
      <c r="AV18" s="6"/>
      <c r="AW18" s="6"/>
      <c r="AX18" s="6"/>
      <c r="AY18" s="6"/>
    </row>
    <row r="19" spans="1:68" ht="16.5" x14ac:dyDescent="0.3">
      <c r="A19" s="74">
        <v>17</v>
      </c>
      <c r="B19" s="149">
        <v>44</v>
      </c>
      <c r="C19" s="153">
        <f t="shared" si="11"/>
        <v>47.375</v>
      </c>
      <c r="D19" s="155">
        <f t="shared" si="0"/>
        <v>52.096105072463772</v>
      </c>
      <c r="E19" s="156">
        <f t="shared" si="2"/>
        <v>0.84459289113452174</v>
      </c>
      <c r="F19" s="157">
        <f t="shared" si="1"/>
        <v>1</v>
      </c>
      <c r="G19" s="157"/>
      <c r="H19" s="157"/>
      <c r="I19" s="150">
        <f t="shared" si="12"/>
        <v>44.849188510076743</v>
      </c>
      <c r="J19" s="141">
        <f t="shared" si="13"/>
        <v>51.109701186084706</v>
      </c>
      <c r="K19" s="141">
        <f t="shared" si="14"/>
        <v>1.2499092627683601</v>
      </c>
      <c r="L19" s="141">
        <f t="shared" si="15"/>
        <v>0.86089331338097475</v>
      </c>
      <c r="M19" s="164">
        <f t="shared" si="5"/>
        <v>45.076038526650223</v>
      </c>
      <c r="N19" s="124">
        <f t="shared" si="6"/>
        <v>-1.0760385266502226</v>
      </c>
      <c r="O19" s="124">
        <f t="shared" si="7"/>
        <v>1.0760385266502226</v>
      </c>
      <c r="P19" s="124">
        <f t="shared" si="8"/>
        <v>2.4455421060232331E-2</v>
      </c>
      <c r="Q19" s="124">
        <f t="shared" si="9"/>
        <v>1.1578589108355819</v>
      </c>
      <c r="R19" s="160">
        <f>SUM($N19:N19)</f>
        <v>-1.0760385266502226</v>
      </c>
      <c r="S19" s="123">
        <f>AVERAGE(O$3:O19)</f>
        <v>1.5672723980839653</v>
      </c>
      <c r="T19" s="123">
        <f>AVERAGE(P$3:P19)</f>
        <v>4.6955913410675107E-2</v>
      </c>
      <c r="U19" s="123">
        <f>AVERAGE(Q$3:Q19)</f>
        <v>4.0002392450149804</v>
      </c>
      <c r="V19" s="123">
        <f t="shared" si="10"/>
        <v>-0.68656764960941696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65"/>
      <c r="AQ19" s="65"/>
      <c r="AR19" s="65"/>
      <c r="AS19" s="6"/>
      <c r="AT19" s="6"/>
      <c r="AU19" s="6"/>
      <c r="AV19" s="6"/>
      <c r="AW19" s="6"/>
      <c r="AX19" s="6"/>
      <c r="AY19" s="6"/>
    </row>
    <row r="20" spans="1:68" ht="16.5" x14ac:dyDescent="0.3">
      <c r="A20" s="74">
        <v>18</v>
      </c>
      <c r="B20" s="149">
        <v>45</v>
      </c>
      <c r="C20" s="153">
        <f t="shared" si="11"/>
        <v>48.875</v>
      </c>
      <c r="D20" s="155">
        <f t="shared" si="0"/>
        <v>53.357463768115949</v>
      </c>
      <c r="E20" s="156">
        <f t="shared" si="2"/>
        <v>0.84336842162445513</v>
      </c>
      <c r="F20" s="157">
        <f t="shared" si="1"/>
        <v>2</v>
      </c>
      <c r="G20" s="157"/>
      <c r="H20" s="157"/>
      <c r="I20" s="150">
        <f t="shared" si="12"/>
        <v>59.866122431881735</v>
      </c>
      <c r="J20" s="141">
        <f t="shared" si="13"/>
        <v>40.107589602070476</v>
      </c>
      <c r="K20" s="141">
        <f t="shared" si="14"/>
        <v>1.0960022013488786</v>
      </c>
      <c r="L20" s="141">
        <f t="shared" si="15"/>
        <v>1.121982159647833</v>
      </c>
      <c r="M20" s="164">
        <f t="shared" si="5"/>
        <v>46.229694916848203</v>
      </c>
      <c r="N20" s="124">
        <f t="shared" si="6"/>
        <v>-1.229694916848203</v>
      </c>
      <c r="O20" s="124">
        <f t="shared" si="7"/>
        <v>1.229694916848203</v>
      </c>
      <c r="P20" s="124">
        <f t="shared" si="8"/>
        <v>2.7326553707737844E-2</v>
      </c>
      <c r="Q20" s="124">
        <f t="shared" si="9"/>
        <v>1.5121495885223089</v>
      </c>
      <c r="R20" s="160">
        <f>SUM($N20:N20)</f>
        <v>-1.229694916848203</v>
      </c>
      <c r="S20" s="123">
        <f>AVERAGE(O$3:O20)</f>
        <v>1.5485180935708673</v>
      </c>
      <c r="T20" s="123">
        <f>AVERAGE(P$3:P20)</f>
        <v>4.5865393427178588E-2</v>
      </c>
      <c r="U20" s="123">
        <f>AVERAGE(Q$3:Q20)</f>
        <v>3.8620120418764987</v>
      </c>
      <c r="V20" s="123">
        <f t="shared" si="10"/>
        <v>-0.79411078369290389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"/>
      <c r="AT20" s="6"/>
      <c r="AU20" s="6"/>
      <c r="AV20" s="6"/>
      <c r="AW20" s="6"/>
      <c r="AX20" s="6"/>
      <c r="AY20" s="6"/>
    </row>
    <row r="21" spans="1:68" ht="16.5" x14ac:dyDescent="0.3">
      <c r="A21" s="74">
        <v>19</v>
      </c>
      <c r="B21" s="149">
        <v>59</v>
      </c>
      <c r="C21" s="153">
        <f t="shared" si="11"/>
        <v>48.625</v>
      </c>
      <c r="D21" s="155">
        <f t="shared" si="0"/>
        <v>54.618822463768119</v>
      </c>
      <c r="E21" s="156">
        <f t="shared" si="2"/>
        <v>1.0802136944482494</v>
      </c>
      <c r="F21" s="157">
        <f t="shared" si="1"/>
        <v>3</v>
      </c>
      <c r="G21" s="157"/>
      <c r="H21" s="157"/>
      <c r="I21" s="150">
        <f t="shared" si="12"/>
        <v>65.073994671980486</v>
      </c>
      <c r="J21" s="141">
        <f t="shared" si="13"/>
        <v>49.520711639205167</v>
      </c>
      <c r="K21" s="141">
        <f t="shared" si="14"/>
        <v>1.2004799433807676</v>
      </c>
      <c r="L21" s="141">
        <f t="shared" si="15"/>
        <v>1.1914206813072159</v>
      </c>
      <c r="M21" s="164">
        <f t="shared" si="5"/>
        <v>60.430276632038364</v>
      </c>
      <c r="N21" s="124">
        <f t="shared" si="6"/>
        <v>-1.430276632038364</v>
      </c>
      <c r="O21" s="124">
        <f t="shared" si="7"/>
        <v>1.430276632038364</v>
      </c>
      <c r="P21" s="124">
        <f t="shared" si="8"/>
        <v>2.4241976814209559E-2</v>
      </c>
      <c r="Q21" s="124">
        <f t="shared" si="9"/>
        <v>2.0456912441550057</v>
      </c>
      <c r="R21" s="160">
        <f>SUM($N21:N21)</f>
        <v>-1.430276632038364</v>
      </c>
      <c r="S21" s="123">
        <f>AVERAGE(O$3:O21)</f>
        <v>1.5422948587533671</v>
      </c>
      <c r="T21" s="123">
        <f>AVERAGE(P$3:P21)</f>
        <v>4.4727318868601276E-2</v>
      </c>
      <c r="U21" s="123">
        <f>AVERAGE(Q$3:Q21)</f>
        <v>3.7664162104174728</v>
      </c>
      <c r="V21" s="123">
        <f t="shared" si="10"/>
        <v>-0.92736912395237625</v>
      </c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"/>
      <c r="AT21" s="6"/>
      <c r="AU21" s="6"/>
      <c r="AV21" s="6"/>
      <c r="AW21" s="6"/>
      <c r="AX21" s="6"/>
      <c r="AY21" s="6"/>
    </row>
    <row r="22" spans="1:68" ht="16.5" x14ac:dyDescent="0.3">
      <c r="A22" s="74">
        <v>20</v>
      </c>
      <c r="B22" s="149">
        <v>49</v>
      </c>
      <c r="C22" s="153">
        <f t="shared" si="11"/>
        <v>51.5</v>
      </c>
      <c r="D22" s="155">
        <f t="shared" si="0"/>
        <v>55.880181159420289</v>
      </c>
      <c r="E22" s="156">
        <f t="shared" si="2"/>
        <v>0.87687618370828369</v>
      </c>
      <c r="F22" s="157">
        <f t="shared" si="1"/>
        <v>4</v>
      </c>
      <c r="G22" s="157"/>
      <c r="H22" s="157"/>
      <c r="I22" s="150">
        <f t="shared" si="12"/>
        <v>46.140480479733</v>
      </c>
      <c r="J22" s="141">
        <f t="shared" si="13"/>
        <v>59.343310870252104</v>
      </c>
      <c r="K22" s="141">
        <f t="shared" si="14"/>
        <v>1.3087890182156681</v>
      </c>
      <c r="L22" s="141">
        <f t="shared" si="15"/>
        <v>0.82570384566397614</v>
      </c>
      <c r="M22" s="164">
        <f t="shared" si="5"/>
        <v>50.080672125503462</v>
      </c>
      <c r="N22" s="124">
        <f t="shared" si="6"/>
        <v>-1.0806721255034617</v>
      </c>
      <c r="O22" s="124">
        <f t="shared" si="7"/>
        <v>1.0806721255034617</v>
      </c>
      <c r="P22" s="124">
        <f t="shared" si="8"/>
        <v>2.2054533173540034E-2</v>
      </c>
      <c r="Q22" s="124">
        <f t="shared" si="9"/>
        <v>1.1678522428401696</v>
      </c>
      <c r="R22" s="160">
        <f>SUM($N22:N22)</f>
        <v>-1.0806721255034617</v>
      </c>
      <c r="S22" s="123">
        <f>AVERAGE(O$3:O22)</f>
        <v>1.5192137220908719</v>
      </c>
      <c r="T22" s="123">
        <f>AVERAGE(P$3:P22)</f>
        <v>4.3593679583848209E-2</v>
      </c>
      <c r="U22" s="123">
        <f>AVERAGE(Q$3:Q22)</f>
        <v>3.6364880120386074</v>
      </c>
      <c r="V22" s="123">
        <f t="shared" si="10"/>
        <v>-0.71133646951012808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"/>
      <c r="AT22" s="6"/>
      <c r="AU22" s="6"/>
      <c r="AV22" s="6"/>
      <c r="AW22" s="6"/>
      <c r="AX22" s="6"/>
      <c r="AY22" s="6"/>
    </row>
    <row r="23" spans="1:68" ht="16.5" x14ac:dyDescent="0.3">
      <c r="A23" s="74">
        <v>21</v>
      </c>
      <c r="B23" s="149">
        <v>39</v>
      </c>
      <c r="C23" s="153">
        <f t="shared" si="11"/>
        <v>57</v>
      </c>
      <c r="D23" s="155">
        <f t="shared" si="0"/>
        <v>57.141539855072466</v>
      </c>
      <c r="E23" s="156">
        <f t="shared" si="2"/>
        <v>0.68251573371868035</v>
      </c>
      <c r="F23" s="157">
        <f t="shared" si="1"/>
        <v>1</v>
      </c>
      <c r="G23" s="157"/>
      <c r="H23" s="157"/>
      <c r="I23" s="150">
        <f t="shared" si="12"/>
        <v>49.192769577524359</v>
      </c>
      <c r="J23" s="141">
        <f t="shared" si="13"/>
        <v>45.301780596756899</v>
      </c>
      <c r="K23" s="141">
        <f t="shared" si="14"/>
        <v>1.1159618459815952</v>
      </c>
      <c r="L23" s="141">
        <f t="shared" si="15"/>
        <v>0.86089331338097475</v>
      </c>
      <c r="M23" s="164">
        <f t="shared" si="5"/>
        <v>39.960724091193839</v>
      </c>
      <c r="N23" s="124">
        <f t="shared" si="6"/>
        <v>-0.96072409119383906</v>
      </c>
      <c r="O23" s="124">
        <f t="shared" si="7"/>
        <v>0.96072409119383906</v>
      </c>
      <c r="P23" s="124">
        <f t="shared" si="8"/>
        <v>2.4633951056252285E-2</v>
      </c>
      <c r="Q23" s="124">
        <f t="shared" si="9"/>
        <v>0.922990779400228</v>
      </c>
      <c r="R23" s="160">
        <f>SUM($N23:N23)</f>
        <v>-0.96072409119383906</v>
      </c>
      <c r="S23" s="123">
        <f>AVERAGE(O$3:O23)</f>
        <v>1.4926189777624419</v>
      </c>
      <c r="T23" s="123">
        <f>AVERAGE(P$3:P23)</f>
        <v>4.2690835368248407E-2</v>
      </c>
      <c r="U23" s="123">
        <f>AVERAGE(Q$3:Q23)</f>
        <v>3.5072738581034466</v>
      </c>
      <c r="V23" s="123">
        <f t="shared" si="10"/>
        <v>-0.64364992372939223</v>
      </c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"/>
      <c r="AT23" s="6"/>
      <c r="AU23" s="6"/>
      <c r="AV23" s="6"/>
      <c r="AW23" s="6"/>
      <c r="AX23" s="6"/>
      <c r="AY23" s="6"/>
    </row>
    <row r="24" spans="1:68" ht="16.5" x14ac:dyDescent="0.3">
      <c r="A24" s="74">
        <v>22</v>
      </c>
      <c r="B24" s="149">
        <v>73</v>
      </c>
      <c r="C24" s="153">
        <f t="shared" si="11"/>
        <v>59.875</v>
      </c>
      <c r="D24" s="155">
        <f t="shared" si="0"/>
        <v>58.402898550724643</v>
      </c>
      <c r="E24" s="156">
        <f t="shared" si="2"/>
        <v>1.2499379621817459</v>
      </c>
      <c r="F24" s="157">
        <f t="shared" si="1"/>
        <v>2</v>
      </c>
      <c r="G24" s="157"/>
      <c r="H24" s="157"/>
      <c r="I24" s="150">
        <f t="shared" si="12"/>
        <v>65.527010245635324</v>
      </c>
      <c r="J24" s="141">
        <f t="shared" si="13"/>
        <v>65.06342313224765</v>
      </c>
      <c r="K24" s="141">
        <f t="shared" si="14"/>
        <v>1.350184588415299</v>
      </c>
      <c r="L24" s="141">
        <f t="shared" si="15"/>
        <v>1.121982159647833</v>
      </c>
      <c r="M24" s="164">
        <f t="shared" si="5"/>
        <v>74.514883020433416</v>
      </c>
      <c r="N24" s="124">
        <f t="shared" si="6"/>
        <v>-1.514883020433416</v>
      </c>
      <c r="O24" s="124">
        <f t="shared" si="7"/>
        <v>1.514883020433416</v>
      </c>
      <c r="P24" s="124">
        <f t="shared" si="8"/>
        <v>2.0751822197718029E-2</v>
      </c>
      <c r="Q24" s="124">
        <f t="shared" si="9"/>
        <v>2.2948705655974697</v>
      </c>
      <c r="R24" s="160">
        <f>SUM($N24:N24)</f>
        <v>-1.514883020433416</v>
      </c>
      <c r="S24" s="123">
        <f>AVERAGE(O$3:O24)</f>
        <v>1.4936309797020315</v>
      </c>
      <c r="T24" s="123">
        <f>AVERAGE(P$3:P24)</f>
        <v>4.1693607496860657E-2</v>
      </c>
      <c r="U24" s="123">
        <f>AVERAGE(Q$3:Q24)</f>
        <v>3.4521646175349927</v>
      </c>
      <c r="V24" s="123">
        <f t="shared" si="10"/>
        <v>-1.0142284413085916</v>
      </c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"/>
      <c r="AT24" s="6"/>
      <c r="AU24" s="6"/>
      <c r="AV24" s="6"/>
      <c r="AW24" s="6"/>
      <c r="AX24" s="6"/>
      <c r="AY24" s="6"/>
    </row>
    <row r="25" spans="1:68" ht="16.5" x14ac:dyDescent="0.3">
      <c r="A25" s="74">
        <v>23</v>
      </c>
      <c r="B25" s="149">
        <v>75</v>
      </c>
      <c r="C25" s="153">
        <f t="shared" si="11"/>
        <v>63.375</v>
      </c>
      <c r="D25" s="155">
        <f t="shared" si="0"/>
        <v>59.664257246376813</v>
      </c>
      <c r="E25" s="156">
        <f t="shared" si="2"/>
        <v>1.2570340009479373</v>
      </c>
      <c r="F25" s="157">
        <f t="shared" si="1"/>
        <v>3</v>
      </c>
      <c r="G25" s="157"/>
      <c r="H25" s="157"/>
      <c r="I25" s="150">
        <f t="shared" si="12"/>
        <v>71.085230018167252</v>
      </c>
      <c r="J25" s="141">
        <f t="shared" si="13"/>
        <v>62.950057168481152</v>
      </c>
      <c r="K25" s="141">
        <f t="shared" si="14"/>
        <v>1.3066762648309405</v>
      </c>
      <c r="L25" s="141">
        <f t="shared" si="15"/>
        <v>1.1914206813072159</v>
      </c>
      <c r="M25" s="164">
        <f t="shared" si="5"/>
        <v>76.556801125692857</v>
      </c>
      <c r="N25" s="124">
        <f t="shared" si="6"/>
        <v>-1.5568011256928571</v>
      </c>
      <c r="O25" s="124">
        <f t="shared" si="7"/>
        <v>1.5568011256928571</v>
      </c>
      <c r="P25" s="124">
        <f t="shared" si="8"/>
        <v>2.0757348342571428E-2</v>
      </c>
      <c r="Q25" s="124">
        <f t="shared" si="9"/>
        <v>2.4236297449585469</v>
      </c>
      <c r="R25" s="160">
        <f>SUM($N25:N25)</f>
        <v>-1.5568011256928571</v>
      </c>
      <c r="S25" s="123">
        <f>AVERAGE(O$3:O25)</f>
        <v>1.4963775077885892</v>
      </c>
      <c r="T25" s="123">
        <f>AVERAGE(P$3:P25)</f>
        <v>4.0783335359717655E-2</v>
      </c>
      <c r="U25" s="123">
        <f>AVERAGE(Q$3:Q25)</f>
        <v>3.4074457100316691</v>
      </c>
      <c r="V25" s="123">
        <f t="shared" si="10"/>
        <v>-1.0403799292556626</v>
      </c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"/>
      <c r="AT25" s="6"/>
      <c r="AU25" s="6"/>
      <c r="AV25" s="6"/>
      <c r="AW25" s="6"/>
      <c r="AX25" s="6"/>
      <c r="AY25" s="6"/>
    </row>
    <row r="26" spans="1:68" ht="16.5" x14ac:dyDescent="0.3">
      <c r="A26" s="74">
        <v>24</v>
      </c>
      <c r="B26" s="149">
        <v>56</v>
      </c>
      <c r="C26" s="153">
        <f t="shared" si="11"/>
        <v>65.75</v>
      </c>
      <c r="D26" s="155">
        <f t="shared" si="0"/>
        <v>60.92561594202899</v>
      </c>
      <c r="E26" s="156">
        <f t="shared" si="2"/>
        <v>0.91915361271495821</v>
      </c>
      <c r="F26" s="157">
        <f t="shared" si="1"/>
        <v>4</v>
      </c>
      <c r="G26" s="157"/>
      <c r="H26" s="157"/>
      <c r="I26" s="150">
        <f t="shared" si="12"/>
        <v>50.306515382779793</v>
      </c>
      <c r="J26" s="141">
        <f t="shared" si="13"/>
        <v>67.820926708859545</v>
      </c>
      <c r="K26" s="141">
        <f t="shared" si="14"/>
        <v>1.3514488391050561</v>
      </c>
      <c r="L26" s="141">
        <f t="shared" si="15"/>
        <v>0.82570384566397614</v>
      </c>
      <c r="M26" s="164">
        <f t="shared" si="5"/>
        <v>57.115896503667166</v>
      </c>
      <c r="N26" s="124">
        <f t="shared" si="6"/>
        <v>-1.115896503667166</v>
      </c>
      <c r="O26" s="124">
        <f t="shared" si="7"/>
        <v>1.115896503667166</v>
      </c>
      <c r="P26" s="124">
        <f t="shared" si="8"/>
        <v>1.9926723279770821E-2</v>
      </c>
      <c r="Q26" s="124">
        <f t="shared" si="9"/>
        <v>1.2452250068966053</v>
      </c>
      <c r="R26" s="160">
        <f>SUM($N26:N26)</f>
        <v>-1.115896503667166</v>
      </c>
      <c r="S26" s="123">
        <f>AVERAGE(O$3:O26)</f>
        <v>1.4805241326168632</v>
      </c>
      <c r="T26" s="123">
        <f>AVERAGE(P$3:P26)</f>
        <v>3.9914309856386533E-2</v>
      </c>
      <c r="U26" s="123">
        <f>AVERAGE(Q$3:Q26)</f>
        <v>3.3173531807343744</v>
      </c>
      <c r="V26" s="123">
        <f t="shared" si="10"/>
        <v>-0.75371719993161557</v>
      </c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"/>
      <c r="AT26" s="6"/>
      <c r="AU26" s="6"/>
      <c r="AV26" s="6"/>
      <c r="AW26" s="6"/>
      <c r="AX26" s="6"/>
      <c r="AY26" s="6"/>
    </row>
    <row r="27" spans="1:68" ht="16.5" x14ac:dyDescent="0.3">
      <c r="A27" s="74">
        <v>25</v>
      </c>
      <c r="B27" s="149">
        <v>60</v>
      </c>
      <c r="C27" s="153">
        <f t="shared" si="11"/>
        <v>66.625</v>
      </c>
      <c r="D27" s="155">
        <f t="shared" si="0"/>
        <v>62.186974637681161</v>
      </c>
      <c r="E27" s="156">
        <f t="shared" si="2"/>
        <v>0.96483227154202156</v>
      </c>
      <c r="F27" s="157">
        <f t="shared" si="1"/>
        <v>1</v>
      </c>
      <c r="G27" s="157"/>
      <c r="H27" s="157"/>
      <c r="I27" s="150">
        <f t="shared" si="12"/>
        <v>53.536350644971975</v>
      </c>
      <c r="J27" s="141">
        <f t="shared" si="13"/>
        <v>69.695047071933701</v>
      </c>
      <c r="K27" s="141">
        <f t="shared" si="14"/>
        <v>1.3580145182977135</v>
      </c>
      <c r="L27" s="141">
        <f t="shared" si="15"/>
        <v>0.86089331338097475</v>
      </c>
      <c r="M27" s="164">
        <f t="shared" si="5"/>
        <v>61.169105618276788</v>
      </c>
      <c r="N27" s="124">
        <f t="shared" si="6"/>
        <v>-1.1691056182767881</v>
      </c>
      <c r="O27" s="124">
        <f t="shared" si="7"/>
        <v>1.1691056182767881</v>
      </c>
      <c r="P27" s="124">
        <f t="shared" si="8"/>
        <v>1.9485093637946468E-2</v>
      </c>
      <c r="Q27" s="124">
        <f t="shared" si="9"/>
        <v>1.3668079466863507</v>
      </c>
      <c r="R27" s="160">
        <f>SUM($N27:N27)</f>
        <v>-1.1691056182767881</v>
      </c>
      <c r="S27" s="123">
        <f>AVERAGE(O$3:O27)</f>
        <v>1.4680673920432603</v>
      </c>
      <c r="T27" s="123">
        <f>AVERAGE(P$3:P27)</f>
        <v>3.9097141207648935E-2</v>
      </c>
      <c r="U27" s="123">
        <f>AVERAGE(Q$3:Q27)</f>
        <v>3.2393313713724536</v>
      </c>
      <c r="V27" s="123">
        <f t="shared" si="10"/>
        <v>-0.79635691427600175</v>
      </c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"/>
      <c r="AT27" s="6"/>
      <c r="AU27" s="6"/>
      <c r="AV27" s="6"/>
      <c r="AW27" s="6"/>
      <c r="AX27" s="6"/>
      <c r="AY27" s="6"/>
    </row>
    <row r="28" spans="1:68" ht="16.5" x14ac:dyDescent="0.3">
      <c r="A28" s="74">
        <v>26</v>
      </c>
      <c r="B28" s="149">
        <v>71</v>
      </c>
      <c r="C28" s="153">
        <f>AVERAGE(AVERAGE(B26:B29),AVERAGE(B27:B30))</f>
        <v>66</v>
      </c>
      <c r="D28" s="155">
        <f t="shared" si="0"/>
        <v>63.448333333333338</v>
      </c>
      <c r="E28" s="156">
        <f t="shared" si="2"/>
        <v>1.1190207255247051</v>
      </c>
      <c r="F28" s="157">
        <f t="shared" si="1"/>
        <v>2</v>
      </c>
      <c r="G28" s="157"/>
      <c r="H28" s="157"/>
      <c r="I28" s="150">
        <f t="shared" si="12"/>
        <v>71.187898059388928</v>
      </c>
      <c r="J28" s="141">
        <f t="shared" si="13"/>
        <v>63.280863594377855</v>
      </c>
      <c r="K28" s="141">
        <f t="shared" si="14"/>
        <v>1.260381958798247</v>
      </c>
      <c r="L28" s="141">
        <f t="shared" si="15"/>
        <v>1.121982159647833</v>
      </c>
      <c r="M28" s="164">
        <f t="shared" si="5"/>
        <v>72.414126072113618</v>
      </c>
      <c r="N28" s="124">
        <f t="shared" si="6"/>
        <v>-1.4141260721136177</v>
      </c>
      <c r="O28" s="124">
        <f t="shared" si="7"/>
        <v>1.4141260721136177</v>
      </c>
      <c r="P28" s="124">
        <f t="shared" si="8"/>
        <v>1.9917268621318561E-2</v>
      </c>
      <c r="Q28" s="124">
        <f t="shared" si="9"/>
        <v>1.9997525478314888</v>
      </c>
      <c r="R28" s="160">
        <f>SUM($N28:N28)</f>
        <v>-1.4141260721136177</v>
      </c>
      <c r="S28" s="123">
        <f>AVERAGE(O$3:O28)</f>
        <v>1.4659927258921202</v>
      </c>
      <c r="T28" s="123">
        <f>AVERAGE(P$3:P28)</f>
        <v>3.8359453800482383E-2</v>
      </c>
      <c r="U28" s="123">
        <f>AVERAGE(Q$3:Q28)</f>
        <v>3.1916552627747241</v>
      </c>
      <c r="V28" s="123">
        <f t="shared" si="10"/>
        <v>-0.96462011518717505</v>
      </c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"/>
      <c r="AT28" s="6"/>
      <c r="AU28" s="6"/>
      <c r="AV28" s="6"/>
      <c r="AW28" s="6"/>
      <c r="AX28" s="6"/>
      <c r="AY28" s="6"/>
    </row>
    <row r="29" spans="1:68" ht="16.5" x14ac:dyDescent="0.3">
      <c r="A29" s="74">
        <v>27</v>
      </c>
      <c r="B29" s="149">
        <v>84</v>
      </c>
      <c r="C29" s="172"/>
      <c r="D29" s="155">
        <f t="shared" si="0"/>
        <v>64.709692028985501</v>
      </c>
      <c r="E29" s="156">
        <f t="shared" si="2"/>
        <v>1.2981053898753492</v>
      </c>
      <c r="F29" s="157">
        <f t="shared" si="1"/>
        <v>3</v>
      </c>
      <c r="G29" s="157"/>
      <c r="H29" s="157"/>
      <c r="I29" s="150">
        <f t="shared" si="12"/>
        <v>77.096465364354017</v>
      </c>
      <c r="J29" s="141">
        <f t="shared" si="13"/>
        <v>70.504064028698892</v>
      </c>
      <c r="K29" s="141">
        <f t="shared" si="14"/>
        <v>1.3352855098794958</v>
      </c>
      <c r="L29" s="141">
        <f t="shared" si="15"/>
        <v>1.1914206813072159</v>
      </c>
      <c r="M29" s="164">
        <f t="shared" si="5"/>
        <v>85.590886771920296</v>
      </c>
      <c r="N29" s="124">
        <f t="shared" si="6"/>
        <v>-1.5908867719202959</v>
      </c>
      <c r="O29" s="124">
        <f t="shared" si="7"/>
        <v>1.5908867719202959</v>
      </c>
      <c r="P29" s="124">
        <f t="shared" si="8"/>
        <v>1.8939128237146378E-2</v>
      </c>
      <c r="Q29" s="124">
        <f t="shared" si="9"/>
        <v>2.5309207210709799</v>
      </c>
      <c r="R29" s="160">
        <f>SUM($N29:N29)</f>
        <v>-1.5908867719202959</v>
      </c>
      <c r="S29" s="123">
        <f>AVERAGE(O$3:O29)</f>
        <v>1.470618431300571</v>
      </c>
      <c r="T29" s="123">
        <f>AVERAGE(P$3:P29)</f>
        <v>3.7640182483321787E-2</v>
      </c>
      <c r="U29" s="123">
        <f>AVERAGE(Q$3:Q29)</f>
        <v>3.1671836130819933</v>
      </c>
      <c r="V29" s="123">
        <f t="shared" si="10"/>
        <v>-1.0817807923931453</v>
      </c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"/>
      <c r="AT29" s="6"/>
      <c r="AU29" s="6"/>
      <c r="AV29" s="6"/>
      <c r="AW29" s="6"/>
      <c r="AX29" s="6"/>
      <c r="AY29" s="6"/>
    </row>
    <row r="30" spans="1:68" ht="16.5" x14ac:dyDescent="0.3">
      <c r="A30" s="74">
        <v>28</v>
      </c>
      <c r="B30" s="149">
        <v>42</v>
      </c>
      <c r="C30" s="172"/>
      <c r="D30" s="155">
        <f t="shared" si="0"/>
        <v>65.971050724637678</v>
      </c>
      <c r="E30" s="156">
        <f t="shared" ref="E30" si="16">B30/D30</f>
        <v>0.63664288409331937</v>
      </c>
      <c r="F30" s="157">
        <f t="shared" si="1"/>
        <v>4</v>
      </c>
      <c r="G30" s="157"/>
      <c r="H30" s="157"/>
      <c r="I30" s="150">
        <f>D30*VLOOKUP(F30,$F$3:$H$6,3,0)</f>
        <v>54.472550285826571</v>
      </c>
      <c r="J30" s="141">
        <f t="shared" si="13"/>
        <v>50.865695031644663</v>
      </c>
      <c r="K30" s="141">
        <f t="shared" si="14"/>
        <v>1.0718192970190015</v>
      </c>
      <c r="L30" s="141">
        <f t="shared" si="15"/>
        <v>0.82570384566397614</v>
      </c>
      <c r="M30" s="164">
        <f t="shared" si="5"/>
        <v>42.885005315405451</v>
      </c>
      <c r="N30" s="124">
        <f t="shared" si="6"/>
        <v>-0.88500531540545069</v>
      </c>
      <c r="O30" s="124">
        <f t="shared" si="7"/>
        <v>0.88500531540545069</v>
      </c>
      <c r="P30" s="124">
        <f t="shared" si="8"/>
        <v>2.1071555128701208E-2</v>
      </c>
      <c r="Q30" s="124">
        <f t="shared" si="9"/>
        <v>0.7832344082959013</v>
      </c>
      <c r="R30" s="160">
        <f>SUM($N30:N30)</f>
        <v>-0.88500531540545069</v>
      </c>
      <c r="S30" s="123">
        <f>AVERAGE(O$3:O30)</f>
        <v>1.4497036771614595</v>
      </c>
      <c r="T30" s="123">
        <f>AVERAGE(P$3:P30)</f>
        <v>3.7048445792085341E-2</v>
      </c>
      <c r="U30" s="123">
        <f>AVERAGE(Q$3:Q30)</f>
        <v>3.0820425700539182</v>
      </c>
      <c r="V30" s="123">
        <f t="shared" si="10"/>
        <v>-0.61047325004948849</v>
      </c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"/>
      <c r="AT30" s="6"/>
      <c r="AU30" s="6"/>
      <c r="AV30" s="6"/>
      <c r="AW30" s="6"/>
      <c r="AX30" s="6"/>
      <c r="AY30" s="6"/>
    </row>
    <row r="31" spans="1:68" ht="16.5" x14ac:dyDescent="0.3">
      <c r="A31" s="74">
        <v>29</v>
      </c>
      <c r="B31"/>
      <c r="C31"/>
      <c r="D31" s="173">
        <f t="shared" si="0"/>
        <v>67.232409420289855</v>
      </c>
      <c r="E31"/>
      <c r="F31" s="157">
        <f t="shared" si="1"/>
        <v>1</v>
      </c>
      <c r="G31"/>
      <c r="H31"/>
      <c r="I31" s="173">
        <f>D31*VLOOKUP(F31,$F$3:$H$6,3,0)</f>
        <v>57.879931712419591</v>
      </c>
      <c r="J31"/>
      <c r="K31"/>
      <c r="L31" s="141">
        <f>(1-$C$40)*L27+$C$40*B27/J27</f>
        <v>0.86089331338097475</v>
      </c>
      <c r="M31" s="124">
        <f>(J30+K30)*L27</f>
        <v>44.712658799175117</v>
      </c>
      <c r="N31" s="112"/>
      <c r="O31" s="124"/>
      <c r="P31" s="112"/>
      <c r="Q31"/>
      <c r="R31"/>
      <c r="S31"/>
      <c r="T31"/>
      <c r="U31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"/>
      <c r="AT31" s="6"/>
      <c r="AU31" s="6"/>
      <c r="AV31" s="6"/>
      <c r="AW31" s="6"/>
      <c r="AX31" s="6"/>
      <c r="AY31" s="6"/>
      <c r="BL31"/>
      <c r="BM31"/>
      <c r="BN31"/>
      <c r="BO31"/>
      <c r="BP31"/>
    </row>
    <row r="32" spans="1:68" ht="16.5" x14ac:dyDescent="0.3">
      <c r="A32" s="74">
        <v>30</v>
      </c>
      <c r="B32"/>
      <c r="C32"/>
      <c r="D32" s="173">
        <f t="shared" si="0"/>
        <v>68.493768115942032</v>
      </c>
      <c r="E32"/>
      <c r="F32" s="157">
        <f t="shared" si="1"/>
        <v>2</v>
      </c>
      <c r="G32"/>
      <c r="H32"/>
      <c r="I32" s="173">
        <f t="shared" si="12"/>
        <v>76.848785873142532</v>
      </c>
      <c r="J32"/>
      <c r="K32"/>
      <c r="L32" s="141">
        <f>(1-$C$40)*L28+$C$40*B28/J28</f>
        <v>1.121982159647833</v>
      </c>
      <c r="M32" s="124">
        <f>(J30+2*K30)*L28</f>
        <v>59.475526622835929</v>
      </c>
      <c r="N32" s="65"/>
      <c r="O32" s="124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"/>
      <c r="AT32" s="6"/>
      <c r="AU32" s="6"/>
      <c r="AV32" s="6"/>
      <c r="AW32" s="6"/>
      <c r="AX32" s="6"/>
      <c r="AY32" s="6"/>
      <c r="BL32"/>
      <c r="BM32"/>
      <c r="BN32"/>
      <c r="BO32"/>
      <c r="BP32"/>
    </row>
    <row r="33" spans="1:68" ht="16.5" x14ac:dyDescent="0.3">
      <c r="A33" s="74">
        <v>31</v>
      </c>
      <c r="D33" s="173">
        <f t="shared" si="0"/>
        <v>69.755126811594209</v>
      </c>
      <c r="E33"/>
      <c r="F33" s="157">
        <f t="shared" si="1"/>
        <v>3</v>
      </c>
      <c r="G33"/>
      <c r="H33"/>
      <c r="I33" s="173">
        <f t="shared" si="12"/>
        <v>83.107700710540811</v>
      </c>
      <c r="L33" s="141">
        <f>(1-$C$40)*L29+$C$40*B29/J29</f>
        <v>1.1914206813072159</v>
      </c>
      <c r="M33" s="124">
        <f>(J30+3*K30)*L29</f>
        <v>64.433404061044953</v>
      </c>
      <c r="O33" s="124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"/>
      <c r="AT33" s="6"/>
      <c r="AU33" s="6"/>
      <c r="AV33" s="6"/>
      <c r="AW33" s="6"/>
      <c r="AX33" s="6"/>
      <c r="AY33" s="6"/>
      <c r="BL33"/>
      <c r="BM33"/>
      <c r="BN33"/>
      <c r="BO33"/>
      <c r="BP33"/>
    </row>
    <row r="34" spans="1:68" ht="16.5" x14ac:dyDescent="0.3">
      <c r="A34" s="74">
        <v>32</v>
      </c>
      <c r="D34" s="173">
        <f t="shared" si="0"/>
        <v>71.016485507246387</v>
      </c>
      <c r="E34"/>
      <c r="F34" s="157">
        <f t="shared" si="1"/>
        <v>4</v>
      </c>
      <c r="G34"/>
      <c r="H34"/>
      <c r="I34" s="173">
        <f t="shared" si="12"/>
        <v>58.638585188873371</v>
      </c>
      <c r="L34" s="141">
        <f>(1-$C$40)*L30+$C$40*B30/J30</f>
        <v>0.82570384566397614</v>
      </c>
      <c r="M34" s="124">
        <f>(J30+4*K30)*L30</f>
        <v>45.540021261621796</v>
      </c>
      <c r="O34" s="124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"/>
      <c r="AT34" s="6"/>
      <c r="AU34" s="6"/>
      <c r="AV34" s="6"/>
      <c r="AW34" s="6"/>
      <c r="AX34" s="6"/>
      <c r="AY34" s="6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"/>
      <c r="AT35" s="6"/>
      <c r="AU35" s="6"/>
      <c r="AV35" s="6"/>
      <c r="AW35" s="6"/>
      <c r="AX35" s="6"/>
      <c r="AY35" s="6"/>
      <c r="BL35"/>
      <c r="BM35"/>
      <c r="BN35"/>
      <c r="BO35"/>
      <c r="BP35"/>
    </row>
    <row r="36" spans="1:68" x14ac:dyDescent="0.25">
      <c r="A36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"/>
      <c r="AT36" s="6"/>
      <c r="AU36" s="6"/>
      <c r="AV36" s="6"/>
      <c r="AW36" s="6"/>
      <c r="AX36" s="6"/>
      <c r="AY36" s="6"/>
      <c r="BL36"/>
      <c r="BM36"/>
      <c r="BN36"/>
      <c r="BO36"/>
      <c r="BP36"/>
    </row>
    <row r="37" spans="1:68" x14ac:dyDescent="0.25">
      <c r="A37"/>
      <c r="B37" s="57" t="s">
        <v>87</v>
      </c>
      <c r="C37" s="162">
        <v>4</v>
      </c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"/>
      <c r="AT37" s="6"/>
      <c r="AU37" s="6"/>
      <c r="AV37" s="6"/>
      <c r="AW37" s="6"/>
      <c r="AX37" s="6"/>
      <c r="AY37" s="6"/>
      <c r="BL37"/>
      <c r="BM37"/>
      <c r="BN37"/>
      <c r="BO37"/>
      <c r="BP37"/>
    </row>
    <row r="38" spans="1:68" x14ac:dyDescent="0.25">
      <c r="A38"/>
      <c r="B38" s="57" t="s">
        <v>154</v>
      </c>
      <c r="C38" s="161">
        <v>1</v>
      </c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"/>
      <c r="AT38" s="6"/>
      <c r="AU38" s="6"/>
      <c r="AV38" s="6"/>
      <c r="AW38" s="6"/>
      <c r="AX38" s="6"/>
      <c r="AY38" s="6"/>
      <c r="BL38"/>
      <c r="BM38"/>
      <c r="BN38"/>
      <c r="BO38"/>
      <c r="BP38"/>
    </row>
    <row r="39" spans="1:68" x14ac:dyDescent="0.25">
      <c r="A39"/>
      <c r="B39" s="57" t="s">
        <v>152</v>
      </c>
      <c r="C39" s="161">
        <v>1.2561769470046077E-2</v>
      </c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"/>
      <c r="AT39" s="6"/>
      <c r="AU39" s="6"/>
      <c r="AV39" s="6"/>
      <c r="AW39" s="6"/>
      <c r="AX39" s="6"/>
      <c r="AY39" s="6"/>
      <c r="BL39"/>
      <c r="BM39"/>
      <c r="BN39"/>
      <c r="BO39"/>
      <c r="BP39"/>
    </row>
    <row r="40" spans="1:68" x14ac:dyDescent="0.25">
      <c r="A40"/>
      <c r="B40" s="57" t="s">
        <v>153</v>
      </c>
      <c r="C40" s="161">
        <v>0</v>
      </c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"/>
      <c r="AT40" s="6"/>
      <c r="AU40" s="6"/>
      <c r="AV40" s="6"/>
      <c r="AW40" s="6"/>
      <c r="AX40" s="6"/>
      <c r="AY40" s="6"/>
      <c r="BL40"/>
      <c r="BM40"/>
      <c r="BN40"/>
      <c r="BO40"/>
      <c r="BP40"/>
    </row>
    <row r="41" spans="1:68" x14ac:dyDescent="0.25">
      <c r="A41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"/>
      <c r="AT41" s="6"/>
      <c r="AU41" s="6"/>
      <c r="AV41" s="6"/>
      <c r="AW41" s="6"/>
      <c r="AX41" s="6"/>
      <c r="AY41" s="6"/>
      <c r="BL41"/>
      <c r="BM41"/>
      <c r="BN41"/>
      <c r="BO41"/>
      <c r="BP41"/>
    </row>
    <row r="42" spans="1:68" x14ac:dyDescent="0.25">
      <c r="A42"/>
      <c r="B42" s="57" t="s">
        <v>140</v>
      </c>
      <c r="J42"/>
      <c r="K42"/>
      <c r="L42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"/>
      <c r="AT42" s="6"/>
      <c r="AU42" s="6"/>
      <c r="AV42" s="6"/>
      <c r="AW42" s="6"/>
      <c r="AX42" s="6"/>
      <c r="AY42" s="6"/>
      <c r="BL42"/>
      <c r="BM42"/>
      <c r="BN42"/>
      <c r="BO42"/>
      <c r="BP42"/>
    </row>
    <row r="43" spans="1:68" x14ac:dyDescent="0.25">
      <c r="A43"/>
      <c r="B43" s="57" t="s">
        <v>141</v>
      </c>
      <c r="J43" s="123"/>
      <c r="K43"/>
      <c r="L43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"/>
      <c r="AT43" s="6"/>
      <c r="AU43" s="6"/>
      <c r="AV43" s="6"/>
      <c r="AW43" s="6"/>
      <c r="AX43" s="6"/>
      <c r="AY43" s="6"/>
      <c r="BL43"/>
      <c r="BM43"/>
      <c r="BN43"/>
      <c r="BO43"/>
      <c r="BP43"/>
    </row>
    <row r="44" spans="1:68" x14ac:dyDescent="0.25">
      <c r="A44"/>
      <c r="B44" s="57" t="s">
        <v>142</v>
      </c>
      <c r="J44"/>
      <c r="K44"/>
      <c r="L44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"/>
      <c r="AT44" s="6"/>
      <c r="AU44" s="6"/>
      <c r="AV44" s="6"/>
      <c r="AW44" s="6"/>
      <c r="AX44" s="6"/>
      <c r="AY44" s="6"/>
      <c r="BL44"/>
      <c r="BM44"/>
      <c r="BN44"/>
      <c r="BO44"/>
      <c r="BP44"/>
    </row>
    <row r="45" spans="1:68" x14ac:dyDescent="0.25">
      <c r="A45"/>
      <c r="B45" s="135" t="s">
        <v>123</v>
      </c>
      <c r="C45" s="135"/>
      <c r="D45" s="135"/>
      <c r="E45" s="135"/>
      <c r="F45" s="135"/>
      <c r="G45" s="135"/>
      <c r="H45" s="135"/>
      <c r="I45" s="135"/>
      <c r="J45"/>
      <c r="K45"/>
      <c r="L4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"/>
      <c r="AT45" s="6"/>
      <c r="AU45" s="6"/>
      <c r="AV45" s="6"/>
      <c r="AW45" s="6"/>
      <c r="AX45" s="6"/>
      <c r="AY45" s="6"/>
      <c r="BL45"/>
      <c r="BM45"/>
      <c r="BN45"/>
      <c r="BO45"/>
      <c r="BP45"/>
    </row>
    <row r="46" spans="1:68" x14ac:dyDescent="0.25">
      <c r="A46"/>
      <c r="B46" t="s">
        <v>143</v>
      </c>
      <c r="C46"/>
      <c r="D46"/>
      <c r="E46"/>
      <c r="F46"/>
      <c r="G46"/>
      <c r="H46"/>
      <c r="I46"/>
      <c r="J46"/>
      <c r="K46"/>
      <c r="L46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"/>
      <c r="AT46" s="6"/>
      <c r="AU46" s="6"/>
      <c r="AV46" s="6"/>
      <c r="AW46" s="6"/>
      <c r="AX46" s="6"/>
      <c r="AY46" s="6"/>
      <c r="BL46"/>
      <c r="BM46"/>
      <c r="BN46"/>
      <c r="BO46"/>
      <c r="BP46"/>
    </row>
    <row r="47" spans="1:68" x14ac:dyDescent="0.25">
      <c r="A47"/>
      <c r="B47" t="s">
        <v>129</v>
      </c>
      <c r="C47"/>
      <c r="D47"/>
      <c r="E47"/>
      <c r="F47"/>
      <c r="G47"/>
      <c r="H47"/>
      <c r="I47"/>
      <c r="J47"/>
      <c r="K47"/>
      <c r="L47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"/>
      <c r="AT47" s="6"/>
      <c r="AU47" s="6"/>
      <c r="AV47" s="6"/>
      <c r="AW47" s="6"/>
      <c r="AX47" s="6"/>
      <c r="AY47" s="6"/>
      <c r="BL47"/>
      <c r="BM47"/>
      <c r="BN47"/>
      <c r="BO47"/>
      <c r="BP47"/>
    </row>
    <row r="48" spans="1:68" x14ac:dyDescent="0.25">
      <c r="A48"/>
      <c r="B48" t="s">
        <v>144</v>
      </c>
      <c r="C48"/>
      <c r="D48"/>
      <c r="E48"/>
      <c r="F48"/>
      <c r="G48"/>
      <c r="H48"/>
      <c r="I48"/>
      <c r="J48"/>
      <c r="K48"/>
      <c r="L48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"/>
      <c r="AT48" s="6"/>
      <c r="AU48" s="6"/>
      <c r="AV48" s="6"/>
      <c r="AW48" s="6"/>
      <c r="AX48" s="6"/>
      <c r="AY48" s="6"/>
      <c r="BL48"/>
      <c r="BM48"/>
      <c r="BN48"/>
      <c r="BO48"/>
      <c r="BP48"/>
    </row>
    <row r="49" spans="1:68" x14ac:dyDescent="0.25">
      <c r="A49"/>
      <c r="B49" t="s">
        <v>145</v>
      </c>
      <c r="C49"/>
      <c r="D49"/>
      <c r="E49"/>
      <c r="F49"/>
      <c r="G49"/>
      <c r="H49"/>
      <c r="I49"/>
      <c r="J49"/>
      <c r="K49"/>
      <c r="L49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"/>
      <c r="AT49" s="6"/>
      <c r="AU49" s="6"/>
      <c r="AV49" s="6"/>
      <c r="AW49" s="6"/>
      <c r="AX49" s="6"/>
      <c r="AY49" s="6"/>
      <c r="BL49"/>
      <c r="BM49"/>
      <c r="BN49"/>
      <c r="BO49"/>
      <c r="BP49"/>
    </row>
    <row r="50" spans="1:68" x14ac:dyDescent="0.25">
      <c r="A50"/>
      <c r="B50" t="s">
        <v>146</v>
      </c>
      <c r="C50"/>
      <c r="D50"/>
      <c r="E50"/>
      <c r="F50"/>
      <c r="G50"/>
      <c r="H50"/>
      <c r="I50"/>
      <c r="J50"/>
      <c r="K50"/>
      <c r="L50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"/>
      <c r="AT50" s="6"/>
      <c r="AU50" s="6"/>
      <c r="AV50" s="6"/>
      <c r="AW50" s="6"/>
      <c r="AX50" s="6"/>
      <c r="AY50" s="6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"/>
      <c r="AT51" s="6"/>
      <c r="AU51" s="6"/>
      <c r="AV51" s="6"/>
      <c r="AW51" s="6"/>
      <c r="AX51" s="6"/>
      <c r="AY51" s="6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"/>
      <c r="AT52" s="6"/>
      <c r="AU52" s="6"/>
      <c r="AV52" s="6"/>
      <c r="AW52" s="6"/>
      <c r="AX52" s="6"/>
      <c r="AY52" s="6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"/>
      <c r="AT53" s="6"/>
      <c r="AU53" s="6"/>
      <c r="AV53" s="6"/>
      <c r="AW53" s="6"/>
      <c r="AX53" s="6"/>
      <c r="AY53" s="6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"/>
      <c r="AT54" s="6"/>
      <c r="AU54" s="6"/>
      <c r="AV54" s="6"/>
      <c r="AW54" s="6"/>
      <c r="AX54" s="6"/>
      <c r="AY54" s="6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"/>
      <c r="AT55" s="6"/>
      <c r="AU55" s="6"/>
      <c r="AV55" s="6"/>
      <c r="AW55" s="6"/>
      <c r="AX55" s="6"/>
      <c r="AY55" s="6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"/>
      <c r="AT56" s="6"/>
      <c r="AU56" s="6"/>
      <c r="AV56" s="6"/>
      <c r="AW56" s="6"/>
      <c r="AX56" s="6"/>
      <c r="AY56" s="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"/>
      <c r="AT57" s="6"/>
      <c r="AU57" s="6"/>
      <c r="AV57" s="6"/>
      <c r="AW57" s="6"/>
      <c r="AX57" s="6"/>
      <c r="AY57" s="6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"/>
      <c r="AT58" s="6"/>
      <c r="AU58" s="6"/>
      <c r="AV58" s="6"/>
      <c r="AW58" s="6"/>
      <c r="AX58" s="6"/>
      <c r="AY58" s="6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"/>
      <c r="AT59" s="6"/>
      <c r="AU59" s="6"/>
      <c r="AV59" s="6"/>
      <c r="AW59" s="6"/>
      <c r="AX59" s="6"/>
      <c r="AY59" s="6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"/>
      <c r="AT60" s="6"/>
      <c r="AU60" s="6"/>
      <c r="AV60" s="6"/>
      <c r="AW60" s="6"/>
      <c r="AX60" s="6"/>
      <c r="AY60" s="6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"/>
      <c r="AT61" s="6"/>
      <c r="AU61" s="6"/>
      <c r="AV61" s="6"/>
      <c r="AW61" s="6"/>
      <c r="AX61" s="6"/>
      <c r="AY61" s="6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"/>
      <c r="AT62" s="6"/>
      <c r="AU62" s="6"/>
      <c r="AV62" s="6"/>
      <c r="AW62" s="6"/>
      <c r="AX62" s="6"/>
      <c r="AY62" s="6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"/>
      <c r="AT63" s="6"/>
      <c r="AU63" s="6"/>
      <c r="AV63" s="6"/>
      <c r="AW63" s="6"/>
      <c r="AX63" s="6"/>
      <c r="AY63" s="6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"/>
      <c r="AT64" s="6"/>
      <c r="AU64" s="6"/>
      <c r="AV64" s="6"/>
      <c r="AW64" s="6"/>
      <c r="AX64" s="6"/>
      <c r="AY64" s="6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"/>
      <c r="AT65" s="6"/>
      <c r="AU65" s="6"/>
      <c r="AV65" s="6"/>
      <c r="AW65" s="6"/>
      <c r="AX65" s="6"/>
      <c r="AY65" s="6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"/>
      <c r="AT66" s="6"/>
      <c r="AU66" s="6"/>
      <c r="AV66" s="6"/>
      <c r="AW66" s="6"/>
      <c r="AX66" s="6"/>
      <c r="AY66" s="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"/>
      <c r="AT67" s="6"/>
      <c r="AU67" s="6"/>
      <c r="AV67" s="6"/>
      <c r="AW67" s="6"/>
      <c r="AX67" s="6"/>
      <c r="AY67" s="6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"/>
      <c r="AT68" s="6"/>
      <c r="AU68" s="6"/>
      <c r="AV68" s="6"/>
      <c r="AW68" s="6"/>
      <c r="AX68" s="6"/>
      <c r="AY68" s="6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"/>
      <c r="AT69" s="6"/>
      <c r="AU69" s="6"/>
      <c r="AV69" s="6"/>
      <c r="AW69" s="6"/>
      <c r="AX69" s="6"/>
      <c r="AY69" s="6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"/>
      <c r="AT70" s="6"/>
      <c r="AU70" s="6"/>
      <c r="AV70" s="6"/>
      <c r="AW70" s="6"/>
      <c r="AX70" s="6"/>
      <c r="AY70" s="6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"/>
      <c r="AT71" s="6"/>
      <c r="AU71" s="6"/>
      <c r="AV71" s="6"/>
      <c r="AW71" s="6"/>
      <c r="AX71" s="6"/>
      <c r="AY71" s="6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7F15-DFCA-494C-BB90-C3EDFD129481}">
  <dimension ref="A1:BI282"/>
  <sheetViews>
    <sheetView zoomScale="75" zoomScaleNormal="75" workbookViewId="0">
      <selection sqref="A1:Z20"/>
    </sheetView>
  </sheetViews>
  <sheetFormatPr defaultColWidth="9.140625" defaultRowHeight="15" x14ac:dyDescent="0.25"/>
  <cols>
    <col min="1" max="1" width="4.5703125" style="57" bestFit="1" customWidth="1"/>
    <col min="2" max="2" width="17" style="57" customWidth="1"/>
    <col min="3" max="4" width="9.7109375" style="57" customWidth="1"/>
    <col min="5" max="5" width="11" style="57" bestFit="1" customWidth="1"/>
    <col min="6" max="6" width="20.5703125" style="57" bestFit="1" customWidth="1"/>
    <col min="7" max="9" width="9.7109375" style="57" customWidth="1"/>
    <col min="10" max="10" width="9.140625" style="57"/>
    <col min="11" max="11" width="6.28515625" style="57" bestFit="1" customWidth="1"/>
    <col min="12" max="12" width="6.140625" style="57" bestFit="1" customWidth="1"/>
    <col min="13" max="13" width="6.5703125" style="57" bestFit="1" customWidth="1"/>
    <col min="14" max="14" width="6.42578125" style="57" bestFit="1" customWidth="1"/>
    <col min="15" max="15" width="5.85546875" style="57" bestFit="1" customWidth="1"/>
    <col min="16" max="19" width="9.28515625" style="57" bestFit="1" customWidth="1"/>
    <col min="20" max="21" width="9.140625" style="57"/>
    <col min="22" max="22" width="9.28515625" style="57" bestFit="1" customWidth="1"/>
    <col min="23" max="23" width="9.140625" style="57"/>
    <col min="24" max="24" width="10.42578125" style="57" bestFit="1" customWidth="1"/>
    <col min="25" max="25" width="3" style="57" bestFit="1" customWidth="1"/>
    <col min="26" max="26" width="5.28515625" style="57" bestFit="1" customWidth="1"/>
    <col min="27" max="33" width="9.140625" style="57"/>
    <col min="34" max="34" width="9.140625" style="57" customWidth="1"/>
    <col min="35" max="37" width="9.140625" style="57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57"/>
  </cols>
  <sheetData>
    <row r="1" spans="1:61" customFormat="1" ht="17.25" thickBot="1" x14ac:dyDescent="0.35">
      <c r="A1" s="138" t="s">
        <v>4</v>
      </c>
      <c r="B1" s="139" t="s">
        <v>118</v>
      </c>
      <c r="C1" s="112" t="s">
        <v>67</v>
      </c>
      <c r="D1" s="112" t="s">
        <v>19</v>
      </c>
      <c r="E1" s="112" t="s">
        <v>122</v>
      </c>
      <c r="F1" s="1" t="s">
        <v>157</v>
      </c>
      <c r="G1" s="1" t="s">
        <v>3</v>
      </c>
      <c r="H1" s="1" t="s">
        <v>2</v>
      </c>
      <c r="I1" s="1" t="s">
        <v>155</v>
      </c>
      <c r="J1" s="1" t="s">
        <v>111</v>
      </c>
      <c r="K1" s="57" t="s">
        <v>120</v>
      </c>
      <c r="L1" s="57" t="s">
        <v>1</v>
      </c>
      <c r="M1" s="57" t="s">
        <v>114</v>
      </c>
      <c r="N1" s="57" t="s">
        <v>113</v>
      </c>
      <c r="O1" s="65" t="s">
        <v>24</v>
      </c>
      <c r="U1" s="57"/>
      <c r="V1" s="57"/>
      <c r="W1" s="57"/>
      <c r="X1" s="57" t="s">
        <v>87</v>
      </c>
      <c r="Y1" s="166" t="s">
        <v>159</v>
      </c>
      <c r="Z1" s="103">
        <v>4</v>
      </c>
      <c r="AA1" s="57"/>
    </row>
    <row r="2" spans="1:61" customFormat="1" ht="16.5" x14ac:dyDescent="0.3">
      <c r="A2" s="134">
        <v>0</v>
      </c>
      <c r="B2" s="65"/>
      <c r="C2" s="163">
        <f>INTERCEPT($B$3:$B$14,$A$3:$A$14)</f>
        <v>17.287878787878789</v>
      </c>
      <c r="D2" s="163">
        <f>SLOPE($B$3:$B$14,$A$3:$A$14)</f>
        <v>4.43006993006993</v>
      </c>
      <c r="E2" s="140"/>
      <c r="F2" s="89"/>
      <c r="G2" s="89"/>
      <c r="H2" s="89"/>
      <c r="I2" s="89"/>
      <c r="J2" s="89"/>
      <c r="K2" s="57"/>
      <c r="Q2" s="1" t="s">
        <v>163</v>
      </c>
      <c r="R2" s="1" t="s">
        <v>164</v>
      </c>
      <c r="S2" s="1" t="s">
        <v>165</v>
      </c>
      <c r="T2" s="1" t="s">
        <v>166</v>
      </c>
      <c r="U2" s="89" t="s">
        <v>167</v>
      </c>
      <c r="V2" s="89" t="s">
        <v>168</v>
      </c>
      <c r="W2" s="57"/>
      <c r="X2" s="57" t="s">
        <v>154</v>
      </c>
      <c r="Y2" s="167" t="s">
        <v>158</v>
      </c>
      <c r="Z2" s="161">
        <v>0.1</v>
      </c>
      <c r="AA2" s="57"/>
      <c r="AI2" s="57"/>
      <c r="AJ2" s="57"/>
      <c r="AK2" s="57"/>
      <c r="BE2" s="57"/>
      <c r="BF2" s="57"/>
      <c r="BG2" s="57"/>
      <c r="BH2" s="57"/>
      <c r="BI2" s="57"/>
    </row>
    <row r="3" spans="1:61" customFormat="1" ht="16.5" x14ac:dyDescent="0.3">
      <c r="A3" s="74">
        <v>1</v>
      </c>
      <c r="B3" s="149">
        <v>22</v>
      </c>
      <c r="C3" s="141">
        <f>(1-$Z$2)*(C2+D2)+$Z$2*B3/E3</f>
        <v>22.196153846153845</v>
      </c>
      <c r="D3" s="141">
        <f>(1-$Z$3)*D2+$Z$3*(C3-C2)</f>
        <v>4.5257109557109558</v>
      </c>
      <c r="E3" s="143">
        <f>B3/AVERAGE($B$3:$B$6)</f>
        <v>0.83018867924528306</v>
      </c>
      <c r="F3" s="164">
        <f>(C2+D2)*E3</f>
        <v>18.029995162070634</v>
      </c>
      <c r="G3" s="124">
        <f t="shared" ref="G3:G14" si="0">B3-F3</f>
        <v>3.9700048379293662</v>
      </c>
      <c r="H3" s="124">
        <f>ABS(G3)</f>
        <v>3.9700048379293662</v>
      </c>
      <c r="I3" s="124">
        <f t="shared" ref="I3:I14" si="1">H3/B3</f>
        <v>0.18045476536042573</v>
      </c>
      <c r="J3" s="124">
        <f>G3^2</f>
        <v>15.760938413182574</v>
      </c>
      <c r="K3" s="160">
        <f>SUM($G3:G3)</f>
        <v>3.9700048379293662</v>
      </c>
      <c r="L3" s="123">
        <f>AVERAGE(H$3:H3)</f>
        <v>3.9700048379293662</v>
      </c>
      <c r="M3" s="123">
        <f>AVERAGE(I$3:I3)</f>
        <v>0.18045476536042573</v>
      </c>
      <c r="N3" s="123">
        <f>AVERAGE(J$3:J3)</f>
        <v>15.760938413182574</v>
      </c>
      <c r="O3" s="123">
        <f>K3/L3</f>
        <v>1</v>
      </c>
      <c r="Q3" s="171">
        <f>(C2+D2)</f>
        <v>21.717948717948719</v>
      </c>
      <c r="R3" s="171">
        <f>B3/E3</f>
        <v>26.5</v>
      </c>
      <c r="S3" s="171">
        <f>D2</f>
        <v>4.43006993006993</v>
      </c>
      <c r="T3" s="171">
        <f>C3-C2</f>
        <v>4.9082750582750556</v>
      </c>
      <c r="U3" s="104">
        <f>E3</f>
        <v>0.83018867924528306</v>
      </c>
      <c r="V3" s="104">
        <f>C3/(C2+D2)</f>
        <v>1.0220188902007084</v>
      </c>
      <c r="W3" s="57"/>
      <c r="X3" s="57" t="s">
        <v>152</v>
      </c>
      <c r="Y3" s="167" t="s">
        <v>160</v>
      </c>
      <c r="Z3" s="168">
        <v>0.2</v>
      </c>
      <c r="AA3" s="57"/>
      <c r="AI3" s="57"/>
      <c r="AJ3" s="57"/>
      <c r="AK3" s="57"/>
      <c r="BE3" s="57"/>
      <c r="BF3" s="57"/>
      <c r="BG3" s="57"/>
      <c r="BH3" s="57"/>
      <c r="BI3" s="57"/>
    </row>
    <row r="4" spans="1:61" customFormat="1" ht="16.5" x14ac:dyDescent="0.3">
      <c r="A4" s="74">
        <v>2</v>
      </c>
      <c r="B4" s="149">
        <v>30</v>
      </c>
      <c r="C4" s="141">
        <f>(1-$Z$2)*(C3+D3)+$Z$2*B4/E4</f>
        <v>26.69967832167832</v>
      </c>
      <c r="D4" s="141">
        <f t="shared" ref="D4:D14" si="2">(1-$C$23)*D3+$C$23*(C4-C3)</f>
        <v>4.5212736596736596</v>
      </c>
      <c r="E4" s="143">
        <f t="shared" ref="E4:E6" si="3">B4/AVERAGE($B$3:$B$6)</f>
        <v>1.1320754716981132</v>
      </c>
      <c r="F4" s="164">
        <f>SUM(C3:D3)*E4</f>
        <v>30.2511677002243</v>
      </c>
      <c r="G4" s="124">
        <f t="shared" si="0"/>
        <v>-0.25116770022430046</v>
      </c>
      <c r="H4" s="124">
        <f t="shared" ref="H4:H14" si="4">ABS(G4)</f>
        <v>0.25116770022430046</v>
      </c>
      <c r="I4" s="124">
        <f t="shared" si="1"/>
        <v>8.3722566741433486E-3</v>
      </c>
      <c r="J4" s="124">
        <f t="shared" ref="J4:J14" si="5">G4^2</f>
        <v>6.308521363596406E-2</v>
      </c>
      <c r="K4" s="160">
        <f>SUM($G4:G4)</f>
        <v>-0.25116770022430046</v>
      </c>
      <c r="L4" s="123">
        <f>AVERAGE(H$3:H4)</f>
        <v>2.1105862690768333</v>
      </c>
      <c r="M4" s="123">
        <f>AVERAGE(I$3:I4)</f>
        <v>9.441351101728454E-2</v>
      </c>
      <c r="N4" s="123">
        <f>AVERAGE(J$3:J4)</f>
        <v>7.9120118134092685</v>
      </c>
      <c r="O4" s="123">
        <f t="shared" ref="O4:O14" si="6">K4/L4</f>
        <v>-0.11900375924181519</v>
      </c>
      <c r="Q4" s="171">
        <f>Q3*(1-Z2)</f>
        <v>19.546153846153846</v>
      </c>
      <c r="R4" s="171">
        <f>R3*Z2</f>
        <v>2.6500000000000004</v>
      </c>
      <c r="S4" s="171">
        <f>S3*(1-Z3)</f>
        <v>3.5440559440559443</v>
      </c>
      <c r="T4" s="171">
        <f>T3*Z3</f>
        <v>0.98165501165501112</v>
      </c>
      <c r="U4" s="171">
        <f>U3*(1-Z4)</f>
        <v>0.66415094339622649</v>
      </c>
      <c r="V4" s="171">
        <f>V3*Z4</f>
        <v>0.20440377804014168</v>
      </c>
      <c r="W4" s="57"/>
      <c r="X4" s="57" t="s">
        <v>153</v>
      </c>
      <c r="Y4" s="167" t="s">
        <v>161</v>
      </c>
      <c r="Z4" s="161">
        <v>0.2</v>
      </c>
      <c r="AA4" s="57"/>
      <c r="AI4" s="57"/>
      <c r="AJ4" s="57"/>
      <c r="AK4" s="57"/>
      <c r="BE4" s="57"/>
      <c r="BF4" s="57"/>
      <c r="BG4" s="57"/>
      <c r="BH4" s="57"/>
      <c r="BI4" s="57"/>
    </row>
    <row r="5" spans="1:61" customFormat="1" ht="16.5" x14ac:dyDescent="0.3">
      <c r="A5" s="74">
        <v>3</v>
      </c>
      <c r="B5" s="149">
        <v>28</v>
      </c>
      <c r="C5" s="141">
        <f>(1-$Z$2)*(C4+D4)+$Z$2*B5/E5</f>
        <v>30.74885678321678</v>
      </c>
      <c r="D5" s="141">
        <f t="shared" si="2"/>
        <v>4.4268546200466199</v>
      </c>
      <c r="E5" s="143">
        <f t="shared" si="3"/>
        <v>1.0566037735849056</v>
      </c>
      <c r="F5" s="164">
        <f t="shared" ref="F5:F14" si="7">SUM(C4:D4)*E5</f>
        <v>32.98817567840964</v>
      </c>
      <c r="G5" s="124">
        <f t="shared" si="0"/>
        <v>-4.9881756784096396</v>
      </c>
      <c r="H5" s="124">
        <f t="shared" si="4"/>
        <v>4.9881756784096396</v>
      </c>
      <c r="I5" s="124">
        <f t="shared" si="1"/>
        <v>0.17814913137177285</v>
      </c>
      <c r="J5" s="124">
        <f t="shared" si="5"/>
        <v>24.881896598677468</v>
      </c>
      <c r="K5" s="160">
        <f>SUM($G5:G5)</f>
        <v>-4.9881756784096396</v>
      </c>
      <c r="L5" s="123">
        <f>AVERAGE(H$3:H5)</f>
        <v>3.0697827388544354</v>
      </c>
      <c r="M5" s="123">
        <f>AVERAGE(I$3:I5)</f>
        <v>0.12232538446878065</v>
      </c>
      <c r="N5" s="123">
        <f>AVERAGE(J$3:J5)</f>
        <v>13.568640075165334</v>
      </c>
      <c r="O5" s="123">
        <f t="shared" si="6"/>
        <v>-1.6249279192543442</v>
      </c>
      <c r="Q5" s="171"/>
      <c r="R5" s="171">
        <f>Q4+R4</f>
        <v>22.196153846153848</v>
      </c>
      <c r="S5" s="171"/>
      <c r="T5" s="171">
        <f>S4+T4</f>
        <v>4.5257109557109558</v>
      </c>
      <c r="U5" s="171"/>
      <c r="V5" s="171">
        <f>U4+V4</f>
        <v>0.86855472143636814</v>
      </c>
      <c r="AI5" s="57"/>
      <c r="AJ5" s="57"/>
      <c r="AK5" s="57"/>
      <c r="BE5" s="57"/>
      <c r="BF5" s="57"/>
      <c r="BG5" s="57"/>
      <c r="BH5" s="57"/>
      <c r="BI5" s="57"/>
    </row>
    <row r="6" spans="1:61" customFormat="1" ht="16.5" x14ac:dyDescent="0.3">
      <c r="A6" s="74">
        <v>4</v>
      </c>
      <c r="B6" s="149">
        <v>26</v>
      </c>
      <c r="C6" s="141">
        <f>(1-$Z$2)*(C5+D5)+$Z$2*B6/E6</f>
        <v>34.308140262937059</v>
      </c>
      <c r="D6" s="141">
        <f t="shared" si="2"/>
        <v>4.2533403919813519</v>
      </c>
      <c r="E6" s="143">
        <f t="shared" si="3"/>
        <v>0.98113207547169812</v>
      </c>
      <c r="F6" s="164">
        <f t="shared" si="7"/>
        <v>34.512018735277294</v>
      </c>
      <c r="G6" s="124">
        <f t="shared" si="0"/>
        <v>-8.5120187352772945</v>
      </c>
      <c r="H6" s="124">
        <f t="shared" si="4"/>
        <v>8.5120187352772945</v>
      </c>
      <c r="I6" s="124">
        <f t="shared" si="1"/>
        <v>0.32738533597220365</v>
      </c>
      <c r="J6" s="124">
        <f t="shared" si="5"/>
        <v>72.454462949711669</v>
      </c>
      <c r="K6" s="160">
        <f>SUM($G6:G6)</f>
        <v>-8.5120187352772945</v>
      </c>
      <c r="L6" s="123">
        <f>AVERAGE(H$3:H6)</f>
        <v>4.4303417379601502</v>
      </c>
      <c r="M6" s="123">
        <f>AVERAGE(I$3:I6)</f>
        <v>0.1735903723446364</v>
      </c>
      <c r="N6" s="123">
        <f>AVERAGE(J$3:J6)</f>
        <v>28.290095793801918</v>
      </c>
      <c r="O6" s="123">
        <f t="shared" si="6"/>
        <v>-1.921300711939314</v>
      </c>
      <c r="Q6" s="57"/>
      <c r="R6" s="57"/>
      <c r="S6" s="57"/>
      <c r="T6" s="57"/>
      <c r="U6" s="57"/>
      <c r="V6" s="57"/>
      <c r="AI6" s="57"/>
      <c r="AJ6" s="57"/>
      <c r="AK6" s="57"/>
      <c r="BE6" s="57"/>
      <c r="BF6" s="57"/>
      <c r="BG6" s="57"/>
      <c r="BH6" s="57"/>
      <c r="BI6" s="57"/>
    </row>
    <row r="7" spans="1:61" customFormat="1" ht="16.5" x14ac:dyDescent="0.3">
      <c r="A7" s="74">
        <v>5</v>
      </c>
      <c r="B7" s="149">
        <v>40</v>
      </c>
      <c r="C7" s="141">
        <f>(1-$Z$2)*(C6+D6)+$Z$2*B7/E7</f>
        <v>39.320282267137756</v>
      </c>
      <c r="D7" s="141">
        <f t="shared" si="2"/>
        <v>4.4051007144252212</v>
      </c>
      <c r="E7" s="141">
        <f>(1-$Z$4)*E3+$Z$4*B3/(C2+D2)</f>
        <v>0.86674834599362915</v>
      </c>
      <c r="F7" s="164">
        <f t="shared" si="7"/>
        <v>33.423099576715863</v>
      </c>
      <c r="G7" s="124">
        <f t="shared" si="0"/>
        <v>6.5769004232841368</v>
      </c>
      <c r="H7" s="124">
        <f t="shared" si="4"/>
        <v>6.5769004232841368</v>
      </c>
      <c r="I7" s="124">
        <f t="shared" si="1"/>
        <v>0.16442251058210341</v>
      </c>
      <c r="J7" s="124">
        <f t="shared" si="5"/>
        <v>43.255619177795062</v>
      </c>
      <c r="K7" s="160">
        <f>SUM($G7:G7)</f>
        <v>6.5769004232841368</v>
      </c>
      <c r="L7" s="123">
        <f>AVERAGE(H$3:H7)</f>
        <v>4.8596534750249472</v>
      </c>
      <c r="M7" s="123">
        <f>AVERAGE(I$3:I7)</f>
        <v>0.17175679999212981</v>
      </c>
      <c r="N7" s="123">
        <f>AVERAGE(J$3:J7)</f>
        <v>31.283200470600548</v>
      </c>
      <c r="O7" s="123">
        <f t="shared" si="6"/>
        <v>1.3533681891280065</v>
      </c>
      <c r="Q7" s="57"/>
      <c r="R7" s="57"/>
      <c r="S7" s="57"/>
      <c r="T7" s="57"/>
      <c r="U7" s="57"/>
      <c r="V7" s="57"/>
      <c r="AI7" s="57"/>
      <c r="AJ7" s="57"/>
      <c r="AK7" s="57"/>
      <c r="BE7" s="57"/>
      <c r="BF7" s="57"/>
      <c r="BG7" s="57"/>
      <c r="BH7" s="57"/>
      <c r="BI7" s="57"/>
    </row>
    <row r="8" spans="1:61" customFormat="1" ht="16.5" x14ac:dyDescent="0.3">
      <c r="A8" s="74">
        <v>6</v>
      </c>
      <c r="B8" s="149">
        <v>55</v>
      </c>
      <c r="C8" s="141">
        <f>(1-$Z$2)*(C7+D7)+$Z$2*B8/E8</f>
        <v>44.219258935057205</v>
      </c>
      <c r="D8" s="141">
        <f t="shared" si="2"/>
        <v>4.5038759051240671</v>
      </c>
      <c r="E8" s="141">
        <f>(1-$Z$4)*E4+$Z$4*B4/(C3+D3)</f>
        <v>1.1301956051387496</v>
      </c>
      <c r="F8" s="164">
        <f t="shared" si="7"/>
        <v>49.418235678771154</v>
      </c>
      <c r="G8" s="124">
        <f t="shared" si="0"/>
        <v>5.5817643212288459</v>
      </c>
      <c r="H8" s="124">
        <f t="shared" si="4"/>
        <v>5.5817643212288459</v>
      </c>
      <c r="I8" s="124">
        <f t="shared" si="1"/>
        <v>0.10148662402234265</v>
      </c>
      <c r="J8" s="124">
        <f t="shared" si="5"/>
        <v>31.15609293774332</v>
      </c>
      <c r="K8" s="160">
        <f>SUM($G8:G8)</f>
        <v>5.5817643212288459</v>
      </c>
      <c r="L8" s="123">
        <f>AVERAGE(H$3:H8)</f>
        <v>4.9800052827255969</v>
      </c>
      <c r="M8" s="123">
        <f>AVERAGE(I$3:I8)</f>
        <v>0.16004510399716529</v>
      </c>
      <c r="N8" s="123">
        <f>AVERAGE(J$3:J8)</f>
        <v>31.262015881791012</v>
      </c>
      <c r="O8" s="123">
        <f t="shared" si="6"/>
        <v>1.1208350201134529</v>
      </c>
      <c r="Q8" s="57"/>
      <c r="R8" s="57"/>
      <c r="S8" s="57"/>
      <c r="T8" s="57"/>
      <c r="U8" s="57"/>
      <c r="V8" s="57"/>
      <c r="AI8" s="57"/>
      <c r="AJ8" s="57"/>
      <c r="AK8" s="57"/>
      <c r="BE8" s="57"/>
      <c r="BF8" s="57"/>
      <c r="BG8" s="57"/>
      <c r="BH8" s="57"/>
      <c r="BI8" s="57"/>
    </row>
    <row r="9" spans="1:61" customFormat="1" ht="16.5" x14ac:dyDescent="0.3">
      <c r="A9" s="74">
        <v>7</v>
      </c>
      <c r="B9" s="149">
        <v>49</v>
      </c>
      <c r="C9" s="141">
        <f>(1-$Z$2)*(C8+D8)+$Z$2*B9/E9</f>
        <v>48.632943261990135</v>
      </c>
      <c r="D9" s="141">
        <f t="shared" si="2"/>
        <v>4.4858375894858398</v>
      </c>
      <c r="E9" s="141">
        <f>(1-$Z$4)*E5+$Z$4*B5/(C4+D4)</f>
        <v>1.0246497468057798</v>
      </c>
      <c r="F9" s="164">
        <f t="shared" si="7"/>
        <v>49.924147777575612</v>
      </c>
      <c r="G9" s="124">
        <f t="shared" si="0"/>
        <v>-0.92414777757561239</v>
      </c>
      <c r="H9" s="124">
        <f t="shared" si="4"/>
        <v>0.92414777757561239</v>
      </c>
      <c r="I9" s="124">
        <f t="shared" si="1"/>
        <v>1.8860158726032906E-2</v>
      </c>
      <c r="J9" s="124">
        <f t="shared" si="5"/>
        <v>0.85404911479794354</v>
      </c>
      <c r="K9" s="160">
        <f>SUM($G9:G9)</f>
        <v>-0.92414777757561239</v>
      </c>
      <c r="L9" s="123">
        <f>AVERAGE(H$3:H9)</f>
        <v>4.4005970677041706</v>
      </c>
      <c r="M9" s="123">
        <f>AVERAGE(I$3:I9)</f>
        <v>0.13987582610128921</v>
      </c>
      <c r="N9" s="123">
        <f>AVERAGE(J$3:J9)</f>
        <v>26.918020629363429</v>
      </c>
      <c r="O9" s="123">
        <f t="shared" si="6"/>
        <v>-0.21000508870896201</v>
      </c>
      <c r="Q9" s="57"/>
      <c r="R9" s="57"/>
      <c r="S9" s="57"/>
      <c r="T9" s="57"/>
      <c r="U9" s="57"/>
      <c r="V9" s="57"/>
      <c r="AI9" s="57"/>
      <c r="AJ9" s="57"/>
      <c r="AK9" s="57"/>
      <c r="BE9" s="57"/>
      <c r="BF9" s="57"/>
      <c r="BG9" s="57"/>
      <c r="BH9" s="57"/>
      <c r="BI9" s="57"/>
    </row>
    <row r="10" spans="1:61" customFormat="1" ht="16.5" x14ac:dyDescent="0.3">
      <c r="A10" s="74">
        <v>8</v>
      </c>
      <c r="B10" s="149">
        <v>40</v>
      </c>
      <c r="C10" s="141">
        <f>(1-$Z$2)*(C9+D9)+$Z$2*B10/E10</f>
        <v>52.095366549385993</v>
      </c>
      <c r="D10" s="141">
        <f t="shared" si="2"/>
        <v>4.2811547290678433</v>
      </c>
      <c r="E10" s="141">
        <f>(1-$Z$4)*E6+$Z$4*B6/(C5+D5)</f>
        <v>0.9327349378121732</v>
      </c>
      <c r="F10" s="164">
        <f t="shared" si="7"/>
        <v>49.545742754159903</v>
      </c>
      <c r="G10" s="124">
        <f t="shared" si="0"/>
        <v>-9.5457427541599031</v>
      </c>
      <c r="H10" s="124">
        <f t="shared" si="4"/>
        <v>9.5457427541599031</v>
      </c>
      <c r="I10" s="124">
        <f t="shared" si="1"/>
        <v>0.23864356885399757</v>
      </c>
      <c r="J10" s="124">
        <f t="shared" si="5"/>
        <v>91.121204728596297</v>
      </c>
      <c r="K10" s="160">
        <f>SUM($G10:G10)</f>
        <v>-9.5457427541599031</v>
      </c>
      <c r="L10" s="123">
        <f>AVERAGE(H$3:H10)</f>
        <v>5.0437402785111374</v>
      </c>
      <c r="M10" s="123">
        <f>AVERAGE(I$3:I10)</f>
        <v>0.15222179394537777</v>
      </c>
      <c r="N10" s="123">
        <f>AVERAGE(J$3:J10)</f>
        <v>34.943418641767536</v>
      </c>
      <c r="O10" s="123">
        <f t="shared" si="6"/>
        <v>-1.8925920501556264</v>
      </c>
      <c r="AI10" s="57"/>
      <c r="AJ10" s="57"/>
      <c r="AK10" s="57"/>
      <c r="BE10" s="57"/>
      <c r="BF10" s="57"/>
      <c r="BG10" s="57"/>
      <c r="BH10" s="57"/>
      <c r="BI10" s="57"/>
    </row>
    <row r="11" spans="1:61" customFormat="1" ht="16.5" x14ac:dyDescent="0.3">
      <c r="A11" s="74">
        <v>9</v>
      </c>
      <c r="B11" s="149">
        <v>55</v>
      </c>
      <c r="C11" s="141">
        <f>(1-$Z$2)*(C10+D10)+$Z$2*B11/E11</f>
        <v>56.844149107286633</v>
      </c>
      <c r="D11" s="141">
        <f t="shared" si="2"/>
        <v>4.3746802948344028</v>
      </c>
      <c r="E11" s="141">
        <f>(1-$Z$4)*E7+$Z$4*B7/(C6+D6)</f>
        <v>0.90085959022794659</v>
      </c>
      <c r="F11" s="164">
        <f t="shared" si="7"/>
        <v>50.787329857385032</v>
      </c>
      <c r="G11" s="124">
        <f t="shared" si="0"/>
        <v>4.212670142614968</v>
      </c>
      <c r="H11" s="124">
        <f t="shared" si="4"/>
        <v>4.212670142614968</v>
      </c>
      <c r="I11" s="124">
        <f t="shared" si="1"/>
        <v>7.6594002592999422E-2</v>
      </c>
      <c r="J11" s="124">
        <f t="shared" si="5"/>
        <v>17.746589730479613</v>
      </c>
      <c r="K11" s="160">
        <f>SUM($G11:G11)</f>
        <v>4.212670142614968</v>
      </c>
      <c r="L11" s="123">
        <f>AVERAGE(H$3:H11)</f>
        <v>4.9513991523004517</v>
      </c>
      <c r="M11" s="123">
        <f>AVERAGE(I$3:I11)</f>
        <v>0.14381870601733573</v>
      </c>
      <c r="N11" s="123">
        <f>AVERAGE(J$3:J11)</f>
        <v>33.032659873846654</v>
      </c>
      <c r="O11" s="123">
        <f t="shared" si="6"/>
        <v>0.85080398752698705</v>
      </c>
      <c r="AI11" s="57"/>
      <c r="AJ11" s="57"/>
      <c r="AK11" s="57"/>
      <c r="BE11" s="57"/>
      <c r="BF11" s="57"/>
      <c r="BG11" s="57"/>
      <c r="BH11" s="57"/>
      <c r="BI11" s="57"/>
    </row>
    <row r="12" spans="1:61" customFormat="1" ht="16.5" x14ac:dyDescent="0.3">
      <c r="A12" s="74">
        <v>10</v>
      </c>
      <c r="B12" s="149">
        <v>79</v>
      </c>
      <c r="C12" s="141">
        <f>(1-$Z$2)*(C11+D11)+$Z$2*B12/E12</f>
        <v>61.932473088593632</v>
      </c>
      <c r="D12" s="141">
        <f t="shared" si="2"/>
        <v>4.5174090321289224</v>
      </c>
      <c r="E12" s="141">
        <f>(1-$Z$4)*E8+$Z$4*B8/(C7+D7)</f>
        <v>1.1557266076851764</v>
      </c>
      <c r="F12" s="164">
        <f t="shared" si="7"/>
        <v>70.752230031370885</v>
      </c>
      <c r="G12" s="124">
        <f t="shared" si="0"/>
        <v>8.2477699686291146</v>
      </c>
      <c r="H12" s="124">
        <f t="shared" si="4"/>
        <v>8.2477699686291146</v>
      </c>
      <c r="I12" s="124">
        <f t="shared" si="1"/>
        <v>0.10440215150163436</v>
      </c>
      <c r="J12" s="124">
        <f t="shared" si="5"/>
        <v>68.025709455420312</v>
      </c>
      <c r="K12" s="160">
        <f>SUM($G12:G12)</f>
        <v>8.2477699686291146</v>
      </c>
      <c r="L12" s="123">
        <f>AVERAGE(H$3:H12)</f>
        <v>5.2810362339333183</v>
      </c>
      <c r="M12" s="123">
        <f>AVERAGE(I$3:I12)</f>
        <v>0.1398770505657656</v>
      </c>
      <c r="N12" s="123">
        <f>AVERAGE(J$3:J12)</f>
        <v>36.531964832004022</v>
      </c>
      <c r="O12" s="123">
        <f t="shared" si="6"/>
        <v>1.5617711379507373</v>
      </c>
      <c r="AI12" s="57"/>
      <c r="AJ12" s="57"/>
      <c r="AK12" s="57"/>
      <c r="BE12" s="57"/>
      <c r="BF12" s="57"/>
      <c r="BG12" s="57"/>
      <c r="BH12" s="57"/>
      <c r="BI12" s="57"/>
    </row>
    <row r="13" spans="1:61" customFormat="1" ht="16.5" x14ac:dyDescent="0.3">
      <c r="A13" s="74">
        <v>11</v>
      </c>
      <c r="B13" s="149">
        <v>68</v>
      </c>
      <c r="C13" s="141">
        <f>(1-$Z$2)*(C12+D12)+$Z$2*B13/E13</f>
        <v>66.46596866311458</v>
      </c>
      <c r="D13" s="141">
        <f t="shared" si="2"/>
        <v>4.5206263406073282</v>
      </c>
      <c r="E13" s="141">
        <f>(1-$Z$4)*E9+$Z$4*B9/(C8+D8)</f>
        <v>1.0208562808040256</v>
      </c>
      <c r="F13" s="164">
        <f t="shared" si="7"/>
        <v>67.835779521626733</v>
      </c>
      <c r="G13" s="124">
        <f t="shared" si="0"/>
        <v>0.16422047837326659</v>
      </c>
      <c r="H13" s="124">
        <f t="shared" si="4"/>
        <v>0.16422047837326659</v>
      </c>
      <c r="I13" s="124">
        <f t="shared" si="1"/>
        <v>2.4150070349009791E-3</v>
      </c>
      <c r="J13" s="124">
        <f t="shared" si="5"/>
        <v>2.6968365517144519E-2</v>
      </c>
      <c r="K13" s="160">
        <f>SUM($G13:G13)</f>
        <v>0.16422047837326659</v>
      </c>
      <c r="L13" s="123">
        <f>AVERAGE(H$3:H13)</f>
        <v>4.8158711652460404</v>
      </c>
      <c r="M13" s="123">
        <f>AVERAGE(I$3:I13)</f>
        <v>0.12738050115386881</v>
      </c>
      <c r="N13" s="123">
        <f>AVERAGE(J$3:J13)</f>
        <v>33.213328789596126</v>
      </c>
      <c r="O13" s="123">
        <f t="shared" si="6"/>
        <v>3.4099848758075459E-2</v>
      </c>
      <c r="AI13" s="57"/>
      <c r="AJ13" s="57"/>
      <c r="AK13" s="57"/>
      <c r="BE13" s="57"/>
      <c r="BF13" s="57"/>
      <c r="BG13" s="57"/>
      <c r="BH13" s="57"/>
      <c r="BI13" s="57"/>
    </row>
    <row r="14" spans="1:61" customFormat="1" ht="16.5" x14ac:dyDescent="0.3">
      <c r="A14" s="74">
        <v>12</v>
      </c>
      <c r="B14" s="149">
        <v>61</v>
      </c>
      <c r="C14" s="141">
        <f>(1-$Z$2)*(C13+D13)+$Z$2*B14/E14</f>
        <v>70.689944937755655</v>
      </c>
      <c r="D14" s="141">
        <f t="shared" si="2"/>
        <v>4.4612963274140771</v>
      </c>
      <c r="E14" s="141">
        <f>(1-$Z$4)*E10+$Z$4*B10/(C9+D9)</f>
        <v>0.89679381641915601</v>
      </c>
      <c r="F14" s="164">
        <f t="shared" si="7"/>
        <v>63.660339447988754</v>
      </c>
      <c r="G14" s="124">
        <f t="shared" si="0"/>
        <v>-2.6603394479887541</v>
      </c>
      <c r="H14" s="124">
        <f t="shared" si="4"/>
        <v>2.6603394479887541</v>
      </c>
      <c r="I14" s="124">
        <f t="shared" si="1"/>
        <v>4.3612122098176297E-2</v>
      </c>
      <c r="J14" s="124">
        <f t="shared" si="5"/>
        <v>7.0774059785251087</v>
      </c>
      <c r="K14" s="160">
        <f>SUM($G14:G14)</f>
        <v>-2.6603394479887541</v>
      </c>
      <c r="L14" s="123">
        <f>AVERAGE(H$3:H14)</f>
        <v>4.6362435221412666</v>
      </c>
      <c r="M14" s="123">
        <f>AVERAGE(I$3:I14)</f>
        <v>0.12039980289922776</v>
      </c>
      <c r="N14" s="123">
        <f>AVERAGE(J$3:J14)</f>
        <v>31.035335222006875</v>
      </c>
      <c r="O14" s="123">
        <f t="shared" si="6"/>
        <v>-0.57381357025009472</v>
      </c>
      <c r="AI14" s="57"/>
      <c r="AJ14" s="57"/>
      <c r="AK14" s="57"/>
      <c r="BE14" s="57"/>
      <c r="BF14" s="57"/>
      <c r="BG14" s="57"/>
      <c r="BH14" s="57"/>
      <c r="BI14" s="57"/>
    </row>
    <row r="15" spans="1:61" ht="16.5" x14ac:dyDescent="0.3">
      <c r="A15" s="74">
        <v>13</v>
      </c>
      <c r="B15"/>
      <c r="C15" s="141">
        <f>(1-$Z$2)*(C14+D14)+$Z$2*B15/E15</f>
        <v>67.636117138652764</v>
      </c>
      <c r="D15" s="141">
        <f t="shared" ref="D15:D18" si="8">(1-$C$23)*D14+$C$23*(C15-C14)</f>
        <v>2.9582715021106836</v>
      </c>
      <c r="E15" s="141">
        <f>(1-$Z$4)*E11+$Z$4*B11/(C10+D10)</f>
        <v>0.91580435818128603</v>
      </c>
      <c r="F15" s="165">
        <f>($C$14+(A15-$A$14)*$D$14)*E15</f>
        <v>68.823834273375738</v>
      </c>
      <c r="G15" s="112"/>
      <c r="H15" s="124"/>
      <c r="I15" s="112"/>
      <c r="J15"/>
      <c r="K15"/>
      <c r="L15"/>
      <c r="M15"/>
      <c r="N1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"/>
      <c r="AM15" s="6"/>
      <c r="AN15" s="6"/>
      <c r="AO15" s="6"/>
      <c r="AP15" s="6"/>
      <c r="AQ15" s="6"/>
      <c r="AR15" s="6"/>
      <c r="BE15"/>
      <c r="BF15"/>
      <c r="BG15"/>
      <c r="BH15"/>
      <c r="BI15"/>
    </row>
    <row r="16" spans="1:61" ht="16.5" x14ac:dyDescent="0.3">
      <c r="A16" s="74">
        <v>14</v>
      </c>
      <c r="B16"/>
      <c r="C16" s="141">
        <f>(1-$Z$2)*(C15+D15)+$Z$2*B16/E16</f>
        <v>63.5349497766871</v>
      </c>
      <c r="D16" s="141">
        <f t="shared" si="8"/>
        <v>1.5463837292954139</v>
      </c>
      <c r="E16" s="141">
        <f>(1-$Z$4)*E12+$Z$4*B12/(C11+D11)</f>
        <v>1.1826718140838579</v>
      </c>
      <c r="F16" s="165">
        <f t="shared" ref="F16:F18" si="9">($C$14+(A16-$A$14)*$D$14)*E16</f>
        <v>94.155504258440416</v>
      </c>
      <c r="G16" s="65"/>
      <c r="H16" s="12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"/>
      <c r="AM16" s="6"/>
      <c r="AN16" s="6"/>
      <c r="AO16" s="6"/>
      <c r="AP16" s="6"/>
      <c r="AQ16" s="6"/>
      <c r="AR16" s="6"/>
      <c r="BE16"/>
      <c r="BF16"/>
      <c r="BG16"/>
      <c r="BH16"/>
      <c r="BI16"/>
    </row>
    <row r="17" spans="1:61" ht="16.5" x14ac:dyDescent="0.3">
      <c r="A17" s="74">
        <v>15</v>
      </c>
      <c r="C17" s="141">
        <f>(1-$Z$2)*(C16+D16)+$Z$2*B17/E17</f>
        <v>58.573200155384264</v>
      </c>
      <c r="D17" s="141">
        <f t="shared" si="8"/>
        <v>0.24475705917576407</v>
      </c>
      <c r="E17" s="141">
        <f>(1-$Z$4)*E13+$Z$4*B13/(C12+D12)</f>
        <v>1.0213505494863233</v>
      </c>
      <c r="F17" s="165">
        <f t="shared" si="9"/>
        <v>85.868856471611721</v>
      </c>
      <c r="H17" s="124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"/>
      <c r="AM17" s="6"/>
      <c r="AN17" s="6"/>
      <c r="AO17" s="6"/>
      <c r="AP17" s="6"/>
      <c r="AQ17" s="6"/>
      <c r="AR17" s="6"/>
      <c r="BE17"/>
      <c r="BF17"/>
      <c r="BG17"/>
      <c r="BH17"/>
      <c r="BI17"/>
    </row>
    <row r="18" spans="1:61" ht="16.5" x14ac:dyDescent="0.3">
      <c r="A18" s="74">
        <v>16</v>
      </c>
      <c r="C18" s="141">
        <f>(1-$Z$2)*(C17+D17)+$Z$2*B18/E18</f>
        <v>52.936161493104024</v>
      </c>
      <c r="D18" s="141">
        <f t="shared" si="8"/>
        <v>-0.93160208511543685</v>
      </c>
      <c r="E18" s="141">
        <f>(1-$Z$4)*E14+$Z$4*B14/(C13+D13)</f>
        <v>0.88929848734230921</v>
      </c>
      <c r="F18" s="165">
        <f t="shared" si="9"/>
        <v>78.734157405677777</v>
      </c>
      <c r="H18" s="124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"/>
      <c r="AM18" s="6"/>
      <c r="AN18" s="6"/>
      <c r="AO18" s="6"/>
      <c r="AP18" s="6"/>
      <c r="AQ18" s="6"/>
      <c r="AR18" s="6"/>
      <c r="BE18"/>
      <c r="BF18"/>
      <c r="BG18"/>
      <c r="BH18"/>
      <c r="BI18"/>
    </row>
    <row r="19" spans="1:61" x14ac:dyDescent="0.25">
      <c r="A19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"/>
      <c r="AM19" s="6"/>
      <c r="AN19" s="6"/>
      <c r="AO19" s="6"/>
      <c r="AP19" s="6"/>
      <c r="AQ19" s="6"/>
      <c r="AR19" s="6"/>
      <c r="BE19"/>
      <c r="BF19"/>
      <c r="BG19"/>
      <c r="BH19"/>
      <c r="BI19"/>
    </row>
    <row r="20" spans="1:61" x14ac:dyDescent="0.25">
      <c r="A20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"/>
      <c r="AM20" s="6"/>
      <c r="AN20" s="6"/>
      <c r="AO20" s="6"/>
      <c r="AP20" s="6"/>
      <c r="AQ20" s="6"/>
      <c r="AR20" s="6"/>
      <c r="BE20"/>
      <c r="BF20"/>
      <c r="BG20"/>
      <c r="BH20"/>
      <c r="BI20"/>
    </row>
    <row r="21" spans="1:61" x14ac:dyDescent="0.25">
      <c r="A21"/>
      <c r="B21" s="57" t="s">
        <v>87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"/>
      <c r="AM21" s="6"/>
      <c r="AN21" s="6"/>
      <c r="AO21" s="6"/>
      <c r="AP21" s="6"/>
      <c r="AQ21" s="6"/>
      <c r="AR21" s="6"/>
      <c r="BE21"/>
      <c r="BF21"/>
      <c r="BG21"/>
      <c r="BH21"/>
      <c r="BI21"/>
    </row>
    <row r="22" spans="1:61" x14ac:dyDescent="0.25">
      <c r="A22"/>
      <c r="B22" s="57" t="s">
        <v>154</v>
      </c>
      <c r="C22" s="57">
        <v>0.1</v>
      </c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"/>
      <c r="AM22" s="6"/>
      <c r="AN22" s="6"/>
      <c r="AO22" s="6"/>
      <c r="AP22" s="6"/>
      <c r="AQ22" s="6"/>
      <c r="AR22" s="6"/>
      <c r="BE22"/>
      <c r="BF22"/>
      <c r="BG22"/>
      <c r="BH22"/>
      <c r="BI22"/>
    </row>
    <row r="23" spans="1:61" x14ac:dyDescent="0.25">
      <c r="A23"/>
      <c r="B23" s="57" t="s">
        <v>152</v>
      </c>
      <c r="C23" s="57">
        <v>0.2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"/>
      <c r="AM23" s="6"/>
      <c r="AN23" s="6"/>
      <c r="AO23" s="6"/>
      <c r="AP23" s="6"/>
      <c r="AQ23" s="6"/>
      <c r="AR23" s="6"/>
      <c r="BE23"/>
      <c r="BF23"/>
      <c r="BG23"/>
      <c r="BH23"/>
      <c r="BI23"/>
    </row>
    <row r="24" spans="1:61" x14ac:dyDescent="0.25">
      <c r="A24"/>
      <c r="B24" s="57" t="s">
        <v>153</v>
      </c>
      <c r="C24" s="57">
        <v>0.2</v>
      </c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"/>
      <c r="AM24" s="6"/>
      <c r="AN24" s="6"/>
      <c r="AO24" s="6"/>
      <c r="AP24" s="6"/>
      <c r="AQ24" s="6"/>
      <c r="AR24" s="6"/>
      <c r="BE24"/>
      <c r="BF24"/>
      <c r="BG24"/>
      <c r="BH24"/>
      <c r="BI24"/>
    </row>
    <row r="25" spans="1:61" x14ac:dyDescent="0.25">
      <c r="A2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"/>
      <c r="AM25" s="6"/>
      <c r="AN25" s="6"/>
      <c r="AO25" s="6"/>
      <c r="AP25" s="6"/>
      <c r="AQ25" s="6"/>
      <c r="AR25" s="6"/>
      <c r="BE25"/>
      <c r="BF25"/>
      <c r="BG25"/>
      <c r="BH25"/>
      <c r="BI25"/>
    </row>
    <row r="26" spans="1:61" x14ac:dyDescent="0.25">
      <c r="A26"/>
      <c r="B26" s="57" t="s">
        <v>140</v>
      </c>
      <c r="C26"/>
      <c r="D26"/>
      <c r="E26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"/>
      <c r="AM26" s="6"/>
      <c r="AN26" s="6"/>
      <c r="AO26" s="6"/>
      <c r="AP26" s="6"/>
      <c r="AQ26" s="6"/>
      <c r="AR26" s="6"/>
      <c r="BE26"/>
      <c r="BF26"/>
      <c r="BG26"/>
      <c r="BH26"/>
      <c r="BI26"/>
    </row>
    <row r="27" spans="1:61" x14ac:dyDescent="0.25">
      <c r="A27"/>
      <c r="B27" s="57" t="s">
        <v>141</v>
      </c>
      <c r="C27" s="123"/>
      <c r="D27"/>
      <c r="E27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"/>
      <c r="AM27" s="6"/>
      <c r="AN27" s="6"/>
      <c r="AO27" s="6"/>
      <c r="AP27" s="6"/>
      <c r="AQ27" s="6"/>
      <c r="AR27" s="6"/>
      <c r="BE27"/>
      <c r="BF27"/>
      <c r="BG27"/>
      <c r="BH27"/>
      <c r="BI27"/>
    </row>
    <row r="28" spans="1:61" x14ac:dyDescent="0.25">
      <c r="A28"/>
      <c r="B28" s="57" t="s">
        <v>142</v>
      </c>
      <c r="C28"/>
      <c r="D28"/>
      <c r="E2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"/>
      <c r="AM28" s="6"/>
      <c r="AN28" s="6"/>
      <c r="AO28" s="6"/>
      <c r="AP28" s="6"/>
      <c r="AQ28" s="6"/>
      <c r="AR28" s="6"/>
      <c r="BE28"/>
      <c r="BF28"/>
      <c r="BG28"/>
      <c r="BH28"/>
      <c r="BI28"/>
    </row>
    <row r="29" spans="1:61" x14ac:dyDescent="0.25">
      <c r="A29"/>
      <c r="B29" s="135" t="s">
        <v>123</v>
      </c>
      <c r="C29"/>
      <c r="D29"/>
      <c r="E29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"/>
      <c r="AM29" s="6"/>
      <c r="AN29" s="6"/>
      <c r="AO29" s="6"/>
      <c r="AP29" s="6"/>
      <c r="AQ29" s="6"/>
      <c r="AR29" s="6"/>
      <c r="BE29"/>
      <c r="BF29"/>
      <c r="BG29"/>
      <c r="BH29"/>
      <c r="BI29"/>
    </row>
    <row r="30" spans="1:61" x14ac:dyDescent="0.25">
      <c r="A30"/>
      <c r="B30" t="s">
        <v>143</v>
      </c>
      <c r="C30"/>
      <c r="D30"/>
      <c r="E30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"/>
      <c r="AM30" s="6"/>
      <c r="AN30" s="6"/>
      <c r="AO30" s="6"/>
      <c r="AP30" s="6"/>
      <c r="AQ30" s="6"/>
      <c r="AR30" s="6"/>
      <c r="BE30"/>
      <c r="BF30"/>
      <c r="BG30"/>
      <c r="BH30"/>
      <c r="BI30"/>
    </row>
    <row r="31" spans="1:61" x14ac:dyDescent="0.25">
      <c r="A31"/>
      <c r="B31" t="s">
        <v>129</v>
      </c>
      <c r="C31"/>
      <c r="D31"/>
      <c r="E31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"/>
      <c r="AM31" s="6"/>
      <c r="AN31" s="6"/>
      <c r="AO31" s="6"/>
      <c r="AP31" s="6"/>
      <c r="AQ31" s="6"/>
      <c r="AR31" s="6"/>
      <c r="BE31"/>
      <c r="BF31"/>
      <c r="BG31"/>
      <c r="BH31"/>
      <c r="BI31"/>
    </row>
    <row r="32" spans="1:61" x14ac:dyDescent="0.25">
      <c r="A32"/>
      <c r="B32" t="s">
        <v>144</v>
      </c>
      <c r="C32"/>
      <c r="D32"/>
      <c r="E32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/>
      <c r="AA32"/>
      <c r="AB32"/>
      <c r="AC32"/>
      <c r="AD32"/>
      <c r="AE32"/>
      <c r="AF32"/>
      <c r="AG32"/>
      <c r="AH32"/>
      <c r="AI32"/>
      <c r="AJ32"/>
      <c r="AK32"/>
      <c r="AL32" s="6"/>
      <c r="AM32" s="6"/>
      <c r="AN32" s="6"/>
      <c r="AO32" s="6"/>
      <c r="AP32" s="6"/>
      <c r="AQ32" s="6"/>
      <c r="AR32" s="6"/>
      <c r="BE32"/>
      <c r="BF32"/>
      <c r="BG32"/>
      <c r="BH32"/>
      <c r="BI32"/>
    </row>
    <row r="33" spans="1:61" x14ac:dyDescent="0.25">
      <c r="A33"/>
      <c r="B33" t="s">
        <v>145</v>
      </c>
      <c r="C33"/>
      <c r="D33"/>
      <c r="E33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/>
      <c r="AA33"/>
      <c r="AB33"/>
      <c r="AC33"/>
      <c r="AD33"/>
      <c r="AE33"/>
      <c r="AF33"/>
      <c r="AG33"/>
      <c r="AH33"/>
      <c r="AI33"/>
      <c r="AJ33"/>
      <c r="AK33"/>
      <c r="AL33" s="6"/>
      <c r="AM33" s="6"/>
      <c r="AN33" s="6"/>
      <c r="AO33" s="6"/>
      <c r="AP33" s="6"/>
      <c r="AQ33" s="6"/>
      <c r="AR33" s="6"/>
      <c r="BE33"/>
      <c r="BF33"/>
      <c r="BG33"/>
      <c r="BH33"/>
      <c r="BI33"/>
    </row>
    <row r="34" spans="1:61" x14ac:dyDescent="0.25">
      <c r="A34"/>
      <c r="B34" t="s">
        <v>146</v>
      </c>
      <c r="C34"/>
      <c r="D34"/>
      <c r="E3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/>
      <c r="AA34"/>
      <c r="AB34"/>
      <c r="AC34"/>
      <c r="AD34"/>
      <c r="AE34"/>
      <c r="AF34"/>
      <c r="AG34"/>
      <c r="AH34"/>
      <c r="AI34"/>
      <c r="AJ34"/>
      <c r="AK34"/>
      <c r="AL34" s="6"/>
      <c r="AM34" s="6"/>
      <c r="AN34" s="6"/>
      <c r="AO34" s="6"/>
      <c r="AP34" s="6"/>
      <c r="AQ34" s="6"/>
      <c r="AR34" s="6"/>
      <c r="BE34"/>
      <c r="BF34"/>
      <c r="BG34"/>
      <c r="BH34"/>
      <c r="BI34"/>
    </row>
    <row r="35" spans="1:61" x14ac:dyDescent="0.25">
      <c r="A35"/>
      <c r="B35"/>
      <c r="C35"/>
      <c r="D35"/>
      <c r="E3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/>
      <c r="AA35"/>
      <c r="AB35"/>
      <c r="AC35"/>
      <c r="AD35"/>
      <c r="AE35"/>
      <c r="AF35"/>
      <c r="AG35"/>
      <c r="AH35"/>
      <c r="AI35"/>
      <c r="AJ35"/>
      <c r="AK35"/>
      <c r="AL35" s="6"/>
      <c r="AM35" s="6"/>
      <c r="AN35" s="6"/>
      <c r="AO35" s="6"/>
      <c r="AP35" s="6"/>
      <c r="AQ35" s="6"/>
      <c r="AR35" s="6"/>
      <c r="BE35"/>
      <c r="BF35"/>
      <c r="BG35"/>
      <c r="BH35"/>
      <c r="BI35"/>
    </row>
    <row r="36" spans="1:61" x14ac:dyDescent="0.25">
      <c r="A36"/>
      <c r="B36"/>
      <c r="C36"/>
      <c r="D36"/>
      <c r="E36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/>
      <c r="AA36"/>
      <c r="AB36"/>
      <c r="AC36"/>
      <c r="AD36"/>
      <c r="AE36"/>
      <c r="AF36"/>
      <c r="AG36"/>
      <c r="AH36"/>
      <c r="AI36"/>
      <c r="AJ36"/>
      <c r="AK36"/>
      <c r="AL36" s="6"/>
      <c r="AM36" s="6"/>
      <c r="AN36" s="6"/>
      <c r="AO36" s="6"/>
      <c r="AP36" s="6"/>
      <c r="AQ36" s="6"/>
      <c r="AR36" s="6"/>
      <c r="BE36"/>
      <c r="BF36"/>
      <c r="BG36"/>
      <c r="BH36"/>
      <c r="BI36"/>
    </row>
    <row r="37" spans="1:61" x14ac:dyDescent="0.25">
      <c r="A37"/>
      <c r="B37"/>
      <c r="C37"/>
      <c r="D37"/>
      <c r="E3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/>
      <c r="AA37"/>
      <c r="AB37"/>
      <c r="AC37"/>
      <c r="AD37"/>
      <c r="AE37"/>
      <c r="AF37"/>
      <c r="AG37"/>
      <c r="AH37"/>
      <c r="AI37"/>
      <c r="AJ37"/>
      <c r="AK37"/>
      <c r="AL37" s="6"/>
      <c r="AM37" s="6"/>
      <c r="AN37" s="6"/>
      <c r="AO37" s="6"/>
      <c r="AP37" s="6"/>
      <c r="AQ37" s="6"/>
      <c r="AR37" s="6"/>
      <c r="BE37"/>
      <c r="BF37"/>
      <c r="BG37"/>
      <c r="BH37"/>
      <c r="BI37"/>
    </row>
    <row r="38" spans="1:61" x14ac:dyDescent="0.25">
      <c r="A38"/>
      <c r="B38"/>
      <c r="C38"/>
      <c r="D38"/>
      <c r="E3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/>
      <c r="AA38"/>
      <c r="AB38"/>
      <c r="AC38"/>
      <c r="AD38"/>
      <c r="AE38"/>
      <c r="AF38"/>
      <c r="AG38"/>
      <c r="AH38"/>
      <c r="AI38"/>
      <c r="AJ38"/>
      <c r="AK38"/>
      <c r="AL38" s="6"/>
      <c r="AM38" s="6"/>
      <c r="AN38" s="6"/>
      <c r="AO38" s="6"/>
      <c r="AP38" s="6"/>
      <c r="AQ38" s="6"/>
      <c r="AR38" s="6"/>
      <c r="BE38"/>
      <c r="BF38"/>
      <c r="BG38"/>
      <c r="BH38"/>
      <c r="BI38"/>
    </row>
    <row r="39" spans="1:61" x14ac:dyDescent="0.25">
      <c r="A39"/>
      <c r="B39"/>
      <c r="C39"/>
      <c r="D39"/>
      <c r="E39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/>
      <c r="AA39"/>
      <c r="AB39"/>
      <c r="AC39"/>
      <c r="AD39"/>
      <c r="AE39"/>
      <c r="AF39"/>
      <c r="AG39"/>
      <c r="AH39"/>
      <c r="AI39"/>
      <c r="AJ39"/>
      <c r="AK39"/>
      <c r="AL39" s="6"/>
      <c r="AM39" s="6"/>
      <c r="AN39" s="6"/>
      <c r="AO39" s="6"/>
      <c r="AP39" s="6"/>
      <c r="AQ39" s="6"/>
      <c r="AR39" s="6"/>
      <c r="BE39"/>
      <c r="BF39"/>
      <c r="BG39"/>
      <c r="BH39"/>
      <c r="BI39"/>
    </row>
    <row r="40" spans="1:61" x14ac:dyDescent="0.25">
      <c r="A40"/>
      <c r="B40"/>
      <c r="C40"/>
      <c r="D40"/>
      <c r="E40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/>
      <c r="AA40"/>
      <c r="AB40"/>
      <c r="AC40"/>
      <c r="AD40"/>
      <c r="AE40"/>
      <c r="AF40"/>
      <c r="AG40"/>
      <c r="AH40"/>
      <c r="AI40"/>
      <c r="AJ40"/>
      <c r="AK40"/>
      <c r="AL40" s="6"/>
      <c r="AM40" s="6"/>
      <c r="AN40" s="6"/>
      <c r="AO40" s="6"/>
      <c r="AP40" s="6"/>
      <c r="AQ40" s="6"/>
      <c r="AR40" s="6"/>
      <c r="BE40"/>
      <c r="BF40"/>
      <c r="BG40"/>
      <c r="BH40"/>
      <c r="BI40"/>
    </row>
    <row r="41" spans="1:61" x14ac:dyDescent="0.25">
      <c r="A41"/>
      <c r="B41"/>
      <c r="C41"/>
      <c r="D41"/>
      <c r="E41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/>
      <c r="AA41"/>
      <c r="AB41"/>
      <c r="AC41"/>
      <c r="AD41"/>
      <c r="AE41"/>
      <c r="AF41"/>
      <c r="AG41"/>
      <c r="AH41"/>
      <c r="AI41"/>
      <c r="AJ41"/>
      <c r="AK41"/>
      <c r="AL41" s="6"/>
      <c r="AM41" s="6"/>
      <c r="AN41" s="6"/>
      <c r="AO41" s="6"/>
      <c r="AP41" s="6"/>
      <c r="AQ41" s="6"/>
      <c r="AR41" s="6"/>
      <c r="BE41"/>
      <c r="BF41"/>
      <c r="BG41"/>
      <c r="BH41"/>
      <c r="BI41"/>
    </row>
    <row r="42" spans="1:61" x14ac:dyDescent="0.25">
      <c r="A42"/>
      <c r="B42"/>
      <c r="C42"/>
      <c r="D42"/>
      <c r="E42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/>
      <c r="AA42"/>
      <c r="AB42"/>
      <c r="AC42"/>
      <c r="AD42"/>
      <c r="AE42"/>
      <c r="AF42"/>
      <c r="AG42"/>
      <c r="AH42"/>
      <c r="AI42"/>
      <c r="AJ42"/>
      <c r="AK42"/>
      <c r="AL42" s="6"/>
      <c r="AM42" s="6"/>
      <c r="AN42" s="6"/>
      <c r="AO42" s="6"/>
      <c r="AP42" s="6"/>
      <c r="AQ42" s="6"/>
      <c r="AR42" s="6"/>
      <c r="BE42"/>
      <c r="BF42"/>
      <c r="BG42"/>
      <c r="BH42"/>
      <c r="BI42"/>
    </row>
    <row r="43" spans="1:61" x14ac:dyDescent="0.25">
      <c r="A43"/>
      <c r="B43"/>
      <c r="C43"/>
      <c r="D43"/>
      <c r="E43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/>
      <c r="AA43"/>
      <c r="AB43"/>
      <c r="AC43"/>
      <c r="AD43"/>
      <c r="AE43"/>
      <c r="AF43"/>
      <c r="AG43"/>
      <c r="AH43"/>
      <c r="AI43"/>
      <c r="AJ43"/>
      <c r="AK43"/>
      <c r="AL43" s="6"/>
      <c r="AM43" s="6"/>
      <c r="AN43" s="6"/>
      <c r="AO43" s="6"/>
      <c r="AP43" s="6"/>
      <c r="AQ43" s="6"/>
      <c r="AR43" s="6"/>
      <c r="BE43"/>
      <c r="BF43"/>
      <c r="BG43"/>
      <c r="BH43"/>
      <c r="BI43"/>
    </row>
    <row r="44" spans="1:61" x14ac:dyDescent="0.25">
      <c r="A44"/>
      <c r="B44"/>
      <c r="C44"/>
      <c r="D44"/>
      <c r="E4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/>
      <c r="AA44"/>
      <c r="AB44"/>
      <c r="AC44"/>
      <c r="AD44"/>
      <c r="AE44"/>
      <c r="AF44"/>
      <c r="AG44"/>
      <c r="AH44"/>
      <c r="AI44"/>
      <c r="AJ44"/>
      <c r="AK44"/>
      <c r="AL44" s="6"/>
      <c r="AM44" s="6"/>
      <c r="AN44" s="6"/>
      <c r="AO44" s="6"/>
      <c r="AP44" s="6"/>
      <c r="AQ44" s="6"/>
      <c r="AR44" s="6"/>
      <c r="BE44"/>
      <c r="BF44"/>
      <c r="BG44"/>
      <c r="BH44"/>
      <c r="BI44"/>
    </row>
    <row r="45" spans="1:61" x14ac:dyDescent="0.25">
      <c r="A45"/>
      <c r="B45"/>
      <c r="C45"/>
      <c r="D45"/>
      <c r="E4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/>
      <c r="AA45"/>
      <c r="AB45"/>
      <c r="AC45"/>
      <c r="AD45"/>
      <c r="AE45"/>
      <c r="AF45"/>
      <c r="AG45"/>
      <c r="AH45"/>
      <c r="AI45"/>
      <c r="AJ45"/>
      <c r="AK45"/>
      <c r="AL45" s="6"/>
      <c r="AM45" s="6"/>
      <c r="AN45" s="6"/>
      <c r="AO45" s="6"/>
      <c r="AP45" s="6"/>
      <c r="AQ45" s="6"/>
      <c r="AR45" s="6"/>
      <c r="BE45"/>
      <c r="BF45"/>
      <c r="BG45"/>
      <c r="BH45"/>
      <c r="BI45"/>
    </row>
    <row r="46" spans="1:61" x14ac:dyDescent="0.25">
      <c r="A46"/>
      <c r="B46"/>
      <c r="C46"/>
      <c r="D46"/>
      <c r="E46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/>
      <c r="AA46"/>
      <c r="AB46"/>
      <c r="AC46"/>
      <c r="AD46"/>
      <c r="AE46"/>
      <c r="AF46"/>
      <c r="AG46"/>
      <c r="AH46"/>
      <c r="AI46"/>
      <c r="AJ46"/>
      <c r="AK46"/>
      <c r="AL46" s="6"/>
      <c r="AM46" s="6"/>
      <c r="AN46" s="6"/>
      <c r="AO46" s="6"/>
      <c r="AP46" s="6"/>
      <c r="AQ46" s="6"/>
      <c r="AR46" s="6"/>
      <c r="BE46"/>
      <c r="BF46"/>
      <c r="BG46"/>
      <c r="BH46"/>
      <c r="BI46"/>
    </row>
    <row r="47" spans="1:61" x14ac:dyDescent="0.25">
      <c r="A47"/>
      <c r="B47"/>
      <c r="C47"/>
      <c r="D47"/>
      <c r="E47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/>
      <c r="AA47"/>
      <c r="AB47"/>
      <c r="AC47"/>
      <c r="AD47"/>
      <c r="AE47"/>
      <c r="AF47"/>
      <c r="AG47"/>
      <c r="AH47"/>
      <c r="AI47"/>
      <c r="AJ47"/>
      <c r="AK47"/>
      <c r="AL47" s="6"/>
      <c r="AM47" s="6"/>
      <c r="AN47" s="6"/>
      <c r="AO47" s="6"/>
      <c r="AP47" s="6"/>
      <c r="AQ47" s="6"/>
      <c r="AR47" s="6"/>
      <c r="BE47"/>
      <c r="BF47"/>
      <c r="BG47"/>
      <c r="BH47"/>
      <c r="BI47"/>
    </row>
    <row r="48" spans="1:61" x14ac:dyDescent="0.25">
      <c r="A48"/>
      <c r="B48"/>
      <c r="C48"/>
      <c r="D48"/>
      <c r="E4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/>
      <c r="AA48"/>
      <c r="AB48"/>
      <c r="AC48"/>
      <c r="AD48"/>
      <c r="AE48"/>
      <c r="AF48"/>
      <c r="AG48"/>
      <c r="AH48"/>
      <c r="AI48"/>
      <c r="AJ48"/>
      <c r="AK48"/>
      <c r="AL48" s="6"/>
      <c r="AM48" s="6"/>
      <c r="AN48" s="6"/>
      <c r="AO48" s="6"/>
      <c r="AP48" s="6"/>
      <c r="AQ48" s="6"/>
      <c r="AR48" s="6"/>
      <c r="BE48"/>
      <c r="BF48"/>
      <c r="BG48"/>
      <c r="BH48"/>
      <c r="BI48"/>
    </row>
    <row r="49" spans="1:61" x14ac:dyDescent="0.25">
      <c r="A49"/>
      <c r="B49"/>
      <c r="C49"/>
      <c r="D49"/>
      <c r="E49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/>
      <c r="AA49"/>
      <c r="AB49"/>
      <c r="AC49"/>
      <c r="AD49"/>
      <c r="AE49"/>
      <c r="AF49"/>
      <c r="AG49"/>
      <c r="AH49"/>
      <c r="AI49"/>
      <c r="AJ49"/>
      <c r="AK49"/>
      <c r="AL49" s="6"/>
      <c r="AM49" s="6"/>
      <c r="AN49" s="6"/>
      <c r="AO49" s="6"/>
      <c r="AP49" s="6"/>
      <c r="AQ49" s="6"/>
      <c r="AR49" s="6"/>
      <c r="BE49"/>
      <c r="BF49"/>
      <c r="BG49"/>
      <c r="BH49"/>
      <c r="BI49"/>
    </row>
    <row r="50" spans="1:61" x14ac:dyDescent="0.25">
      <c r="A50"/>
      <c r="B50"/>
      <c r="C50"/>
      <c r="D50"/>
      <c r="E50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/>
      <c r="AA50"/>
      <c r="AB50"/>
      <c r="AC50"/>
      <c r="AD50"/>
      <c r="AE50"/>
      <c r="AF50"/>
      <c r="AG50"/>
      <c r="AH50"/>
      <c r="AI50"/>
      <c r="AJ50"/>
      <c r="AK50"/>
      <c r="AL50" s="6"/>
      <c r="AM50" s="6"/>
      <c r="AN50" s="6"/>
      <c r="AO50" s="6"/>
      <c r="AP50" s="6"/>
      <c r="AQ50" s="6"/>
      <c r="AR50" s="6"/>
      <c r="BE50"/>
      <c r="BF50"/>
      <c r="BG50"/>
      <c r="BH50"/>
      <c r="BI50"/>
    </row>
    <row r="51" spans="1:61" x14ac:dyDescent="0.25">
      <c r="A51"/>
      <c r="B51"/>
      <c r="C51"/>
      <c r="D51"/>
      <c r="E51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/>
      <c r="AA51"/>
      <c r="AB51"/>
      <c r="AC51"/>
      <c r="AD51"/>
      <c r="AE51"/>
      <c r="AF51"/>
      <c r="AG51"/>
      <c r="AH51"/>
      <c r="AI51"/>
      <c r="AJ51"/>
      <c r="AK51"/>
      <c r="AL51" s="6"/>
      <c r="AM51" s="6"/>
      <c r="AN51" s="6"/>
      <c r="AO51" s="6"/>
      <c r="AP51" s="6"/>
      <c r="AQ51" s="6"/>
      <c r="AR51" s="6"/>
      <c r="BE51"/>
      <c r="BF51"/>
      <c r="BG51"/>
      <c r="BH51"/>
      <c r="BI51"/>
    </row>
    <row r="52" spans="1:61" x14ac:dyDescent="0.25">
      <c r="A52"/>
      <c r="B52"/>
      <c r="C52"/>
      <c r="D52"/>
      <c r="E52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"/>
      <c r="AM52" s="6"/>
      <c r="AN52" s="6"/>
      <c r="AO52" s="6"/>
      <c r="AP52" s="6"/>
      <c r="AQ52" s="6"/>
      <c r="AR52" s="6"/>
      <c r="BE52"/>
      <c r="BF52"/>
      <c r="BG52"/>
      <c r="BH52"/>
      <c r="BI52"/>
    </row>
    <row r="53" spans="1:61" x14ac:dyDescent="0.25">
      <c r="A53"/>
      <c r="B53"/>
      <c r="C53"/>
      <c r="D53"/>
      <c r="E53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"/>
      <c r="AM53" s="6"/>
      <c r="AN53" s="6"/>
      <c r="AO53" s="6"/>
      <c r="AP53" s="6"/>
      <c r="AQ53" s="6"/>
      <c r="AR53" s="6"/>
      <c r="BE53"/>
      <c r="BF53"/>
      <c r="BG53"/>
      <c r="BH53"/>
      <c r="BI53"/>
    </row>
    <row r="54" spans="1:61" x14ac:dyDescent="0.25">
      <c r="A54"/>
      <c r="B54"/>
      <c r="C54"/>
      <c r="D54"/>
      <c r="E5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"/>
      <c r="AM54" s="6"/>
      <c r="AN54" s="6"/>
      <c r="AO54" s="6"/>
      <c r="AP54" s="6"/>
      <c r="AQ54" s="6"/>
      <c r="AR54" s="6"/>
      <c r="BE54"/>
      <c r="BF54"/>
      <c r="BG54"/>
      <c r="BH54"/>
      <c r="BI54"/>
    </row>
    <row r="55" spans="1:61" x14ac:dyDescent="0.25">
      <c r="A55"/>
      <c r="B55"/>
      <c r="C55"/>
      <c r="D55"/>
      <c r="E5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"/>
      <c r="AM55" s="6"/>
      <c r="AN55" s="6"/>
      <c r="AO55" s="6"/>
      <c r="AP55" s="6"/>
      <c r="AQ55" s="6"/>
      <c r="AR55" s="6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</row>
    <row r="71" spans="1:61" ht="16.5" x14ac:dyDescent="0.3">
      <c r="A71"/>
      <c r="B71"/>
      <c r="C71"/>
      <c r="D71"/>
      <c r="E7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61" ht="16.5" x14ac:dyDescent="0.3">
      <c r="A72"/>
      <c r="B72"/>
      <c r="C72"/>
      <c r="D72"/>
      <c r="E72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B2F0-3C85-4409-A758-C595FC63A728}">
  <dimension ref="A1:BP298"/>
  <sheetViews>
    <sheetView zoomScale="75" zoomScaleNormal="75" workbookViewId="0">
      <selection activeCell="L11" sqref="L11"/>
    </sheetView>
  </sheetViews>
  <sheetFormatPr defaultColWidth="9.140625" defaultRowHeight="15" x14ac:dyDescent="0.25"/>
  <cols>
    <col min="1" max="1" width="4.5703125" style="57" bestFit="1" customWidth="1"/>
    <col min="2" max="2" width="17" style="57" customWidth="1"/>
    <col min="3" max="3" width="14.140625" style="57" bestFit="1" customWidth="1"/>
    <col min="4" max="4" width="11.7109375" style="57" bestFit="1" customWidth="1"/>
    <col min="5" max="5" width="9" style="57" bestFit="1" customWidth="1"/>
    <col min="6" max="6" width="5.140625" style="57" bestFit="1" customWidth="1"/>
    <col min="7" max="8" width="11.85546875" style="57" bestFit="1" customWidth="1"/>
    <col min="9" max="9" width="12.85546875" style="57" bestFit="1" customWidth="1"/>
    <col min="10" max="11" width="9.7109375" style="57" customWidth="1"/>
    <col min="12" max="12" width="11" style="57" bestFit="1" customWidth="1"/>
    <col min="13" max="13" width="20.5703125" style="57" bestFit="1" customWidth="1"/>
    <col min="14" max="16" width="9.7109375" style="57" customWidth="1"/>
    <col min="17" max="17" width="13.28515625" style="57" bestFit="1" customWidth="1"/>
    <col min="18" max="18" width="12.140625" style="57" bestFit="1" customWidth="1"/>
    <col min="19" max="19" width="13.85546875" style="57" bestFit="1" customWidth="1"/>
    <col min="20" max="20" width="12.42578125" style="57" bestFit="1" customWidth="1"/>
    <col min="21" max="21" width="12.42578125" style="57" customWidth="1"/>
    <col min="22" max="22" width="12.140625" style="57" bestFit="1" customWidth="1"/>
    <col min="23" max="26" width="9.28515625" style="57" bestFit="1" customWidth="1"/>
    <col min="27" max="28" width="9.140625" style="57"/>
    <col min="29" max="29" width="9.28515625" style="57" bestFit="1" customWidth="1"/>
    <col min="30" max="40" width="9.140625" style="57"/>
    <col min="41" max="41" width="9.140625" style="57" customWidth="1"/>
    <col min="42" max="44" width="9.140625" style="57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57"/>
  </cols>
  <sheetData>
    <row r="1" spans="1:68" customFormat="1" ht="17.25" thickBot="1" x14ac:dyDescent="0.35">
      <c r="A1" s="138" t="s">
        <v>4</v>
      </c>
      <c r="B1" s="139" t="s">
        <v>118</v>
      </c>
      <c r="C1" s="140" t="s">
        <v>147</v>
      </c>
      <c r="D1" s="140" t="s">
        <v>148</v>
      </c>
      <c r="E1" s="140" t="s">
        <v>149</v>
      </c>
      <c r="F1" s="140" t="s">
        <v>20</v>
      </c>
      <c r="G1" s="140" t="s">
        <v>150</v>
      </c>
      <c r="H1" s="140" t="s">
        <v>151</v>
      </c>
      <c r="I1" s="140" t="s">
        <v>156</v>
      </c>
      <c r="J1" s="112" t="s">
        <v>67</v>
      </c>
      <c r="K1" s="112" t="s">
        <v>19</v>
      </c>
      <c r="L1" s="112" t="s">
        <v>122</v>
      </c>
      <c r="M1" s="1" t="s">
        <v>157</v>
      </c>
      <c r="N1" s="1" t="s">
        <v>3</v>
      </c>
      <c r="O1" s="1" t="s">
        <v>2</v>
      </c>
      <c r="P1" s="1" t="s">
        <v>155</v>
      </c>
      <c r="Q1" s="1" t="s">
        <v>111</v>
      </c>
      <c r="R1" s="57" t="s">
        <v>120</v>
      </c>
      <c r="S1" s="57" t="s">
        <v>1</v>
      </c>
      <c r="T1" s="57" t="s">
        <v>114</v>
      </c>
      <c r="U1" s="57" t="s">
        <v>113</v>
      </c>
      <c r="V1" s="65" t="s">
        <v>24</v>
      </c>
    </row>
    <row r="2" spans="1:68" customFormat="1" ht="16.5" x14ac:dyDescent="0.3">
      <c r="A2" s="65">
        <v>0</v>
      </c>
      <c r="B2" s="65"/>
      <c r="C2" s="154">
        <f>INTERCEPT($C$5:$C$12,$A$5:$A$12)</f>
        <v>18438.988095238095</v>
      </c>
      <c r="D2" s="154">
        <f>SLOPE($C$5:$C$12,$A$5:$A$12)</f>
        <v>523.80952380952385</v>
      </c>
      <c r="E2" s="65"/>
      <c r="F2" s="65"/>
      <c r="G2" s="65"/>
      <c r="H2" s="65"/>
      <c r="I2" s="65"/>
      <c r="J2" s="163">
        <f>C2</f>
        <v>18438.988095238095</v>
      </c>
      <c r="K2" s="163">
        <f>D2</f>
        <v>523.80952380952385</v>
      </c>
      <c r="L2" s="140"/>
      <c r="M2" s="89"/>
      <c r="N2" s="89"/>
      <c r="O2" s="89"/>
      <c r="P2" s="89"/>
      <c r="Q2" s="89"/>
      <c r="R2" s="57"/>
      <c r="AP2" s="57"/>
      <c r="AQ2" s="57"/>
      <c r="AR2" s="57"/>
      <c r="BL2" s="57"/>
      <c r="BM2" s="57"/>
      <c r="BN2" s="57"/>
      <c r="BO2" s="57"/>
      <c r="BP2" s="57"/>
    </row>
    <row r="3" spans="1:68" customFormat="1" ht="16.5" x14ac:dyDescent="0.3">
      <c r="A3" s="74">
        <v>1</v>
      </c>
      <c r="B3" s="149">
        <v>8000</v>
      </c>
      <c r="C3" s="152"/>
      <c r="D3" s="155">
        <f t="shared" ref="D3:D14" si="0">$C$2+$D$2*A3</f>
        <v>18962.797619047618</v>
      </c>
      <c r="E3" s="156">
        <f>B3/D3</f>
        <v>0.42187867849015148</v>
      </c>
      <c r="F3" s="157">
        <f t="shared" ref="F3:F14" si="1">IF(MOD(A3,$C$37)&gt;0,MOD(A3,$C$37),$C$37)</f>
        <v>1</v>
      </c>
      <c r="G3" s="158">
        <f>AVERAGEIF($F$3:$F$30,F3,$E$3:$E$30)</f>
        <v>0.47168067193938779</v>
      </c>
      <c r="H3" s="158">
        <f>G3/AVERAGE($G$3:$G$6)</f>
        <v>0.47283758187169111</v>
      </c>
      <c r="I3" s="150">
        <f>D3*VLOOKUP(F3,$F$3:$H$6,3,0)</f>
        <v>8966.3233717127368</v>
      </c>
      <c r="J3" s="142">
        <f>(1-$C$38)*SUM(J2:K2)+$C$38*B3/L3</f>
        <v>18860.614183470476</v>
      </c>
      <c r="K3" s="142">
        <f>(1-$C$39)*K2+$C$39*(J3-J2)</f>
        <v>513.59118025180953</v>
      </c>
      <c r="L3" s="143">
        <f>H3</f>
        <v>0.47283758187169111</v>
      </c>
      <c r="M3" s="164">
        <f>(J2+K2)*L3</f>
        <v>8966.3233717127368</v>
      </c>
      <c r="N3" s="124">
        <f>B3-M3</f>
        <v>-966.32337171273684</v>
      </c>
      <c r="O3" s="124">
        <f>ABS(N3)</f>
        <v>966.32337171273684</v>
      </c>
      <c r="P3" s="124">
        <f>O3/B3</f>
        <v>0.12079042146409211</v>
      </c>
      <c r="Q3" s="124">
        <f>N3^2</f>
        <v>933780.85871827218</v>
      </c>
      <c r="R3" s="160">
        <f>SUM($N3:N3)</f>
        <v>-966.32337171273684</v>
      </c>
      <c r="S3" s="123">
        <f>AVERAGE(O$3:O3)</f>
        <v>966.32337171273684</v>
      </c>
      <c r="T3" s="123">
        <f>AVERAGE(P$3:P3)</f>
        <v>0.12079042146409211</v>
      </c>
      <c r="U3" s="123">
        <f>AVERAGE(Q$3:Q3)</f>
        <v>933780.85871827218</v>
      </c>
      <c r="V3" s="123">
        <f>R3/S3</f>
        <v>-1</v>
      </c>
      <c r="AP3" s="57"/>
      <c r="AQ3" s="57"/>
      <c r="AR3" s="57"/>
      <c r="BL3" s="57"/>
      <c r="BM3" s="57"/>
      <c r="BN3" s="57"/>
      <c r="BO3" s="57"/>
      <c r="BP3" s="57"/>
    </row>
    <row r="4" spans="1:68" customFormat="1" ht="16.5" x14ac:dyDescent="0.3">
      <c r="A4" s="74">
        <v>2</v>
      </c>
      <c r="B4" s="149">
        <v>13000</v>
      </c>
      <c r="C4" s="152"/>
      <c r="D4" s="155">
        <f t="shared" si="0"/>
        <v>19486.607142857145</v>
      </c>
      <c r="E4" s="156">
        <f t="shared" ref="E4:E14" si="2">B4/D4</f>
        <v>0.66712485681557843</v>
      </c>
      <c r="F4" s="157">
        <f t="shared" si="1"/>
        <v>2</v>
      </c>
      <c r="G4" s="158">
        <f t="shared" ref="G4:G6" si="3">AVERAGEIF($F$3:$F$30,F4,$E$3:$E$30)</f>
        <v>0.68340443601506251</v>
      </c>
      <c r="H4" s="158">
        <f>G4/AVERAGE($G$3:$G$6)</f>
        <v>0.68508064923905398</v>
      </c>
      <c r="I4" s="150">
        <f>D4*VLOOKUP(F4,$F$3:$H$6,3,0)</f>
        <v>13349.89747289496</v>
      </c>
      <c r="J4" s="142">
        <f>(1-$C$38)*(J3+K3)+$C$38*(B4/L4)</f>
        <v>19354.288497775717</v>
      </c>
      <c r="K4" s="142">
        <f>(1-$C$39)*K3+$C$39*(J4-J3)</f>
        <v>511.59949365715272</v>
      </c>
      <c r="L4" s="143">
        <f t="shared" ref="L4:L6" si="4">H4</f>
        <v>0.68508064923905398</v>
      </c>
      <c r="M4" s="164">
        <f t="shared" ref="M4:M13" si="5">(J4+K4)*L4</f>
        <v>13609.735442881156</v>
      </c>
      <c r="N4" s="124">
        <f t="shared" ref="N4:N14" si="6">B4-M4</f>
        <v>-609.7354428811559</v>
      </c>
      <c r="O4" s="124">
        <f t="shared" ref="O4:O14" si="7">ABS(N4)</f>
        <v>609.7354428811559</v>
      </c>
      <c r="P4" s="124">
        <f t="shared" ref="P4:P14" si="8">O4/B4</f>
        <v>4.6902726375473533E-2</v>
      </c>
      <c r="Q4" s="124">
        <f t="shared" ref="Q4:Q14" si="9">N4^2</f>
        <v>371777.31030547933</v>
      </c>
      <c r="R4" s="160">
        <f>SUM($N4:N4)</f>
        <v>-609.7354428811559</v>
      </c>
      <c r="S4" s="123">
        <f>AVERAGE(O$3:O4)</f>
        <v>788.02940729694637</v>
      </c>
      <c r="T4" s="123">
        <f>AVERAGE(P$3:P4)</f>
        <v>8.3846573919782813E-2</v>
      </c>
      <c r="U4" s="123">
        <f>AVERAGE(Q$3:Q4)</f>
        <v>652779.08451187576</v>
      </c>
      <c r="V4" s="123">
        <f t="shared" ref="V4:V14" si="10">R4/S4</f>
        <v>-0.77374706734947329</v>
      </c>
      <c r="AP4" s="57"/>
      <c r="AQ4" s="57"/>
      <c r="AR4" s="57"/>
      <c r="BL4" s="57"/>
      <c r="BM4" s="57"/>
      <c r="BN4" s="57"/>
      <c r="BO4" s="57"/>
      <c r="BP4" s="57"/>
    </row>
    <row r="5" spans="1:68" customFormat="1" ht="16.5" x14ac:dyDescent="0.3">
      <c r="A5" s="74">
        <v>3</v>
      </c>
      <c r="B5" s="149">
        <v>23000</v>
      </c>
      <c r="C5" s="153">
        <f>AVERAGE(AVERAGE(B3:B6),AVERAGE(B4:B7))</f>
        <v>19750</v>
      </c>
      <c r="D5" s="155">
        <f t="shared" si="0"/>
        <v>20010.416666666668</v>
      </c>
      <c r="E5" s="156">
        <f t="shared" si="2"/>
        <v>1.1494013534617387</v>
      </c>
      <c r="F5" s="157">
        <f t="shared" si="1"/>
        <v>3</v>
      </c>
      <c r="G5" s="158">
        <f t="shared" si="3"/>
        <v>1.1707081255011917</v>
      </c>
      <c r="H5" s="158">
        <f>G5/AVERAGE($G$3:$G$6)</f>
        <v>1.173579567853603</v>
      </c>
      <c r="I5" s="150">
        <f>D5*VLOOKUP(F5,$F$3:$H$6,3,0)</f>
        <v>23483.816144237204</v>
      </c>
      <c r="J5" s="142">
        <f>(1-$C$38)*(J4+K4)+$C$38*(B5/L5)</f>
        <v>19852.501585746351</v>
      </c>
      <c r="K5" s="142">
        <f>(1-$C$39)*K4+$C$39*(J5-J4)</f>
        <v>510.26085308850094</v>
      </c>
      <c r="L5" s="143">
        <f t="shared" si="4"/>
        <v>1.173579567853603</v>
      </c>
      <c r="M5" s="164">
        <f t="shared" si="5"/>
        <v>23897.321943273386</v>
      </c>
      <c r="N5" s="124">
        <f t="shared" si="6"/>
        <v>-897.32194327338584</v>
      </c>
      <c r="O5" s="124">
        <f t="shared" si="7"/>
        <v>897.32194327338584</v>
      </c>
      <c r="P5" s="124">
        <f t="shared" si="8"/>
        <v>3.9013997533625472E-2</v>
      </c>
      <c r="Q5" s="124">
        <f t="shared" si="9"/>
        <v>805186.66987992544</v>
      </c>
      <c r="R5" s="160">
        <f>SUM($N5:N5)</f>
        <v>-897.32194327338584</v>
      </c>
      <c r="S5" s="123">
        <f>AVERAGE(O$3:O5)</f>
        <v>824.4602526224262</v>
      </c>
      <c r="T5" s="123">
        <f>AVERAGE(P$3:P5)</f>
        <v>6.8902381791063699E-2</v>
      </c>
      <c r="U5" s="123">
        <f>AVERAGE(Q$3:Q5)</f>
        <v>703581.6129678922</v>
      </c>
      <c r="V5" s="123">
        <f t="shared" si="10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57"/>
      <c r="AQ5" s="57"/>
      <c r="AR5" s="57"/>
      <c r="BL5" s="57"/>
      <c r="BM5" s="57"/>
      <c r="BN5" s="57"/>
      <c r="BO5" s="57"/>
      <c r="BP5" s="57"/>
    </row>
    <row r="6" spans="1:68" customFormat="1" ht="16.5" x14ac:dyDescent="0.3">
      <c r="A6" s="74">
        <v>4</v>
      </c>
      <c r="B6" s="149">
        <v>34000</v>
      </c>
      <c r="C6" s="153">
        <f t="shared" ref="C6:C12" si="11">AVERAGE(AVERAGE(B4:B7),AVERAGE(B5:B8))</f>
        <v>20625</v>
      </c>
      <c r="D6" s="155">
        <f t="shared" si="0"/>
        <v>20534.226190476191</v>
      </c>
      <c r="E6" s="156">
        <f t="shared" si="2"/>
        <v>1.6557721574027102</v>
      </c>
      <c r="F6" s="157">
        <f t="shared" si="1"/>
        <v>4</v>
      </c>
      <c r="G6" s="158">
        <f t="shared" si="3"/>
        <v>1.6644198124048513</v>
      </c>
      <c r="H6" s="158">
        <f>G6/AVERAGE($G$3:$G$6)</f>
        <v>1.6685022010356516</v>
      </c>
      <c r="I6" s="150">
        <f t="shared" ref="I6:I14" si="12">D6*VLOOKUP(F6,$F$3:$H$6,3,0)</f>
        <v>34261.401595373449</v>
      </c>
      <c r="J6" s="142">
        <f>(1-$C$38)*(J5+K5)+$C$38*(B6/L6)</f>
        <v>20363.502205663528</v>
      </c>
      <c r="K6" s="142">
        <f>(1-$C$39)*K5+$C$39*(J6-J5)</f>
        <v>510.3348297713685</v>
      </c>
      <c r="L6" s="143">
        <f t="shared" si="4"/>
        <v>1.6685022010356516</v>
      </c>
      <c r="M6" s="164">
        <f t="shared" si="5"/>
        <v>34828.043037682626</v>
      </c>
      <c r="N6" s="124">
        <f t="shared" si="6"/>
        <v>-828.04303768262616</v>
      </c>
      <c r="O6" s="124">
        <f t="shared" si="7"/>
        <v>828.04303768262616</v>
      </c>
      <c r="P6" s="124">
        <f t="shared" si="8"/>
        <v>2.4354206990665477E-2</v>
      </c>
      <c r="Q6" s="124">
        <f t="shared" si="9"/>
        <v>685655.27225467109</v>
      </c>
      <c r="R6" s="160">
        <f>SUM($N6:N6)</f>
        <v>-828.04303768262616</v>
      </c>
      <c r="S6" s="123">
        <f>AVERAGE(O$3:O6)</f>
        <v>825.35594888747619</v>
      </c>
      <c r="T6" s="123">
        <f>AVERAGE(P$3:P6)</f>
        <v>5.7765338090964145E-2</v>
      </c>
      <c r="U6" s="123">
        <f>AVERAGE(Q$3:Q6)</f>
        <v>699100.02778958692</v>
      </c>
      <c r="V6" s="123">
        <f t="shared" si="10"/>
        <v>-1.0032556726570785</v>
      </c>
      <c r="Z6">
        <f>Z5+4*AA5</f>
        <v>18210.95571095571</v>
      </c>
      <c r="AP6" s="57"/>
      <c r="AQ6" s="57"/>
      <c r="AR6" s="57"/>
      <c r="BL6" s="57"/>
      <c r="BM6" s="57"/>
      <c r="BN6" s="57"/>
      <c r="BO6" s="57"/>
      <c r="BP6" s="57"/>
    </row>
    <row r="7" spans="1:68" customFormat="1" ht="16.5" x14ac:dyDescent="0.3">
      <c r="A7" s="74">
        <v>5</v>
      </c>
      <c r="B7" s="149">
        <v>10000</v>
      </c>
      <c r="C7" s="153">
        <f t="shared" si="11"/>
        <v>21250</v>
      </c>
      <c r="D7" s="155">
        <f t="shared" si="0"/>
        <v>21058.035714285714</v>
      </c>
      <c r="E7" s="156">
        <f t="shared" si="2"/>
        <v>0.47487810048759804</v>
      </c>
      <c r="F7" s="157">
        <f t="shared" si="1"/>
        <v>1</v>
      </c>
      <c r="G7" s="159">
        <f>AVERAGE(G3:G6)</f>
        <v>0.99755326146512346</v>
      </c>
      <c r="H7" s="159">
        <f>AVERAGE(H3:H6)</f>
        <v>1</v>
      </c>
      <c r="I7" s="150">
        <f t="shared" si="12"/>
        <v>9957.0306861105673</v>
      </c>
      <c r="J7" s="141">
        <f>(1-$C$38)*(J6+K6)+$C$38*(B7/L7)</f>
        <v>20899.111258422705</v>
      </c>
      <c r="K7" s="141">
        <f>(1-$C$39)*K6+$C$39*(J7-J6)</f>
        <v>512.86225207014934</v>
      </c>
      <c r="L7" s="141">
        <f>(1-$C$40)*L3+$C$40*(B3/SUM(J2:K2))</f>
        <v>0.46774169153353717</v>
      </c>
      <c r="M7" s="164">
        <f t="shared" si="5"/>
        <v>10015.272708869217</v>
      </c>
      <c r="N7" s="124">
        <f t="shared" si="6"/>
        <v>-15.27270886921724</v>
      </c>
      <c r="O7" s="124">
        <f t="shared" si="7"/>
        <v>15.27270886921724</v>
      </c>
      <c r="P7" s="124">
        <f t="shared" si="8"/>
        <v>1.5272708869217241E-3</v>
      </c>
      <c r="Q7" s="124">
        <f t="shared" si="9"/>
        <v>233.25563620386694</v>
      </c>
      <c r="R7" s="160">
        <f>SUM($N7:N7)</f>
        <v>-15.27270886921724</v>
      </c>
      <c r="S7" s="123">
        <f>AVERAGE(O$3:O7)</f>
        <v>663.33930088382442</v>
      </c>
      <c r="T7" s="123">
        <f>AVERAGE(P$3:P7)</f>
        <v>4.6517724650155662E-2</v>
      </c>
      <c r="U7" s="123">
        <f>AVERAGE(Q$3:Q7)</f>
        <v>559326.67335891037</v>
      </c>
      <c r="V7" s="123">
        <f t="shared" si="10"/>
        <v>-2.3023977094178028E-2</v>
      </c>
      <c r="AP7" s="57"/>
      <c r="AQ7" s="57"/>
      <c r="AR7" s="57"/>
      <c r="BL7" s="57"/>
      <c r="BM7" s="57"/>
      <c r="BN7" s="57"/>
      <c r="BO7" s="57"/>
      <c r="BP7" s="57"/>
    </row>
    <row r="8" spans="1:68" customFormat="1" ht="16.5" x14ac:dyDescent="0.3">
      <c r="A8" s="74">
        <v>6</v>
      </c>
      <c r="B8" s="149">
        <v>18000</v>
      </c>
      <c r="C8" s="153">
        <f t="shared" si="11"/>
        <v>21750</v>
      </c>
      <c r="D8" s="155">
        <f t="shared" si="0"/>
        <v>21581.845238095237</v>
      </c>
      <c r="E8" s="156">
        <f t="shared" si="2"/>
        <v>0.83403433772322977</v>
      </c>
      <c r="F8" s="157">
        <f t="shared" si="1"/>
        <v>2</v>
      </c>
      <c r="G8" s="157"/>
      <c r="H8" s="157"/>
      <c r="I8" s="150">
        <f t="shared" si="12"/>
        <v>14785.30454749107</v>
      </c>
      <c r="J8" s="141">
        <f t="shared" ref="J8:J14" si="13">(1-$C$38)*(J7+K7)+$C$38*(B8/L8)</f>
        <v>21657.795361980083</v>
      </c>
      <c r="K8" s="141">
        <f t="shared" ref="K8:K14" si="14">(1-$C$39)*K7+$C$39*(J8-J7)</f>
        <v>537.44443721887217</v>
      </c>
      <c r="L8" s="141">
        <f t="shared" ref="L8:L18" si="15">(1-$C$40)*L4+$C$40*(B4/SUM(J3:K3))</f>
        <v>0.68367211049412768</v>
      </c>
      <c r="M8" s="164">
        <f t="shared" si="5"/>
        <v>15174.266436441609</v>
      </c>
      <c r="N8" s="124">
        <f t="shared" si="6"/>
        <v>2825.7335635583913</v>
      </c>
      <c r="O8" s="124">
        <f t="shared" si="7"/>
        <v>2825.7335635583913</v>
      </c>
      <c r="P8" s="124">
        <f t="shared" si="8"/>
        <v>0.15698519797546617</v>
      </c>
      <c r="Q8" s="124">
        <f t="shared" si="9"/>
        <v>7984770.1722204052</v>
      </c>
      <c r="R8" s="160">
        <f>SUM($N8:N8)</f>
        <v>2825.7335635583913</v>
      </c>
      <c r="S8" s="123">
        <f>AVERAGE(O$3:O8)</f>
        <v>1023.7383446629188</v>
      </c>
      <c r="T8" s="123">
        <f>AVERAGE(P$3:P8)</f>
        <v>6.492897020437409E-2</v>
      </c>
      <c r="U8" s="123">
        <f>AVERAGE(Q$3:Q8)</f>
        <v>1796900.5898358263</v>
      </c>
      <c r="V8" s="123">
        <f t="shared" si="10"/>
        <v>2.7602107299095127</v>
      </c>
      <c r="AP8" s="57"/>
      <c r="AQ8" s="57"/>
      <c r="AR8" s="57"/>
      <c r="BL8" s="57"/>
      <c r="BM8" s="57"/>
      <c r="BN8" s="57"/>
      <c r="BO8" s="57"/>
      <c r="BP8" s="57"/>
    </row>
    <row r="9" spans="1:68" customFormat="1" ht="16.5" x14ac:dyDescent="0.3">
      <c r="A9" s="74">
        <v>7</v>
      </c>
      <c r="B9" s="149">
        <v>23000</v>
      </c>
      <c r="C9" s="153">
        <f t="shared" si="11"/>
        <v>22500</v>
      </c>
      <c r="D9" s="155">
        <f t="shared" si="0"/>
        <v>22105.654761904763</v>
      </c>
      <c r="E9" s="156">
        <f t="shared" si="2"/>
        <v>1.0404577583305283</v>
      </c>
      <c r="F9" s="157">
        <f t="shared" si="1"/>
        <v>3</v>
      </c>
      <c r="G9" s="157"/>
      <c r="H9" s="157"/>
      <c r="I9" s="150">
        <f t="shared" si="12"/>
        <v>25942.744762597133</v>
      </c>
      <c r="J9" s="141">
        <f t="shared" si="13"/>
        <v>22066.70818527904</v>
      </c>
      <c r="K9" s="141">
        <f t="shared" si="14"/>
        <v>524.59127582688063</v>
      </c>
      <c r="L9" s="141">
        <f t="shared" si="15"/>
        <v>1.1719979610100058</v>
      </c>
      <c r="M9" s="164">
        <f t="shared" si="5"/>
        <v>26476.956904982584</v>
      </c>
      <c r="N9" s="124">
        <f t="shared" si="6"/>
        <v>-3476.9569049825841</v>
      </c>
      <c r="O9" s="124">
        <f t="shared" si="7"/>
        <v>3476.9569049825841</v>
      </c>
      <c r="P9" s="124">
        <f t="shared" si="8"/>
        <v>0.15117203934706888</v>
      </c>
      <c r="Q9" s="124">
        <f t="shared" si="9"/>
        <v>12089229.31910607</v>
      </c>
      <c r="R9" s="160">
        <f>SUM($N9:N9)</f>
        <v>-3476.9569049825841</v>
      </c>
      <c r="S9" s="123">
        <f>AVERAGE(O$3:O9)</f>
        <v>1374.1981389942996</v>
      </c>
      <c r="T9" s="123">
        <f>AVERAGE(P$3:P9)</f>
        <v>7.7249408653330492E-2</v>
      </c>
      <c r="U9" s="123">
        <f>AVERAGE(Q$3:Q9)</f>
        <v>3267233.2654458615</v>
      </c>
      <c r="V9" s="123">
        <f t="shared" si="10"/>
        <v>-2.5301714551346857</v>
      </c>
      <c r="AP9" s="57"/>
      <c r="AQ9" s="57"/>
      <c r="AR9" s="57"/>
      <c r="BL9" s="57"/>
      <c r="BM9" s="57"/>
      <c r="BN9" s="57"/>
      <c r="BO9" s="57"/>
      <c r="BP9" s="57"/>
    </row>
    <row r="10" spans="1:68" customFormat="1" ht="16.5" x14ac:dyDescent="0.3">
      <c r="A10" s="74">
        <v>8</v>
      </c>
      <c r="B10" s="149">
        <v>38000</v>
      </c>
      <c r="C10" s="153">
        <f t="shared" si="11"/>
        <v>22125</v>
      </c>
      <c r="D10" s="155">
        <f t="shared" si="0"/>
        <v>22629.464285714286</v>
      </c>
      <c r="E10" s="156">
        <f t="shared" si="2"/>
        <v>1.6792266719274018</v>
      </c>
      <c r="F10" s="157">
        <f t="shared" si="1"/>
        <v>4</v>
      </c>
      <c r="G10" s="157"/>
      <c r="H10" s="157"/>
      <c r="I10" s="150">
        <f t="shared" si="12"/>
        <v>37757.310968971957</v>
      </c>
      <c r="J10" s="141">
        <f t="shared" si="13"/>
        <v>22600.397629850366</v>
      </c>
      <c r="K10" s="141">
        <f t="shared" si="14"/>
        <v>525.50109270132521</v>
      </c>
      <c r="L10" s="141">
        <f>(1-$C$40)*L6+$C$40*(B6/SUM(J5:K5))</f>
        <v>1.6686234323848466</v>
      </c>
      <c r="M10" s="164">
        <f t="shared" si="5"/>
        <v>38588.416503408538</v>
      </c>
      <c r="N10" s="124">
        <f t="shared" si="6"/>
        <v>-588.41650340853812</v>
      </c>
      <c r="O10" s="124">
        <f t="shared" si="7"/>
        <v>588.41650340853812</v>
      </c>
      <c r="P10" s="124">
        <f t="shared" si="8"/>
        <v>1.5484644826540477E-2</v>
      </c>
      <c r="Q10" s="124">
        <f t="shared" si="9"/>
        <v>346233.98148353014</v>
      </c>
      <c r="R10" s="160">
        <f>SUM($N10:N10)</f>
        <v>-588.41650340853812</v>
      </c>
      <c r="S10" s="123">
        <f>AVERAGE(O$3:O10)</f>
        <v>1275.9754345460794</v>
      </c>
      <c r="T10" s="123">
        <f>AVERAGE(P$3:P10)</f>
        <v>6.9528813174981732E-2</v>
      </c>
      <c r="U10" s="123">
        <f>AVERAGE(Q$3:Q10)</f>
        <v>2902108.35495057</v>
      </c>
      <c r="V10" s="123">
        <f t="shared" si="10"/>
        <v>-0.46115033838238723</v>
      </c>
      <c r="AP10" s="57"/>
      <c r="AQ10" s="57"/>
      <c r="AR10" s="57"/>
      <c r="BL10" s="57"/>
      <c r="BM10" s="57"/>
      <c r="BN10" s="57"/>
      <c r="BO10" s="57"/>
      <c r="BP10" s="57"/>
    </row>
    <row r="11" spans="1:68" customFormat="1" ht="16.5" x14ac:dyDescent="0.3">
      <c r="A11" s="74">
        <v>9</v>
      </c>
      <c r="B11" s="149">
        <v>12000</v>
      </c>
      <c r="C11" s="153">
        <f t="shared" si="11"/>
        <v>22625</v>
      </c>
      <c r="D11" s="155">
        <f t="shared" si="0"/>
        <v>23153.273809523809</v>
      </c>
      <c r="E11" s="156">
        <f t="shared" si="2"/>
        <v>0.51828523684041394</v>
      </c>
      <c r="F11" s="157">
        <f t="shared" si="1"/>
        <v>1</v>
      </c>
      <c r="G11" s="157"/>
      <c r="H11" s="157"/>
      <c r="I11" s="150">
        <f t="shared" si="12"/>
        <v>10947.738000508396</v>
      </c>
      <c r="J11" s="141">
        <f t="shared" si="13"/>
        <v>23249.264228204611</v>
      </c>
      <c r="K11" s="141">
        <f t="shared" si="14"/>
        <v>537.83764326661719</v>
      </c>
      <c r="L11" s="141">
        <f t="shared" si="15"/>
        <v>0.46887438293018324</v>
      </c>
      <c r="M11" s="164">
        <f t="shared" si="5"/>
        <v>11153.162711683479</v>
      </c>
      <c r="N11" s="124">
        <f t="shared" si="6"/>
        <v>846.83728831652115</v>
      </c>
      <c r="O11" s="124">
        <f t="shared" si="7"/>
        <v>846.83728831652115</v>
      </c>
      <c r="P11" s="124">
        <f t="shared" si="8"/>
        <v>7.0569774026376764E-2</v>
      </c>
      <c r="Q11" s="124">
        <f t="shared" si="9"/>
        <v>717133.39288327878</v>
      </c>
      <c r="R11" s="160">
        <f>SUM($N11:N11)</f>
        <v>846.83728831652115</v>
      </c>
      <c r="S11" s="123">
        <f>AVERAGE(O$3:O11)</f>
        <v>1228.2934182983508</v>
      </c>
      <c r="T11" s="123">
        <f>AVERAGE(P$3:P11)</f>
        <v>6.9644475491803401E-2</v>
      </c>
      <c r="U11" s="123">
        <f>AVERAGE(Q$3:Q11)</f>
        <v>2659333.3591653155</v>
      </c>
      <c r="V11" s="123">
        <f t="shared" si="10"/>
        <v>0.68944217700825083</v>
      </c>
      <c r="AP11" s="57"/>
      <c r="AQ11" s="57"/>
      <c r="AR11" s="57"/>
      <c r="BL11" s="57"/>
      <c r="BM11" s="57"/>
      <c r="BN11" s="57"/>
      <c r="BO11" s="57"/>
      <c r="BP11" s="57"/>
    </row>
    <row r="12" spans="1:68" customFormat="1" ht="16.5" x14ac:dyDescent="0.3">
      <c r="A12" s="74">
        <v>10</v>
      </c>
      <c r="B12" s="149">
        <v>13000</v>
      </c>
      <c r="C12" s="153">
        <f t="shared" si="11"/>
        <v>24125</v>
      </c>
      <c r="D12" s="155">
        <f t="shared" si="0"/>
        <v>23677.083333333336</v>
      </c>
      <c r="E12" s="156">
        <f t="shared" si="2"/>
        <v>0.54905411350637923</v>
      </c>
      <c r="F12" s="157">
        <f t="shared" si="1"/>
        <v>2</v>
      </c>
      <c r="G12" s="157"/>
      <c r="H12" s="157"/>
      <c r="I12" s="150">
        <f t="shared" si="12"/>
        <v>16220.711622087187</v>
      </c>
      <c r="J12" s="141">
        <f t="shared" si="13"/>
        <v>23527.154655343576</v>
      </c>
      <c r="K12" s="141">
        <f t="shared" si="14"/>
        <v>511.84292165385204</v>
      </c>
      <c r="L12" s="141">
        <f t="shared" si="15"/>
        <v>0.69937001371911456</v>
      </c>
      <c r="M12" s="164">
        <f t="shared" si="5"/>
        <v>16812.154065218456</v>
      </c>
      <c r="N12" s="124">
        <f t="shared" si="6"/>
        <v>-3812.1540652184558</v>
      </c>
      <c r="O12" s="124">
        <f t="shared" si="7"/>
        <v>3812.1540652184558</v>
      </c>
      <c r="P12" s="124">
        <f t="shared" si="8"/>
        <v>0.29324262040141968</v>
      </c>
      <c r="Q12" s="124">
        <f t="shared" si="9"/>
        <v>14532518.616961598</v>
      </c>
      <c r="R12" s="160">
        <f>SUM($N12:N12)</f>
        <v>-3812.1540652184558</v>
      </c>
      <c r="S12" s="123">
        <f>AVERAGE(O$3:O12)</f>
        <v>1486.6794829903613</v>
      </c>
      <c r="T12" s="123">
        <f>AVERAGE(P$3:P12)</f>
        <v>9.2004289982765025E-2</v>
      </c>
      <c r="U12" s="123">
        <f>AVERAGE(Q$3:Q12)</f>
        <v>3846651.8849449442</v>
      </c>
      <c r="V12" s="123">
        <f t="shared" si="10"/>
        <v>-2.5642070862177704</v>
      </c>
      <c r="AP12" s="57"/>
      <c r="AQ12" s="57"/>
      <c r="AR12" s="57"/>
      <c r="BL12" s="57"/>
      <c r="BM12" s="57"/>
      <c r="BN12" s="57"/>
      <c r="BO12" s="57"/>
      <c r="BP12" s="57"/>
    </row>
    <row r="13" spans="1:68" customFormat="1" ht="16.5" x14ac:dyDescent="0.3">
      <c r="A13" s="74">
        <v>11</v>
      </c>
      <c r="B13" s="149">
        <v>32000</v>
      </c>
      <c r="C13" s="153"/>
      <c r="D13" s="155">
        <f t="shared" si="0"/>
        <v>24200.892857142859</v>
      </c>
      <c r="E13" s="156">
        <f t="shared" si="2"/>
        <v>1.3222652647113078</v>
      </c>
      <c r="F13" s="157">
        <f t="shared" si="1"/>
        <v>3</v>
      </c>
      <c r="G13" s="157"/>
      <c r="H13" s="157"/>
      <c r="I13" s="150">
        <f t="shared" si="12"/>
        <v>28401.673380957061</v>
      </c>
      <c r="J13" s="141">
        <f t="shared" si="13"/>
        <v>24218.234565936938</v>
      </c>
      <c r="K13" s="141">
        <f t="shared" si="14"/>
        <v>529.76662054780309</v>
      </c>
      <c r="L13" s="141">
        <f t="shared" si="15"/>
        <v>1.1584239883201588</v>
      </c>
      <c r="M13" s="164">
        <f t="shared" si="5"/>
        <v>28668.678237399676</v>
      </c>
      <c r="N13" s="124">
        <f t="shared" si="6"/>
        <v>3331.3217626003243</v>
      </c>
      <c r="O13" s="124">
        <f t="shared" si="7"/>
        <v>3331.3217626003243</v>
      </c>
      <c r="P13" s="124">
        <f t="shared" si="8"/>
        <v>0.10410380508126013</v>
      </c>
      <c r="Q13" s="124">
        <f t="shared" si="9"/>
        <v>11097704.685974531</v>
      </c>
      <c r="R13" s="160">
        <f>SUM($N13:N13)</f>
        <v>3331.3217626003243</v>
      </c>
      <c r="S13" s="123">
        <f>AVERAGE(O$3:O13)</f>
        <v>1654.3742356821763</v>
      </c>
      <c r="T13" s="123">
        <f>AVERAGE(P$3:P13)</f>
        <v>9.3104245900810026E-2</v>
      </c>
      <c r="U13" s="123">
        <f>AVERAGE(Q$3:Q13)</f>
        <v>4505838.5032203607</v>
      </c>
      <c r="V13" s="123">
        <f t="shared" si="10"/>
        <v>2.0136446099976064</v>
      </c>
      <c r="AP13" s="57"/>
      <c r="AQ13" s="57"/>
      <c r="AR13" s="57"/>
      <c r="BL13" s="57"/>
      <c r="BM13" s="57"/>
      <c r="BN13" s="57"/>
      <c r="BO13" s="57"/>
      <c r="BP13" s="57"/>
    </row>
    <row r="14" spans="1:68" customFormat="1" ht="16.5" x14ac:dyDescent="0.3">
      <c r="A14" s="74">
        <v>12</v>
      </c>
      <c r="B14" s="149">
        <v>41000</v>
      </c>
      <c r="C14" s="153"/>
      <c r="D14" s="155">
        <f t="shared" si="0"/>
        <v>24724.702380952382</v>
      </c>
      <c r="E14" s="156">
        <f t="shared" si="2"/>
        <v>1.6582606078844417</v>
      </c>
      <c r="F14" s="157">
        <f t="shared" si="1"/>
        <v>4</v>
      </c>
      <c r="G14" s="157"/>
      <c r="H14" s="157"/>
      <c r="I14" s="150">
        <f t="shared" si="12"/>
        <v>41253.220342570465</v>
      </c>
      <c r="J14" s="141">
        <f t="shared" si="13"/>
        <v>24738.169972669231</v>
      </c>
      <c r="K14" s="141">
        <f t="shared" si="14"/>
        <v>528.78349916625211</v>
      </c>
      <c r="L14" s="141">
        <f t="shared" si="15"/>
        <v>1.6699674380791549</v>
      </c>
      <c r="M14" s="164">
        <f>(J14+K14)*L14</f>
        <v>42194.989557426314</v>
      </c>
      <c r="N14" s="124">
        <f t="shared" si="6"/>
        <v>-1194.9895574263137</v>
      </c>
      <c r="O14" s="124">
        <f t="shared" si="7"/>
        <v>1194.9895574263137</v>
      </c>
      <c r="P14" s="124">
        <f t="shared" si="8"/>
        <v>2.9146086766495456E-2</v>
      </c>
      <c r="Q14" s="124">
        <f t="shared" si="9"/>
        <v>1428000.042357937</v>
      </c>
      <c r="R14" s="160">
        <f>SUM($N14:N14)</f>
        <v>-1194.9895574263137</v>
      </c>
      <c r="S14" s="123">
        <f>AVERAGE(O$3:O14)</f>
        <v>1616.0921791608544</v>
      </c>
      <c r="T14" s="123">
        <f>AVERAGE(P$3:P14)</f>
        <v>8.7774399306283821E-2</v>
      </c>
      <c r="U14" s="123">
        <f>AVERAGE(Q$3:Q14)</f>
        <v>4249351.9648151593</v>
      </c>
      <c r="V14" s="123">
        <f t="shared" si="10"/>
        <v>-0.7394315577016185</v>
      </c>
      <c r="AP14" s="57"/>
      <c r="AQ14" s="57"/>
      <c r="AR14" s="57"/>
      <c r="BL14" s="57"/>
      <c r="BM14" s="57"/>
      <c r="BN14" s="57"/>
      <c r="BO14" s="57"/>
      <c r="BP14" s="57"/>
    </row>
    <row r="15" spans="1:68" customFormat="1" ht="16.5" x14ac:dyDescent="0.3">
      <c r="A15" s="74">
        <v>13</v>
      </c>
      <c r="L15" s="141">
        <f t="shared" si="15"/>
        <v>0.47387681989765784</v>
      </c>
      <c r="M15" s="164">
        <f>($J$14+$K$14*(A15-$A$14))*L15</f>
        <v>11973.423559735484</v>
      </c>
      <c r="AP15" s="57"/>
      <c r="AQ15" s="57"/>
      <c r="AR15" s="57"/>
      <c r="BL15" s="57"/>
      <c r="BM15" s="57"/>
      <c r="BN15" s="57"/>
      <c r="BO15" s="57"/>
      <c r="BP15" s="57"/>
    </row>
    <row r="16" spans="1:68" customFormat="1" ht="16.5" x14ac:dyDescent="0.3">
      <c r="A16" s="74">
        <v>14</v>
      </c>
      <c r="L16" s="141">
        <f t="shared" si="15"/>
        <v>0.6840844788026077</v>
      </c>
      <c r="M16" s="164">
        <f t="shared" ref="M16:M17" si="16">($J$14+$K$14*(A16-$A$14))*L16</f>
        <v>17646.463281136883</v>
      </c>
      <c r="AP16" s="65"/>
      <c r="AQ16" s="65"/>
      <c r="AR16" s="65"/>
      <c r="AS16" s="6"/>
      <c r="AT16" s="6"/>
      <c r="AU16" s="6"/>
      <c r="AV16" s="6"/>
      <c r="AW16" s="6"/>
      <c r="AX16" s="6"/>
      <c r="AY16" s="6"/>
      <c r="BL16" s="57"/>
      <c r="BM16" s="57"/>
      <c r="BN16" s="57"/>
      <c r="BO16" s="57"/>
      <c r="BP16" s="57"/>
    </row>
    <row r="17" spans="1:68" ht="16.5" x14ac:dyDescent="0.3">
      <c r="A17" s="74">
        <v>15</v>
      </c>
      <c r="B17"/>
      <c r="C17"/>
      <c r="D17"/>
      <c r="E17"/>
      <c r="F17"/>
      <c r="G17"/>
      <c r="H17"/>
      <c r="I17"/>
      <c r="J17"/>
      <c r="K17"/>
      <c r="L17" s="141">
        <f t="shared" si="15"/>
        <v>1.1756986210844202</v>
      </c>
      <c r="M17" s="164">
        <f t="shared" si="16"/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65"/>
      <c r="AQ17" s="65"/>
      <c r="AR17" s="65"/>
      <c r="AS17" s="6"/>
      <c r="AT17" s="6"/>
      <c r="AU17" s="6"/>
      <c r="AV17" s="6"/>
      <c r="AW17" s="6"/>
      <c r="AX17" s="6"/>
      <c r="AY17" s="6"/>
    </row>
    <row r="18" spans="1:68" ht="16.5" x14ac:dyDescent="0.3">
      <c r="A18" s="74">
        <v>16</v>
      </c>
      <c r="B18"/>
      <c r="C18"/>
      <c r="D18"/>
      <c r="E18"/>
      <c r="F18"/>
      <c r="G18"/>
      <c r="H18"/>
      <c r="I18"/>
      <c r="J18"/>
      <c r="K18"/>
      <c r="L18" s="141">
        <f t="shared" si="15"/>
        <v>1.6686406394561084</v>
      </c>
      <c r="M18" s="164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65"/>
      <c r="AQ18" s="65"/>
      <c r="AR18" s="65"/>
      <c r="AS18" s="6"/>
      <c r="AT18" s="6"/>
      <c r="AU18" s="6"/>
      <c r="AV18" s="6"/>
      <c r="AW18" s="6"/>
      <c r="AX18" s="6"/>
      <c r="AY18" s="6"/>
    </row>
    <row r="19" spans="1:68" ht="16.5" x14ac:dyDescent="0.3">
      <c r="A19" s="74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65"/>
      <c r="AQ19" s="65"/>
      <c r="AR19" s="65"/>
      <c r="AS19" s="6"/>
      <c r="AT19" s="6"/>
      <c r="AU19" s="6"/>
      <c r="AV19" s="6"/>
      <c r="AW19" s="6"/>
      <c r="AX19" s="6"/>
      <c r="AY19" s="6"/>
    </row>
    <row r="20" spans="1:68" ht="16.5" x14ac:dyDescent="0.3">
      <c r="A20" s="74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"/>
      <c r="AT20" s="6"/>
      <c r="AU20" s="6"/>
      <c r="AV20" s="6"/>
      <c r="AW20" s="6"/>
      <c r="AX20" s="6"/>
      <c r="AY20" s="6"/>
    </row>
    <row r="21" spans="1:68" ht="16.5" x14ac:dyDescent="0.3">
      <c r="A21" s="74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"/>
      <c r="AT21" s="6"/>
      <c r="AU21" s="6"/>
      <c r="AV21" s="6"/>
      <c r="AW21" s="6"/>
      <c r="AX21" s="6"/>
      <c r="AY21" s="6"/>
    </row>
    <row r="22" spans="1:68" ht="16.5" x14ac:dyDescent="0.3">
      <c r="A22" s="74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"/>
      <c r="AT22" s="6"/>
      <c r="AU22" s="6"/>
      <c r="AV22" s="6"/>
      <c r="AW22" s="6"/>
      <c r="AX22" s="6"/>
      <c r="AY22" s="6"/>
    </row>
    <row r="23" spans="1:68" ht="16.5" x14ac:dyDescent="0.3">
      <c r="A23" s="74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"/>
      <c r="AT23" s="6"/>
      <c r="AU23" s="6"/>
      <c r="AV23" s="6"/>
      <c r="AW23" s="6"/>
      <c r="AX23" s="6"/>
      <c r="AY23" s="6"/>
    </row>
    <row r="24" spans="1:68" ht="16.5" x14ac:dyDescent="0.3">
      <c r="A24" s="74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"/>
      <c r="AT24" s="6"/>
      <c r="AU24" s="6"/>
      <c r="AV24" s="6"/>
      <c r="AW24" s="6"/>
      <c r="AX24" s="6"/>
      <c r="AY24" s="6"/>
    </row>
    <row r="25" spans="1:68" ht="16.5" x14ac:dyDescent="0.3">
      <c r="A25" s="74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"/>
      <c r="AT25" s="6"/>
      <c r="AU25" s="6"/>
      <c r="AV25" s="6"/>
      <c r="AW25" s="6"/>
      <c r="AX25" s="6"/>
      <c r="AY25" s="6"/>
    </row>
    <row r="26" spans="1:68" ht="16.5" x14ac:dyDescent="0.3">
      <c r="A26" s="74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"/>
      <c r="AT26" s="6"/>
      <c r="AU26" s="6"/>
      <c r="AV26" s="6"/>
      <c r="AW26" s="6"/>
      <c r="AX26" s="6"/>
      <c r="AY26" s="6"/>
    </row>
    <row r="27" spans="1:68" ht="16.5" x14ac:dyDescent="0.3">
      <c r="A27" s="74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"/>
      <c r="AT27" s="6"/>
      <c r="AU27" s="6"/>
      <c r="AV27" s="6"/>
      <c r="AW27" s="6"/>
      <c r="AX27" s="6"/>
      <c r="AY27" s="6"/>
    </row>
    <row r="28" spans="1:68" ht="16.5" x14ac:dyDescent="0.3">
      <c r="A28" s="74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"/>
      <c r="AT28" s="6"/>
      <c r="AU28" s="6"/>
      <c r="AV28" s="6"/>
      <c r="AW28" s="6"/>
      <c r="AX28" s="6"/>
      <c r="AY28" s="6"/>
    </row>
    <row r="29" spans="1:68" ht="16.5" x14ac:dyDescent="0.3">
      <c r="A29" s="74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"/>
      <c r="AT29" s="6"/>
      <c r="AU29" s="6"/>
      <c r="AV29" s="6"/>
      <c r="AW29" s="6"/>
      <c r="AX29" s="6"/>
      <c r="AY29" s="6"/>
    </row>
    <row r="30" spans="1:68" ht="16.5" x14ac:dyDescent="0.3">
      <c r="A30" s="74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"/>
      <c r="AT30" s="6"/>
      <c r="AU30" s="6"/>
      <c r="AV30" s="6"/>
      <c r="AW30" s="6"/>
      <c r="AX30" s="6"/>
      <c r="AY30" s="6"/>
    </row>
    <row r="31" spans="1:68" ht="16.5" x14ac:dyDescent="0.3">
      <c r="A31" s="74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"/>
      <c r="AT31" s="6"/>
      <c r="AU31" s="6"/>
      <c r="AV31" s="6"/>
      <c r="AW31" s="6"/>
      <c r="AX31" s="6"/>
      <c r="AY31" s="6"/>
      <c r="BL31"/>
      <c r="BM31"/>
      <c r="BN31"/>
      <c r="BO31"/>
      <c r="BP31"/>
    </row>
    <row r="32" spans="1:68" ht="16.5" x14ac:dyDescent="0.3">
      <c r="A32" s="74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"/>
      <c r="AT32" s="6"/>
      <c r="AU32" s="6"/>
      <c r="AV32" s="6"/>
      <c r="AW32" s="6"/>
      <c r="AX32" s="6"/>
      <c r="AY32" s="6"/>
      <c r="BL32"/>
      <c r="BM32"/>
      <c r="BN32"/>
      <c r="BO32"/>
      <c r="BP32"/>
    </row>
    <row r="33" spans="1:68" ht="16.5" x14ac:dyDescent="0.3">
      <c r="A33" s="74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"/>
      <c r="AT33" s="6"/>
      <c r="AU33" s="6"/>
      <c r="AV33" s="6"/>
      <c r="AW33" s="6"/>
      <c r="AX33" s="6"/>
      <c r="AY33" s="6"/>
      <c r="BL33"/>
      <c r="BM33"/>
      <c r="BN33"/>
      <c r="BO33"/>
      <c r="BP33"/>
    </row>
    <row r="34" spans="1:68" ht="16.5" x14ac:dyDescent="0.3">
      <c r="A34" s="74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"/>
      <c r="AT34" s="6"/>
      <c r="AU34" s="6"/>
      <c r="AV34" s="6"/>
      <c r="AW34" s="6"/>
      <c r="AX34" s="6"/>
      <c r="AY34" s="6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"/>
      <c r="AT35" s="6"/>
      <c r="AU35" s="6"/>
      <c r="AV35" s="6"/>
      <c r="AW35" s="6"/>
      <c r="AX35" s="6"/>
      <c r="AY35" s="6"/>
      <c r="BL35"/>
      <c r="BM35"/>
      <c r="BN35"/>
      <c r="BO35"/>
      <c r="BP35"/>
    </row>
    <row r="36" spans="1:68" x14ac:dyDescent="0.25">
      <c r="A36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"/>
      <c r="AT36" s="6"/>
      <c r="AU36" s="6"/>
      <c r="AV36" s="6"/>
      <c r="AW36" s="6"/>
      <c r="AX36" s="6"/>
      <c r="AY36" s="6"/>
      <c r="BL36"/>
      <c r="BM36"/>
      <c r="BN36"/>
      <c r="BO36"/>
      <c r="BP36"/>
    </row>
    <row r="37" spans="1:68" x14ac:dyDescent="0.25">
      <c r="A37"/>
      <c r="B37" s="57" t="s">
        <v>87</v>
      </c>
      <c r="C37" s="162">
        <v>4</v>
      </c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"/>
      <c r="AT37" s="6"/>
      <c r="AU37" s="6"/>
      <c r="AV37" s="6"/>
      <c r="AW37" s="6"/>
      <c r="AX37" s="6"/>
      <c r="AY37" s="6"/>
      <c r="BL37"/>
      <c r="BM37"/>
      <c r="BN37"/>
      <c r="BO37"/>
      <c r="BP37"/>
    </row>
    <row r="38" spans="1:68" x14ac:dyDescent="0.25">
      <c r="A38"/>
      <c r="B38" s="57" t="s">
        <v>154</v>
      </c>
      <c r="C38" s="161">
        <v>0.05</v>
      </c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"/>
      <c r="AT38" s="6"/>
      <c r="AU38" s="6"/>
      <c r="AV38" s="6"/>
      <c r="AW38" s="6"/>
      <c r="AX38" s="6"/>
      <c r="AY38" s="6"/>
      <c r="BL38"/>
      <c r="BM38"/>
      <c r="BN38"/>
      <c r="BO38"/>
      <c r="BP38"/>
    </row>
    <row r="39" spans="1:68" x14ac:dyDescent="0.25">
      <c r="A39"/>
      <c r="B39" s="57" t="s">
        <v>152</v>
      </c>
      <c r="C39" s="161">
        <v>0.1</v>
      </c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"/>
      <c r="AT39" s="6"/>
      <c r="AU39" s="6"/>
      <c r="AV39" s="6"/>
      <c r="AW39" s="6"/>
      <c r="AX39" s="6"/>
      <c r="AY39" s="6"/>
      <c r="BL39"/>
      <c r="BM39"/>
      <c r="BN39"/>
      <c r="BO39"/>
      <c r="BP39"/>
    </row>
    <row r="40" spans="1:68" x14ac:dyDescent="0.25">
      <c r="A40"/>
      <c r="B40" s="57" t="s">
        <v>153</v>
      </c>
      <c r="C40" s="161">
        <v>0.1</v>
      </c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"/>
      <c r="AT40" s="6"/>
      <c r="AU40" s="6"/>
      <c r="AV40" s="6"/>
      <c r="AW40" s="6"/>
      <c r="AX40" s="6"/>
      <c r="AY40" s="6"/>
      <c r="BL40"/>
      <c r="BM40"/>
      <c r="BN40"/>
      <c r="BO40"/>
      <c r="BP40"/>
    </row>
    <row r="41" spans="1:68" x14ac:dyDescent="0.25">
      <c r="A41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"/>
      <c r="AT41" s="6"/>
      <c r="AU41" s="6"/>
      <c r="AV41" s="6"/>
      <c r="AW41" s="6"/>
      <c r="AX41" s="6"/>
      <c r="AY41" s="6"/>
      <c r="BL41"/>
      <c r="BM41"/>
      <c r="BN41"/>
      <c r="BO41"/>
      <c r="BP41"/>
    </row>
    <row r="42" spans="1:68" x14ac:dyDescent="0.25">
      <c r="A42"/>
      <c r="B42" s="57" t="s">
        <v>140</v>
      </c>
      <c r="J42"/>
      <c r="K42"/>
      <c r="L42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"/>
      <c r="AT42" s="6"/>
      <c r="AU42" s="6"/>
      <c r="AV42" s="6"/>
      <c r="AW42" s="6"/>
      <c r="AX42" s="6"/>
      <c r="AY42" s="6"/>
      <c r="BL42"/>
      <c r="BM42"/>
      <c r="BN42"/>
      <c r="BO42"/>
      <c r="BP42"/>
    </row>
    <row r="43" spans="1:68" x14ac:dyDescent="0.25">
      <c r="A43"/>
      <c r="B43" s="57" t="s">
        <v>141</v>
      </c>
      <c r="J43" s="123"/>
      <c r="K43"/>
      <c r="L43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"/>
      <c r="AT43" s="6"/>
      <c r="AU43" s="6"/>
      <c r="AV43" s="6"/>
      <c r="AW43" s="6"/>
      <c r="AX43" s="6"/>
      <c r="AY43" s="6"/>
      <c r="BL43"/>
      <c r="BM43"/>
      <c r="BN43"/>
      <c r="BO43"/>
      <c r="BP43"/>
    </row>
    <row r="44" spans="1:68" x14ac:dyDescent="0.25">
      <c r="A44"/>
      <c r="B44" s="57" t="s">
        <v>142</v>
      </c>
      <c r="J44"/>
      <c r="K44"/>
      <c r="L44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"/>
      <c r="AT44" s="6"/>
      <c r="AU44" s="6"/>
      <c r="AV44" s="6"/>
      <c r="AW44" s="6"/>
      <c r="AX44" s="6"/>
      <c r="AY44" s="6"/>
      <c r="BL44"/>
      <c r="BM44"/>
      <c r="BN44"/>
      <c r="BO44"/>
      <c r="BP44"/>
    </row>
    <row r="45" spans="1:68" x14ac:dyDescent="0.25">
      <c r="A45"/>
      <c r="B45" s="135" t="s">
        <v>123</v>
      </c>
      <c r="C45" s="135"/>
      <c r="D45" s="135"/>
      <c r="E45" s="135"/>
      <c r="F45" s="135"/>
      <c r="G45" s="135"/>
      <c r="H45" s="135"/>
      <c r="I45" s="135"/>
      <c r="J45"/>
      <c r="K45"/>
      <c r="L4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"/>
      <c r="AT45" s="6"/>
      <c r="AU45" s="6"/>
      <c r="AV45" s="6"/>
      <c r="AW45" s="6"/>
      <c r="AX45" s="6"/>
      <c r="AY45" s="6"/>
      <c r="BL45"/>
      <c r="BM45"/>
      <c r="BN45"/>
      <c r="BO45"/>
      <c r="BP45"/>
    </row>
    <row r="46" spans="1:68" x14ac:dyDescent="0.25">
      <c r="A46"/>
      <c r="B46" t="s">
        <v>143</v>
      </c>
      <c r="C46"/>
      <c r="D46"/>
      <c r="E46"/>
      <c r="F46"/>
      <c r="G46"/>
      <c r="H46"/>
      <c r="I46"/>
      <c r="J46"/>
      <c r="K46"/>
      <c r="L46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"/>
      <c r="AT46" s="6"/>
      <c r="AU46" s="6"/>
      <c r="AV46" s="6"/>
      <c r="AW46" s="6"/>
      <c r="AX46" s="6"/>
      <c r="AY46" s="6"/>
      <c r="BL46"/>
      <c r="BM46"/>
      <c r="BN46"/>
      <c r="BO46"/>
      <c r="BP46"/>
    </row>
    <row r="47" spans="1:68" x14ac:dyDescent="0.25">
      <c r="A47"/>
      <c r="B47" t="s">
        <v>129</v>
      </c>
      <c r="C47"/>
      <c r="D47"/>
      <c r="E47"/>
      <c r="F47"/>
      <c r="G47"/>
      <c r="H47"/>
      <c r="I47"/>
      <c r="J47"/>
      <c r="K47"/>
      <c r="L47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"/>
      <c r="AT47" s="6"/>
      <c r="AU47" s="6"/>
      <c r="AV47" s="6"/>
      <c r="AW47" s="6"/>
      <c r="AX47" s="6"/>
      <c r="AY47" s="6"/>
      <c r="BL47"/>
      <c r="BM47"/>
      <c r="BN47"/>
      <c r="BO47"/>
      <c r="BP47"/>
    </row>
    <row r="48" spans="1:68" x14ac:dyDescent="0.25">
      <c r="A48"/>
      <c r="B48" t="s">
        <v>144</v>
      </c>
      <c r="C48"/>
      <c r="D48"/>
      <c r="E48"/>
      <c r="F48"/>
      <c r="G48"/>
      <c r="H48"/>
      <c r="I48"/>
      <c r="J48"/>
      <c r="K48"/>
      <c r="L48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"/>
      <c r="AT48" s="6"/>
      <c r="AU48" s="6"/>
      <c r="AV48" s="6"/>
      <c r="AW48" s="6"/>
      <c r="AX48" s="6"/>
      <c r="AY48" s="6"/>
      <c r="BL48"/>
      <c r="BM48"/>
      <c r="BN48"/>
      <c r="BO48"/>
      <c r="BP48"/>
    </row>
    <row r="49" spans="1:68" x14ac:dyDescent="0.25">
      <c r="A49"/>
      <c r="B49" t="s">
        <v>145</v>
      </c>
      <c r="C49"/>
      <c r="D49"/>
      <c r="E49"/>
      <c r="F49"/>
      <c r="G49"/>
      <c r="H49"/>
      <c r="I49"/>
      <c r="J49"/>
      <c r="K49"/>
      <c r="L49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"/>
      <c r="AT49" s="6"/>
      <c r="AU49" s="6"/>
      <c r="AV49" s="6"/>
      <c r="AW49" s="6"/>
      <c r="AX49" s="6"/>
      <c r="AY49" s="6"/>
      <c r="BL49"/>
      <c r="BM49"/>
      <c r="BN49"/>
      <c r="BO49"/>
      <c r="BP49"/>
    </row>
    <row r="50" spans="1:68" x14ac:dyDescent="0.25">
      <c r="A50"/>
      <c r="B50" t="s">
        <v>146</v>
      </c>
      <c r="C50"/>
      <c r="D50"/>
      <c r="E50"/>
      <c r="F50"/>
      <c r="G50"/>
      <c r="H50"/>
      <c r="I50"/>
      <c r="J50"/>
      <c r="K50"/>
      <c r="L50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"/>
      <c r="AT50" s="6"/>
      <c r="AU50" s="6"/>
      <c r="AV50" s="6"/>
      <c r="AW50" s="6"/>
      <c r="AX50" s="6"/>
      <c r="AY50" s="6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"/>
      <c r="AT51" s="6"/>
      <c r="AU51" s="6"/>
      <c r="AV51" s="6"/>
      <c r="AW51" s="6"/>
      <c r="AX51" s="6"/>
      <c r="AY51" s="6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"/>
      <c r="AT52" s="6"/>
      <c r="AU52" s="6"/>
      <c r="AV52" s="6"/>
      <c r="AW52" s="6"/>
      <c r="AX52" s="6"/>
      <c r="AY52" s="6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"/>
      <c r="AT53" s="6"/>
      <c r="AU53" s="6"/>
      <c r="AV53" s="6"/>
      <c r="AW53" s="6"/>
      <c r="AX53" s="6"/>
      <c r="AY53" s="6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"/>
      <c r="AT54" s="6"/>
      <c r="AU54" s="6"/>
      <c r="AV54" s="6"/>
      <c r="AW54" s="6"/>
      <c r="AX54" s="6"/>
      <c r="AY54" s="6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"/>
      <c r="AT55" s="6"/>
      <c r="AU55" s="6"/>
      <c r="AV55" s="6"/>
      <c r="AW55" s="6"/>
      <c r="AX55" s="6"/>
      <c r="AY55" s="6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"/>
      <c r="AT56" s="6"/>
      <c r="AU56" s="6"/>
      <c r="AV56" s="6"/>
      <c r="AW56" s="6"/>
      <c r="AX56" s="6"/>
      <c r="AY56" s="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"/>
      <c r="AT57" s="6"/>
      <c r="AU57" s="6"/>
      <c r="AV57" s="6"/>
      <c r="AW57" s="6"/>
      <c r="AX57" s="6"/>
      <c r="AY57" s="6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"/>
      <c r="AT58" s="6"/>
      <c r="AU58" s="6"/>
      <c r="AV58" s="6"/>
      <c r="AW58" s="6"/>
      <c r="AX58" s="6"/>
      <c r="AY58" s="6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"/>
      <c r="AT59" s="6"/>
      <c r="AU59" s="6"/>
      <c r="AV59" s="6"/>
      <c r="AW59" s="6"/>
      <c r="AX59" s="6"/>
      <c r="AY59" s="6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"/>
      <c r="AT60" s="6"/>
      <c r="AU60" s="6"/>
      <c r="AV60" s="6"/>
      <c r="AW60" s="6"/>
      <c r="AX60" s="6"/>
      <c r="AY60" s="6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"/>
      <c r="AT61" s="6"/>
      <c r="AU61" s="6"/>
      <c r="AV61" s="6"/>
      <c r="AW61" s="6"/>
      <c r="AX61" s="6"/>
      <c r="AY61" s="6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"/>
      <c r="AT62" s="6"/>
      <c r="AU62" s="6"/>
      <c r="AV62" s="6"/>
      <c r="AW62" s="6"/>
      <c r="AX62" s="6"/>
      <c r="AY62" s="6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"/>
      <c r="AT63" s="6"/>
      <c r="AU63" s="6"/>
      <c r="AV63" s="6"/>
      <c r="AW63" s="6"/>
      <c r="AX63" s="6"/>
      <c r="AY63" s="6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"/>
      <c r="AT64" s="6"/>
      <c r="AU64" s="6"/>
      <c r="AV64" s="6"/>
      <c r="AW64" s="6"/>
      <c r="AX64" s="6"/>
      <c r="AY64" s="6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"/>
      <c r="AT65" s="6"/>
      <c r="AU65" s="6"/>
      <c r="AV65" s="6"/>
      <c r="AW65" s="6"/>
      <c r="AX65" s="6"/>
      <c r="AY65" s="6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"/>
      <c r="AT66" s="6"/>
      <c r="AU66" s="6"/>
      <c r="AV66" s="6"/>
      <c r="AW66" s="6"/>
      <c r="AX66" s="6"/>
      <c r="AY66" s="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"/>
      <c r="AT67" s="6"/>
      <c r="AU67" s="6"/>
      <c r="AV67" s="6"/>
      <c r="AW67" s="6"/>
      <c r="AX67" s="6"/>
      <c r="AY67" s="6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"/>
      <c r="AT68" s="6"/>
      <c r="AU68" s="6"/>
      <c r="AV68" s="6"/>
      <c r="AW68" s="6"/>
      <c r="AX68" s="6"/>
      <c r="AY68" s="6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"/>
      <c r="AT69" s="6"/>
      <c r="AU69" s="6"/>
      <c r="AV69" s="6"/>
      <c r="AW69" s="6"/>
      <c r="AX69" s="6"/>
      <c r="AY69" s="6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"/>
      <c r="AT70" s="6"/>
      <c r="AU70" s="6"/>
      <c r="AV70" s="6"/>
      <c r="AW70" s="6"/>
      <c r="AX70" s="6"/>
      <c r="AY70" s="6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"/>
      <c r="AT71" s="6"/>
      <c r="AU71" s="6"/>
      <c r="AV71" s="6"/>
      <c r="AW71" s="6"/>
      <c r="AX71" s="6"/>
      <c r="AY71" s="6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35"/>
  <sheetViews>
    <sheetView zoomScale="84" zoomScaleNormal="84" workbookViewId="0">
      <selection activeCell="C7" sqref="C7"/>
    </sheetView>
  </sheetViews>
  <sheetFormatPr defaultColWidth="9.140625" defaultRowHeight="13.5" x14ac:dyDescent="0.25"/>
  <cols>
    <col min="1" max="1" width="6.7109375" style="57" bestFit="1" customWidth="1"/>
    <col min="2" max="2" width="8.140625" style="89" bestFit="1" customWidth="1"/>
    <col min="3" max="3" width="12.140625" style="89" bestFit="1" customWidth="1"/>
    <col min="4" max="4" width="11.5703125" style="89" bestFit="1" customWidth="1"/>
    <col min="5" max="5" width="11.5703125" style="57" bestFit="1" customWidth="1"/>
    <col min="6" max="6" width="9.5703125" style="57" bestFit="1" customWidth="1"/>
    <col min="7" max="7" width="9.7109375" style="57" bestFit="1" customWidth="1"/>
    <col min="8" max="9" width="9.140625" style="57"/>
    <col min="10" max="10" width="9.140625" style="57" customWidth="1"/>
    <col min="11" max="11" width="14.5703125" style="57" bestFit="1" customWidth="1"/>
    <col min="12" max="16384" width="9.140625" style="57"/>
  </cols>
  <sheetData>
    <row r="1" spans="1:19" ht="18.75" x14ac:dyDescent="0.3">
      <c r="C1" s="100" t="s">
        <v>132</v>
      </c>
      <c r="D1" s="100" t="s">
        <v>51</v>
      </c>
      <c r="E1" s="100" t="s">
        <v>53</v>
      </c>
      <c r="F1" s="100" t="s">
        <v>74</v>
      </c>
      <c r="G1" s="100" t="s">
        <v>27</v>
      </c>
      <c r="I1" s="116" t="s">
        <v>88</v>
      </c>
      <c r="J1" s="115"/>
      <c r="K1" s="116" t="s">
        <v>89</v>
      </c>
      <c r="L1" s="116"/>
      <c r="M1" s="116"/>
      <c r="N1" s="116"/>
      <c r="O1" s="116"/>
      <c r="P1" s="115"/>
      <c r="Q1" s="116"/>
      <c r="R1" s="116"/>
      <c r="S1" s="117"/>
    </row>
    <row r="2" spans="1:19" ht="15" x14ac:dyDescent="0.25">
      <c r="C2" s="137">
        <v>4</v>
      </c>
      <c r="D2" s="101">
        <f>INTERCEPT($C$6:$C$29,$A$6:$A$29)</f>
        <v>34.44876811594203</v>
      </c>
      <c r="E2" s="101">
        <f>SLOPE($C$6:$C$29,$A$6:$A$29)</f>
        <v>1.1515217391304349</v>
      </c>
      <c r="F2" s="102">
        <f>RSQ($C$6:$C$76,$A$6:$A$76)</f>
        <v>0.91543364340941924</v>
      </c>
      <c r="G2" s="101">
        <f>STEYX($C$6:$C$76,$A$6:$A$76)</f>
        <v>2.5304344784125266</v>
      </c>
      <c r="I2" s="89" t="s">
        <v>77</v>
      </c>
      <c r="J2" s="89" t="s">
        <v>76</v>
      </c>
      <c r="K2" s="89" t="s">
        <v>78</v>
      </c>
      <c r="L2" s="57" t="s">
        <v>90</v>
      </c>
    </row>
    <row r="3" spans="1:19" x14ac:dyDescent="0.25">
      <c r="A3" s="103" t="str">
        <f>[1]ArdiData!A2</f>
        <v>Per.</v>
      </c>
      <c r="B3" s="78" t="str">
        <f>[1]ArdiData!D2</f>
        <v>Trend&amp;S</v>
      </c>
      <c r="C3" s="89" t="s">
        <v>73</v>
      </c>
      <c r="D3" s="57" t="s">
        <v>75</v>
      </c>
      <c r="E3" s="57" t="s">
        <v>76</v>
      </c>
      <c r="F3" s="57" t="s">
        <v>77</v>
      </c>
      <c r="G3" s="57" t="s">
        <v>79</v>
      </c>
      <c r="I3" s="89">
        <v>1</v>
      </c>
      <c r="J3" s="104">
        <f>AVERAGEIF($F$4:$F$31,I3,$E$4:$E$31)</f>
        <v>0.8269992824632828</v>
      </c>
      <c r="K3" s="89">
        <f>J3/$J$8</f>
        <v>0.82474657896645398</v>
      </c>
      <c r="L3" s="57" t="s">
        <v>91</v>
      </c>
    </row>
    <row r="4" spans="1:19" ht="15" x14ac:dyDescent="0.3">
      <c r="A4" s="103">
        <f>[1]ArdiData!A3</f>
        <v>1</v>
      </c>
      <c r="B4" s="105">
        <f>'0.ArdiData28Fixed'!D3</f>
        <v>33</v>
      </c>
      <c r="D4" s="106">
        <f>$D$2+$E$2*A4</f>
        <v>35.600289855072468</v>
      </c>
      <c r="E4" s="110">
        <f>B4/D4</f>
        <v>0.9269587448400517</v>
      </c>
      <c r="F4" s="136">
        <f>IF(MOD(A4,$C$2)&lt;&gt;0,MOD(A4,$C$2),$C$2)</f>
        <v>1</v>
      </c>
      <c r="G4" s="107">
        <f>VLOOKUP(F4,$I$3:$K$7,3)*D4</f>
        <v>29.361217268185175</v>
      </c>
      <c r="I4" s="89">
        <v>2</v>
      </c>
      <c r="J4" s="104">
        <f t="shared" ref="J4:J6" si="0">AVERAGEIF($F$4:$F$31,I4,$E$4:$E$31)</f>
        <v>1.0407759346705692</v>
      </c>
      <c r="K4" s="89">
        <f t="shared" ref="K4:K6" si="1">J4/$J$8</f>
        <v>1.0379409145718042</v>
      </c>
      <c r="L4" s="57" t="s">
        <v>92</v>
      </c>
    </row>
    <row r="5" spans="1:19" ht="15" x14ac:dyDescent="0.3">
      <c r="A5" s="103">
        <f>[1]ArdiData!A4</f>
        <v>2</v>
      </c>
      <c r="B5" s="105">
        <f>'0.ArdiData28Fixed'!D4</f>
        <v>35</v>
      </c>
      <c r="D5" s="106">
        <f t="shared" ref="D5:D31" si="2">$D$2+$E$2*A5</f>
        <v>36.751811594202898</v>
      </c>
      <c r="E5" s="110">
        <f t="shared" ref="E5:E31" si="3">B5/D5</f>
        <v>0.95233400699955639</v>
      </c>
      <c r="F5" s="136">
        <f t="shared" ref="F5:F31" si="4">IF(MOD(A5,$C$2)&lt;&gt;0,MOD(A5,$C$2),$C$2)</f>
        <v>2</v>
      </c>
      <c r="G5" s="107">
        <f t="shared" ref="G5:G31" si="5">VLOOKUP(F5,$I$3:$K$7,3)*D5</f>
        <v>38.146208938257594</v>
      </c>
      <c r="I5" s="89">
        <v>3</v>
      </c>
      <c r="J5" s="104">
        <f t="shared" si="0"/>
        <v>1.3244598779444963</v>
      </c>
      <c r="K5" s="89">
        <f t="shared" si="1"/>
        <v>1.3208521173796164</v>
      </c>
      <c r="L5" s="57" t="s">
        <v>93</v>
      </c>
    </row>
    <row r="6" spans="1:19" ht="15" x14ac:dyDescent="0.3">
      <c r="A6" s="103">
        <f>[1]ArdiData!A5</f>
        <v>3</v>
      </c>
      <c r="B6" s="105">
        <f>'0.ArdiData28Fixed'!D5</f>
        <v>48</v>
      </c>
      <c r="C6" s="108">
        <f>(AVERAGE(B4:B7)+AVERAGE(B5:B8))/2</f>
        <v>35</v>
      </c>
      <c r="D6" s="106">
        <f t="shared" si="2"/>
        <v>37.903333333333336</v>
      </c>
      <c r="E6" s="110">
        <f t="shared" si="3"/>
        <v>1.2663793861577697</v>
      </c>
      <c r="F6" s="136">
        <f t="shared" si="4"/>
        <v>3</v>
      </c>
      <c r="G6" s="107">
        <f t="shared" si="5"/>
        <v>50.064698089078732</v>
      </c>
      <c r="I6" s="89">
        <v>4</v>
      </c>
      <c r="J6" s="104">
        <f t="shared" si="0"/>
        <v>0.81869045977343069</v>
      </c>
      <c r="K6" s="89">
        <f t="shared" si="1"/>
        <v>0.81646038908212526</v>
      </c>
      <c r="L6" s="57" t="s">
        <v>94</v>
      </c>
    </row>
    <row r="7" spans="1:19" ht="15" x14ac:dyDescent="0.3">
      <c r="A7" s="103">
        <f>[1]ArdiData!A6</f>
        <v>4</v>
      </c>
      <c r="B7" s="105">
        <f>'0.ArdiData28Fixed'!D6</f>
        <v>28</v>
      </c>
      <c r="C7" s="108">
        <f t="shared" ref="C7:C28" si="6">(AVERAGE(B5:B8)+AVERAGE(B6:B9))/2</f>
        <v>36.25</v>
      </c>
      <c r="D7" s="106">
        <f t="shared" si="2"/>
        <v>39.054855072463766</v>
      </c>
      <c r="E7" s="110">
        <f t="shared" si="3"/>
        <v>0.71694031249246237</v>
      </c>
      <c r="F7" s="136">
        <f t="shared" si="4"/>
        <v>4</v>
      </c>
      <c r="G7" s="107">
        <f t="shared" si="5"/>
        <v>31.886742168009778</v>
      </c>
      <c r="I7" s="89"/>
      <c r="J7" s="104"/>
      <c r="K7" s="89"/>
      <c r="L7" s="57" t="s">
        <v>95</v>
      </c>
    </row>
    <row r="8" spans="1:19" ht="15" x14ac:dyDescent="0.3">
      <c r="A8" s="103">
        <f>[1]ArdiData!A7</f>
        <v>5</v>
      </c>
      <c r="B8" s="105">
        <f>'0.ArdiData28Fixed'!D7</f>
        <v>25</v>
      </c>
      <c r="C8" s="108">
        <f t="shared" si="6"/>
        <v>38.75</v>
      </c>
      <c r="D8" s="106">
        <f t="shared" si="2"/>
        <v>40.206376811594204</v>
      </c>
      <c r="E8" s="110">
        <f t="shared" si="3"/>
        <v>0.62179191418190205</v>
      </c>
      <c r="F8" s="136">
        <f t="shared" si="4"/>
        <v>1</v>
      </c>
      <c r="G8" s="107">
        <f t="shared" si="5"/>
        <v>33.160071727998485</v>
      </c>
      <c r="I8" s="89"/>
      <c r="J8" s="109">
        <f>AVERAGE(J3:J6)</f>
        <v>1.0027313887129448</v>
      </c>
      <c r="K8" s="109">
        <f>AVERAGE(K3:K7)</f>
        <v>0.99999999999999989</v>
      </c>
    </row>
    <row r="9" spans="1:19" ht="15" x14ac:dyDescent="0.3">
      <c r="A9" s="103">
        <f>[1]ArdiData!A8</f>
        <v>6</v>
      </c>
      <c r="B9" s="105">
        <f>'0.ArdiData28Fixed'!D8</f>
        <v>53</v>
      </c>
      <c r="C9" s="108">
        <f t="shared" si="6"/>
        <v>40.75</v>
      </c>
      <c r="D9" s="106">
        <f t="shared" si="2"/>
        <v>41.357898550724641</v>
      </c>
      <c r="E9" s="110">
        <f t="shared" si="3"/>
        <v>1.2814964458360125</v>
      </c>
      <c r="F9" s="136">
        <f t="shared" si="4"/>
        <v>2</v>
      </c>
      <c r="G9" s="107">
        <f t="shared" si="5"/>
        <v>42.927055046507029</v>
      </c>
    </row>
    <row r="10" spans="1:19" ht="15" x14ac:dyDescent="0.3">
      <c r="A10" s="103">
        <f>[1]ArdiData!A9</f>
        <v>7</v>
      </c>
      <c r="B10" s="105">
        <f>'0.ArdiData28Fixed'!D9</f>
        <v>50</v>
      </c>
      <c r="C10" s="108">
        <f t="shared" si="6"/>
        <v>44.375</v>
      </c>
      <c r="D10" s="106">
        <f t="shared" si="2"/>
        <v>42.509420289855072</v>
      </c>
      <c r="E10" s="110">
        <f t="shared" si="3"/>
        <v>1.1762098767536608</v>
      </c>
      <c r="F10" s="136">
        <f t="shared" si="4"/>
        <v>3</v>
      </c>
      <c r="G10" s="107">
        <f t="shared" si="5"/>
        <v>56.148657798435096</v>
      </c>
    </row>
    <row r="11" spans="1:19" ht="15" x14ac:dyDescent="0.3">
      <c r="A11" s="103">
        <f>[1]ArdiData!A10</f>
        <v>8</v>
      </c>
      <c r="B11" s="105">
        <f>'0.ArdiData28Fixed'!D10</f>
        <v>42</v>
      </c>
      <c r="C11" s="108">
        <f t="shared" si="6"/>
        <v>45.375</v>
      </c>
      <c r="D11" s="106">
        <f t="shared" si="2"/>
        <v>43.660942028985509</v>
      </c>
      <c r="E11" s="110">
        <f t="shared" si="3"/>
        <v>0.96195817241224779</v>
      </c>
      <c r="F11" s="136">
        <f t="shared" si="4"/>
        <v>4</v>
      </c>
      <c r="G11" s="107">
        <f t="shared" si="5"/>
        <v>35.647429716677621</v>
      </c>
    </row>
    <row r="12" spans="1:19" ht="15" x14ac:dyDescent="0.3">
      <c r="A12" s="103">
        <f>[1]ArdiData!A11</f>
        <v>9</v>
      </c>
      <c r="B12" s="105">
        <f>'0.ArdiData28Fixed'!D11</f>
        <v>40</v>
      </c>
      <c r="C12" s="108">
        <f t="shared" si="6"/>
        <v>47.25</v>
      </c>
      <c r="D12" s="106">
        <f t="shared" si="2"/>
        <v>44.812463768115947</v>
      </c>
      <c r="E12" s="110">
        <f t="shared" si="3"/>
        <v>0.89260881095450917</v>
      </c>
      <c r="F12" s="136">
        <f t="shared" si="4"/>
        <v>1</v>
      </c>
      <c r="G12" s="107">
        <f t="shared" si="5"/>
        <v>36.958926187811798</v>
      </c>
    </row>
    <row r="13" spans="1:19" ht="15" x14ac:dyDescent="0.3">
      <c r="A13" s="103">
        <f>[1]ArdiData!A12</f>
        <v>10</v>
      </c>
      <c r="B13" s="105">
        <f>'0.ArdiData28Fixed'!D12</f>
        <v>46</v>
      </c>
      <c r="C13" s="108">
        <f t="shared" si="6"/>
        <v>48.625</v>
      </c>
      <c r="D13" s="106">
        <f t="shared" si="2"/>
        <v>45.963985507246377</v>
      </c>
      <c r="E13" s="110">
        <f t="shared" si="3"/>
        <v>1.000783537205405</v>
      </c>
      <c r="F13" s="136">
        <f t="shared" si="4"/>
        <v>2</v>
      </c>
      <c r="G13" s="107">
        <f t="shared" si="5"/>
        <v>47.707901154756456</v>
      </c>
    </row>
    <row r="14" spans="1:19" ht="15" x14ac:dyDescent="0.3">
      <c r="A14" s="103">
        <f>[1]ArdiData!A13</f>
        <v>11</v>
      </c>
      <c r="B14" s="105">
        <f>'0.ArdiData28Fixed'!D13</f>
        <v>72</v>
      </c>
      <c r="C14" s="108">
        <f t="shared" si="6"/>
        <v>47.75</v>
      </c>
      <c r="D14" s="106">
        <f t="shared" si="2"/>
        <v>47.115507246376815</v>
      </c>
      <c r="E14" s="110">
        <f t="shared" si="3"/>
        <v>1.5281592878433206</v>
      </c>
      <c r="F14" s="136">
        <f t="shared" si="4"/>
        <v>3</v>
      </c>
      <c r="G14" s="107">
        <f t="shared" si="5"/>
        <v>62.232617507791474</v>
      </c>
    </row>
    <row r="15" spans="1:19" ht="15" x14ac:dyDescent="0.3">
      <c r="A15" s="103">
        <f>[1]ArdiData!A14</f>
        <v>12</v>
      </c>
      <c r="B15" s="105">
        <f>'0.ArdiData28Fixed'!D14</f>
        <v>31</v>
      </c>
      <c r="C15" s="108">
        <f t="shared" si="6"/>
        <v>47.375</v>
      </c>
      <c r="D15" s="106">
        <f t="shared" si="2"/>
        <v>48.267028985507253</v>
      </c>
      <c r="E15" s="110">
        <f t="shared" si="3"/>
        <v>0.64226037217472232</v>
      </c>
      <c r="F15" s="136">
        <f t="shared" si="4"/>
        <v>4</v>
      </c>
      <c r="G15" s="107">
        <f t="shared" si="5"/>
        <v>39.408117265345467</v>
      </c>
    </row>
    <row r="16" spans="1:19" ht="15" x14ac:dyDescent="0.3">
      <c r="A16" s="103">
        <f>[1]ArdiData!A15</f>
        <v>13</v>
      </c>
      <c r="B16" s="105">
        <f>'0.ArdiData28Fixed'!D15</f>
        <v>44</v>
      </c>
      <c r="C16" s="108">
        <f t="shared" si="6"/>
        <v>46.5</v>
      </c>
      <c r="D16" s="106">
        <f t="shared" si="2"/>
        <v>49.418550724637683</v>
      </c>
      <c r="E16" s="110">
        <f t="shared" si="3"/>
        <v>0.89035391274766262</v>
      </c>
      <c r="F16" s="136">
        <f t="shared" si="4"/>
        <v>1</v>
      </c>
      <c r="G16" s="107">
        <f t="shared" si="5"/>
        <v>40.757780647625104</v>
      </c>
    </row>
    <row r="17" spans="1:11" ht="15" x14ac:dyDescent="0.3">
      <c r="A17" s="103">
        <f>[1]ArdiData!A16</f>
        <v>14</v>
      </c>
      <c r="B17" s="105">
        <f>'0.ArdiData28Fixed'!D16</f>
        <v>39</v>
      </c>
      <c r="C17" s="108">
        <f t="shared" si="6"/>
        <v>49</v>
      </c>
      <c r="D17" s="106">
        <f t="shared" si="2"/>
        <v>50.57007246376812</v>
      </c>
      <c r="E17" s="110">
        <f t="shared" si="3"/>
        <v>0.77120712112766465</v>
      </c>
      <c r="F17" s="136">
        <f t="shared" si="4"/>
        <v>2</v>
      </c>
      <c r="G17" s="107">
        <f t="shared" si="5"/>
        <v>52.488747263005891</v>
      </c>
    </row>
    <row r="18" spans="1:11" ht="15" x14ac:dyDescent="0.3">
      <c r="A18" s="103">
        <f>[1]ArdiData!A17</f>
        <v>15</v>
      </c>
      <c r="B18" s="105">
        <f>'0.ArdiData28Fixed'!D17</f>
        <v>72</v>
      </c>
      <c r="C18" s="108">
        <f t="shared" si="6"/>
        <v>51.125</v>
      </c>
      <c r="D18" s="106">
        <f t="shared" si="2"/>
        <v>51.721594202898558</v>
      </c>
      <c r="E18" s="110">
        <f t="shared" si="3"/>
        <v>1.3920684601783795</v>
      </c>
      <c r="F18" s="136">
        <f t="shared" si="4"/>
        <v>3</v>
      </c>
      <c r="G18" s="107">
        <f t="shared" si="5"/>
        <v>68.316577217147852</v>
      </c>
    </row>
    <row r="19" spans="1:11" ht="15" x14ac:dyDescent="0.3">
      <c r="A19" s="103">
        <f>[1]ArdiData!A18</f>
        <v>16</v>
      </c>
      <c r="B19" s="105">
        <f>'0.ArdiData28Fixed'!D18</f>
        <v>51</v>
      </c>
      <c r="C19" s="108">
        <f t="shared" si="6"/>
        <v>54</v>
      </c>
      <c r="D19" s="106">
        <f t="shared" si="2"/>
        <v>52.873115942028988</v>
      </c>
      <c r="E19" s="110">
        <f t="shared" si="3"/>
        <v>0.96457337706212165</v>
      </c>
      <c r="F19" s="136">
        <f t="shared" si="4"/>
        <v>4</v>
      </c>
      <c r="G19" s="107">
        <f t="shared" si="5"/>
        <v>43.168804814013306</v>
      </c>
    </row>
    <row r="20" spans="1:11" ht="15" x14ac:dyDescent="0.3">
      <c r="A20" s="103">
        <f>[1]ArdiData!A19</f>
        <v>17</v>
      </c>
      <c r="B20" s="105">
        <f>'0.ArdiData28Fixed'!D19</f>
        <v>41</v>
      </c>
      <c r="C20" s="108">
        <f t="shared" si="6"/>
        <v>56.625</v>
      </c>
      <c r="D20" s="106">
        <f t="shared" si="2"/>
        <v>54.024637681159419</v>
      </c>
      <c r="E20" s="110">
        <f t="shared" si="3"/>
        <v>0.75891300265579309</v>
      </c>
      <c r="F20" s="136">
        <f t="shared" si="4"/>
        <v>1</v>
      </c>
      <c r="G20" s="107">
        <f t="shared" si="5"/>
        <v>44.55663510743841</v>
      </c>
    </row>
    <row r="21" spans="1:11" ht="15" x14ac:dyDescent="0.3">
      <c r="A21" s="103">
        <f>[1]ArdiData!A20</f>
        <v>18</v>
      </c>
      <c r="B21" s="105">
        <f>'0.ArdiData28Fixed'!D20</f>
        <v>65</v>
      </c>
      <c r="C21" s="108">
        <f t="shared" si="6"/>
        <v>56</v>
      </c>
      <c r="D21" s="106">
        <f t="shared" si="2"/>
        <v>55.176159420289856</v>
      </c>
      <c r="E21" s="110">
        <f t="shared" si="3"/>
        <v>1.1780450231209394</v>
      </c>
      <c r="F21" s="136">
        <f t="shared" si="4"/>
        <v>2</v>
      </c>
      <c r="G21" s="107">
        <f t="shared" si="5"/>
        <v>57.269593371255318</v>
      </c>
    </row>
    <row r="22" spans="1:11" ht="15" x14ac:dyDescent="0.3">
      <c r="A22" s="103">
        <f>[1]ArdiData!A21</f>
        <v>19</v>
      </c>
      <c r="B22" s="105">
        <f>'0.ArdiData28Fixed'!D21</f>
        <v>67</v>
      </c>
      <c r="C22" s="108">
        <f t="shared" si="6"/>
        <v>57.875</v>
      </c>
      <c r="D22" s="106">
        <f t="shared" si="2"/>
        <v>56.327681159420294</v>
      </c>
      <c r="E22" s="110">
        <f t="shared" si="3"/>
        <v>1.1894684570872815</v>
      </c>
      <c r="F22" s="136">
        <f t="shared" si="4"/>
        <v>3</v>
      </c>
      <c r="G22" s="107">
        <f t="shared" si="5"/>
        <v>74.400536926504216</v>
      </c>
    </row>
    <row r="23" spans="1:11" ht="15" x14ac:dyDescent="0.3">
      <c r="A23" s="103">
        <f>[1]ArdiData!A22</f>
        <v>20</v>
      </c>
      <c r="B23" s="105">
        <f>'0.ArdiData28Fixed'!D22</f>
        <v>51</v>
      </c>
      <c r="C23" s="108">
        <f t="shared" si="6"/>
        <v>60.25</v>
      </c>
      <c r="D23" s="106">
        <f t="shared" si="2"/>
        <v>57.479202898550724</v>
      </c>
      <c r="E23" s="110">
        <f t="shared" si="3"/>
        <v>0.88727743998144259</v>
      </c>
      <c r="F23" s="136">
        <f t="shared" si="4"/>
        <v>4</v>
      </c>
      <c r="G23" s="107">
        <f t="shared" si="5"/>
        <v>46.929492362681145</v>
      </c>
    </row>
    <row r="24" spans="1:11" ht="15" x14ac:dyDescent="0.3">
      <c r="A24" s="103">
        <f>[1]ArdiData!A23</f>
        <v>21</v>
      </c>
      <c r="B24" s="105">
        <f>'0.ArdiData28Fixed'!D23</f>
        <v>56</v>
      </c>
      <c r="C24" s="108">
        <f t="shared" si="6"/>
        <v>62.625</v>
      </c>
      <c r="D24" s="106">
        <f t="shared" si="2"/>
        <v>58.630724637681162</v>
      </c>
      <c r="E24" s="110">
        <f t="shared" si="3"/>
        <v>0.9551306136170381</v>
      </c>
      <c r="F24" s="136">
        <f t="shared" si="4"/>
        <v>1</v>
      </c>
      <c r="G24" s="107">
        <f t="shared" si="5"/>
        <v>48.355489567251723</v>
      </c>
    </row>
    <row r="25" spans="1:11" ht="15" x14ac:dyDescent="0.3">
      <c r="A25" s="103">
        <f>[1]ArdiData!A24</f>
        <v>22</v>
      </c>
      <c r="B25" s="105">
        <f>'0.ArdiData28Fixed'!D24</f>
        <v>69</v>
      </c>
      <c r="C25" s="108">
        <f t="shared" si="6"/>
        <v>63</v>
      </c>
      <c r="D25" s="106">
        <f t="shared" si="2"/>
        <v>59.782246376811599</v>
      </c>
      <c r="E25" s="110">
        <f t="shared" si="3"/>
        <v>1.1541888132655349</v>
      </c>
      <c r="F25" s="136">
        <f t="shared" si="4"/>
        <v>2</v>
      </c>
      <c r="G25" s="107">
        <f t="shared" si="5"/>
        <v>62.050439479504753</v>
      </c>
    </row>
    <row r="26" spans="1:11" ht="15" x14ac:dyDescent="0.3">
      <c r="A26" s="103">
        <f>[1]ArdiData!A25</f>
        <v>23</v>
      </c>
      <c r="B26" s="105">
        <f>'0.ArdiData28Fixed'!D25</f>
        <v>82</v>
      </c>
      <c r="C26" s="108">
        <f t="shared" si="6"/>
        <v>60.375</v>
      </c>
      <c r="D26" s="106">
        <f t="shared" si="2"/>
        <v>60.93376811594203</v>
      </c>
      <c r="E26" s="110">
        <f t="shared" si="3"/>
        <v>1.3457234393247122</v>
      </c>
      <c r="F26" s="136">
        <f t="shared" si="4"/>
        <v>3</v>
      </c>
      <c r="G26" s="107">
        <f t="shared" si="5"/>
        <v>80.484496635860594</v>
      </c>
    </row>
    <row r="27" spans="1:11" ht="15" x14ac:dyDescent="0.3">
      <c r="A27" s="103">
        <f>[1]ArdiData!A26</f>
        <v>24</v>
      </c>
      <c r="B27" s="105">
        <f>'0.ArdiData28Fixed'!D26</f>
        <v>39</v>
      </c>
      <c r="C27" s="108">
        <f t="shared" si="6"/>
        <v>58.25</v>
      </c>
      <c r="D27" s="106">
        <f t="shared" si="2"/>
        <v>62.085289855072467</v>
      </c>
      <c r="E27" s="110">
        <f t="shared" si="3"/>
        <v>0.62816812309387382</v>
      </c>
      <c r="F27" s="136">
        <f t="shared" si="4"/>
        <v>4</v>
      </c>
      <c r="G27" s="107">
        <f t="shared" si="5"/>
        <v>50.690179911348991</v>
      </c>
    </row>
    <row r="28" spans="1:11" ht="15" x14ac:dyDescent="0.3">
      <c r="A28" s="103">
        <f>[1]ArdiData!A27</f>
        <v>25</v>
      </c>
      <c r="B28" s="105">
        <f>'0.ArdiData28Fixed'!D27</f>
        <v>47</v>
      </c>
      <c r="C28" s="108">
        <f t="shared" si="6"/>
        <v>58.25</v>
      </c>
      <c r="D28" s="106">
        <f t="shared" si="2"/>
        <v>63.236811594202905</v>
      </c>
      <c r="E28" s="110">
        <f t="shared" si="3"/>
        <v>0.74323797824602245</v>
      </c>
      <c r="F28" s="136">
        <f t="shared" si="4"/>
        <v>1</v>
      </c>
      <c r="G28" s="107">
        <f t="shared" si="5"/>
        <v>52.154344027065036</v>
      </c>
    </row>
    <row r="29" spans="1:11" ht="15" x14ac:dyDescent="0.3">
      <c r="A29" s="103">
        <f>[1]ArdiData!A28</f>
        <v>26</v>
      </c>
      <c r="B29" s="105">
        <f>'0.ArdiData28Fixed'!D28</f>
        <v>61</v>
      </c>
      <c r="C29" s="108">
        <f>(AVERAGE(B27:B30)+AVERAGE(B28:B31))/2</f>
        <v>62.125</v>
      </c>
      <c r="D29" s="106">
        <f t="shared" si="2"/>
        <v>64.388333333333335</v>
      </c>
      <c r="E29" s="110">
        <f t="shared" si="3"/>
        <v>0.94737659513887085</v>
      </c>
      <c r="F29" s="136">
        <f t="shared" si="4"/>
        <v>2</v>
      </c>
      <c r="G29" s="107">
        <f t="shared" si="5"/>
        <v>66.831285587754181</v>
      </c>
    </row>
    <row r="30" spans="1:11" ht="15.75" x14ac:dyDescent="0.3">
      <c r="A30" s="103">
        <f>[1]ArdiData!A29</f>
        <v>27</v>
      </c>
      <c r="B30" s="105">
        <f>'0.ArdiData28Fixed'!D29</f>
        <v>90</v>
      </c>
      <c r="C30"/>
      <c r="D30" s="106">
        <f t="shared" si="2"/>
        <v>65.53985507246378</v>
      </c>
      <c r="E30" s="110">
        <f t="shared" si="3"/>
        <v>1.3732102382663494</v>
      </c>
      <c r="F30" s="136">
        <f t="shared" si="4"/>
        <v>3</v>
      </c>
      <c r="G30" s="107">
        <f t="shared" si="5"/>
        <v>86.568456345216973</v>
      </c>
    </row>
    <row r="31" spans="1:11" ht="15.75" x14ac:dyDescent="0.3">
      <c r="A31" s="103">
        <f>[1]ArdiData!A30</f>
        <v>28</v>
      </c>
      <c r="B31" s="105">
        <f>'0.ArdiData28Fixed'!D30</f>
        <v>62</v>
      </c>
      <c r="C31"/>
      <c r="D31" s="106">
        <f t="shared" si="2"/>
        <v>66.69137681159421</v>
      </c>
      <c r="E31" s="110">
        <f t="shared" si="3"/>
        <v>0.92965542119714317</v>
      </c>
      <c r="F31" s="136">
        <f t="shared" si="4"/>
        <v>4</v>
      </c>
      <c r="G31" s="107">
        <f t="shared" si="5"/>
        <v>54.450867460016838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621-FBC4-4BE5-8038-616336597D92}">
  <dimension ref="A1:BJ300"/>
  <sheetViews>
    <sheetView zoomScale="96" zoomScaleNormal="96" workbookViewId="0">
      <selection activeCell="K34" sqref="K34"/>
    </sheetView>
  </sheetViews>
  <sheetFormatPr defaultColWidth="9.140625" defaultRowHeight="15" x14ac:dyDescent="0.25"/>
  <cols>
    <col min="1" max="1" width="4.5703125" style="57" bestFit="1" customWidth="1"/>
    <col min="2" max="2" width="12.42578125" style="57" customWidth="1"/>
    <col min="3" max="6" width="9.7109375" style="57" customWidth="1"/>
    <col min="7" max="7" width="12.42578125" style="57" bestFit="1" customWidth="1"/>
    <col min="8" max="10" width="9.7109375" style="57" customWidth="1"/>
    <col min="11" max="11" width="9.140625" style="57"/>
    <col min="12" max="12" width="12.140625" style="57" bestFit="1" customWidth="1"/>
    <col min="13" max="13" width="13.85546875" style="57" bestFit="1" customWidth="1"/>
    <col min="14" max="14" width="12.42578125" style="57" bestFit="1" customWidth="1"/>
    <col min="15" max="15" width="12.42578125" style="57" customWidth="1"/>
    <col min="16" max="16" width="12.140625" style="57" bestFit="1" customWidth="1"/>
    <col min="17" max="20" width="9.28515625" style="57" bestFit="1" customWidth="1"/>
    <col min="21" max="22" width="9.140625" style="57"/>
    <col min="23" max="23" width="9.28515625" style="57" bestFit="1" customWidth="1"/>
    <col min="24" max="34" width="9.140625" style="57"/>
    <col min="35" max="35" width="9.140625" style="57" customWidth="1"/>
    <col min="36" max="38" width="9.140625" style="57"/>
    <col min="39" max="39" width="9.28515625" bestFit="1" customWidth="1"/>
    <col min="40" max="40" width="14" customWidth="1"/>
    <col min="41" max="41" width="12.28515625" customWidth="1"/>
    <col min="42" max="42" width="10.140625" bestFit="1" customWidth="1"/>
    <col min="43" max="43" width="10.140625" customWidth="1"/>
    <col min="44" max="46" width="9.28515625" customWidth="1"/>
    <col min="47" max="47" width="9.28515625" bestFit="1" customWidth="1"/>
    <col min="48" max="48" width="12.28515625" bestFit="1" customWidth="1"/>
    <col min="58" max="16384" width="9.140625" style="57"/>
  </cols>
  <sheetData>
    <row r="1" spans="1:62" ht="15.75" thickBot="1" x14ac:dyDescent="0.3">
      <c r="C1" s="57">
        <v>4</v>
      </c>
      <c r="K1" s="127"/>
      <c r="L1" s="128"/>
      <c r="M1" s="127"/>
      <c r="N1" s="7"/>
      <c r="O1" s="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62" customFormat="1" ht="17.25" thickBot="1" x14ac:dyDescent="0.35">
      <c r="A2" s="138" t="s">
        <v>4</v>
      </c>
      <c r="B2" s="140">
        <v>1</v>
      </c>
      <c r="C2" s="140">
        <v>2</v>
      </c>
      <c r="D2" s="140">
        <v>3</v>
      </c>
      <c r="E2" s="140">
        <v>4</v>
      </c>
      <c r="F2" s="57"/>
      <c r="G2" s="1"/>
      <c r="H2" s="57"/>
      <c r="I2" s="1"/>
      <c r="J2" s="1"/>
      <c r="K2" s="1"/>
      <c r="L2" s="57"/>
      <c r="M2" s="57"/>
      <c r="N2" s="57"/>
      <c r="O2" s="57"/>
    </row>
    <row r="3" spans="1:62" customFormat="1" x14ac:dyDescent="0.25">
      <c r="A3" s="65" t="s">
        <v>173</v>
      </c>
      <c r="B3" s="112" t="s">
        <v>169</v>
      </c>
      <c r="C3" s="112" t="s">
        <v>170</v>
      </c>
      <c r="D3" s="112" t="s">
        <v>171</v>
      </c>
      <c r="E3" s="112" t="s">
        <v>172</v>
      </c>
      <c r="F3" s="89" t="s">
        <v>0</v>
      </c>
      <c r="G3" s="89" t="s">
        <v>108</v>
      </c>
      <c r="H3" s="57"/>
      <c r="I3" s="89"/>
      <c r="J3" t="s">
        <v>28</v>
      </c>
      <c r="AJ3" s="57"/>
      <c r="AK3" s="57"/>
      <c r="AL3" s="57"/>
      <c r="BF3" s="57"/>
      <c r="BG3" s="57"/>
      <c r="BH3" s="57"/>
      <c r="BI3" s="57"/>
      <c r="BJ3" s="57"/>
    </row>
    <row r="4" spans="1:62" customFormat="1" ht="17.25" thickBot="1" x14ac:dyDescent="0.35">
      <c r="A4" s="74">
        <v>1</v>
      </c>
      <c r="B4" s="141">
        <f>IF(MOD($A4,$C$1)=B$2,1,0)</f>
        <v>1</v>
      </c>
      <c r="C4" s="141">
        <f>IF(MOD($A4,$C$1)=C$2,1,0)</f>
        <v>0</v>
      </c>
      <c r="D4" s="141">
        <f>IF(MOD($A4,$C$1)=D$2,1,0)</f>
        <v>0</v>
      </c>
      <c r="E4" s="141">
        <f>IF(MOD($A4,$C$1)=E$2,1,0)</f>
        <v>0</v>
      </c>
      <c r="F4" s="74">
        <f>'0.ArdiData28Fixed'!D3</f>
        <v>33</v>
      </c>
      <c r="G4" s="151">
        <f>$K$19+$K$20*A4+$K$21*B4+$K$22*C4+$K$23*D4</f>
        <v>26.526785714285719</v>
      </c>
      <c r="H4" s="57"/>
      <c r="I4" s="57"/>
      <c r="AJ4" s="57"/>
      <c r="AK4" s="57"/>
      <c r="AL4" s="57"/>
      <c r="BF4" s="57"/>
      <c r="BG4" s="57"/>
      <c r="BH4" s="57"/>
      <c r="BI4" s="57"/>
      <c r="BJ4" s="57"/>
    </row>
    <row r="5" spans="1:62" customFormat="1" ht="16.5" x14ac:dyDescent="0.3">
      <c r="A5" s="74">
        <v>2</v>
      </c>
      <c r="B5" s="141">
        <f>IF(MOD($A5,$C$1)=B$2,1,0)</f>
        <v>0</v>
      </c>
      <c r="C5" s="141">
        <f>IF(MOD($A5,$C$1)=C$2,1,0)</f>
        <v>1</v>
      </c>
      <c r="D5" s="141">
        <f>IF(MOD($A5,$C$1)=D$2,1,0)</f>
        <v>0</v>
      </c>
      <c r="E5" s="141">
        <f>IF(MOD($A5,$C$1)=E$2,1,0)</f>
        <v>0</v>
      </c>
      <c r="F5" s="74">
        <f>'0.ArdiData28Fixed'!D4</f>
        <v>35</v>
      </c>
      <c r="G5" s="151">
        <f t="shared" ref="G5:G31" si="0">$K$19+$K$20*A5+$K$21*B5+$K$22*C5+$K$23*D5</f>
        <v>38.241071428571431</v>
      </c>
      <c r="H5" s="57"/>
      <c r="I5" s="57"/>
      <c r="J5" s="8" t="s">
        <v>29</v>
      </c>
      <c r="K5" s="8"/>
      <c r="AJ5" s="57"/>
      <c r="AK5" s="57"/>
      <c r="AL5" s="57"/>
      <c r="BF5" s="57"/>
      <c r="BG5" s="57"/>
      <c r="BH5" s="57"/>
      <c r="BI5" s="57"/>
      <c r="BJ5" s="57"/>
    </row>
    <row r="6" spans="1:62" customFormat="1" ht="16.5" x14ac:dyDescent="0.3">
      <c r="A6" s="74">
        <v>3</v>
      </c>
      <c r="B6" s="141">
        <f>IF(MOD($A6,$C$1)=B$2,1,0)</f>
        <v>0</v>
      </c>
      <c r="C6" s="141">
        <f>IF(MOD($A6,$C$1)=C$2,1,0)</f>
        <v>0</v>
      </c>
      <c r="D6" s="141">
        <f>IF(MOD($A6,$C$1)=D$2,1,0)</f>
        <v>1</v>
      </c>
      <c r="E6" s="141">
        <f>IF(MOD($A6,$C$1)=E$2,1,0)</f>
        <v>0</v>
      </c>
      <c r="F6" s="74">
        <f>'0.ArdiData28Fixed'!D5</f>
        <v>48</v>
      </c>
      <c r="G6" s="151">
        <f t="shared" si="0"/>
        <v>54.383928571428562</v>
      </c>
      <c r="H6" s="57"/>
      <c r="I6" s="57"/>
      <c r="J6" s="13" t="s">
        <v>31</v>
      </c>
      <c r="K6" s="13">
        <v>0.90441186797355999</v>
      </c>
      <c r="AJ6" s="57"/>
      <c r="AK6" s="57"/>
      <c r="AL6" s="57"/>
      <c r="BF6" s="57"/>
      <c r="BG6" s="57"/>
      <c r="BH6" s="57"/>
      <c r="BI6" s="57"/>
      <c r="BJ6" s="57"/>
    </row>
    <row r="7" spans="1:62" customFormat="1" ht="16.5" x14ac:dyDescent="0.3">
      <c r="A7" s="74">
        <v>4</v>
      </c>
      <c r="B7" s="141">
        <f>IF(MOD($A7,$C$1)=B$2,1,0)</f>
        <v>0</v>
      </c>
      <c r="C7" s="141">
        <f>IF(MOD($A7,$C$1)=C$2,1,0)</f>
        <v>0</v>
      </c>
      <c r="D7" s="141">
        <f>IF(MOD($A7,$C$1)=D$2,1,0)</f>
        <v>0</v>
      </c>
      <c r="E7" s="141">
        <f>IF(MOD($A7,$C$1)=E$2,1,0)</f>
        <v>0</v>
      </c>
      <c r="F7" s="74">
        <f>'0.ArdiData28Fixed'!D6</f>
        <v>28</v>
      </c>
      <c r="G7" s="151">
        <f t="shared" si="0"/>
        <v>29.098214285714285</v>
      </c>
      <c r="H7" s="57"/>
      <c r="I7" s="57"/>
      <c r="J7" s="13" t="s">
        <v>33</v>
      </c>
      <c r="K7" s="13">
        <v>0.81796082693142413</v>
      </c>
      <c r="AJ7" s="57"/>
      <c r="AK7" s="57"/>
      <c r="AL7" s="57"/>
      <c r="BF7" s="57"/>
      <c r="BG7" s="57"/>
      <c r="BH7" s="57"/>
      <c r="BI7" s="57"/>
      <c r="BJ7" s="57"/>
    </row>
    <row r="8" spans="1:62" customFormat="1" ht="16.5" x14ac:dyDescent="0.3">
      <c r="A8" s="74">
        <v>5</v>
      </c>
      <c r="B8" s="141">
        <f>IF(MOD($A8,$C$1)=B$2,1,0)</f>
        <v>1</v>
      </c>
      <c r="C8" s="141">
        <f>IF(MOD($A8,$C$1)=C$2,1,0)</f>
        <v>0</v>
      </c>
      <c r="D8" s="141">
        <f>IF(MOD($A8,$C$1)=D$2,1,0)</f>
        <v>0</v>
      </c>
      <c r="E8" s="141">
        <f>IF(MOD($A8,$C$1)=E$2,1,0)</f>
        <v>0</v>
      </c>
      <c r="F8" s="74">
        <f>'0.ArdiData28Fixed'!D7</f>
        <v>25</v>
      </c>
      <c r="G8" s="151">
        <f t="shared" si="0"/>
        <v>31.303571428571434</v>
      </c>
      <c r="H8" s="57"/>
      <c r="I8" s="57"/>
      <c r="J8" s="13" t="s">
        <v>34</v>
      </c>
      <c r="K8" s="13">
        <v>0.77658828759765686</v>
      </c>
      <c r="AJ8" s="57"/>
      <c r="AK8" s="57"/>
      <c r="AL8" s="57"/>
      <c r="BF8" s="57"/>
      <c r="BG8" s="57"/>
      <c r="BH8" s="57"/>
      <c r="BI8" s="57"/>
      <c r="BJ8" s="57"/>
    </row>
    <row r="9" spans="1:62" customFormat="1" ht="16.5" x14ac:dyDescent="0.3">
      <c r="A9" s="74">
        <v>6</v>
      </c>
      <c r="B9" s="141">
        <f>IF(MOD($A9,$C$1)=B$2,1,0)</f>
        <v>0</v>
      </c>
      <c r="C9" s="141">
        <f>IF(MOD($A9,$C$1)=C$2,1,0)</f>
        <v>1</v>
      </c>
      <c r="D9" s="141">
        <f>IF(MOD($A9,$C$1)=D$2,1,0)</f>
        <v>0</v>
      </c>
      <c r="E9" s="141">
        <f>IF(MOD($A9,$C$1)=E$2,1,0)</f>
        <v>0</v>
      </c>
      <c r="F9" s="74">
        <f>'0.ArdiData28Fixed'!D8</f>
        <v>53</v>
      </c>
      <c r="G9" s="151">
        <f t="shared" si="0"/>
        <v>43.017857142857139</v>
      </c>
      <c r="H9" s="57"/>
      <c r="I9" s="57"/>
      <c r="J9" s="13" t="s">
        <v>35</v>
      </c>
      <c r="K9" s="13">
        <v>7.751034895886737</v>
      </c>
      <c r="AJ9" s="57"/>
      <c r="AK9" s="57"/>
      <c r="AL9" s="57"/>
      <c r="BF9" s="57"/>
      <c r="BG9" s="57"/>
      <c r="BH9" s="57"/>
      <c r="BI9" s="57"/>
      <c r="BJ9" s="57"/>
    </row>
    <row r="10" spans="1:62" customFormat="1" ht="17.25" thickBot="1" x14ac:dyDescent="0.35">
      <c r="A10" s="74">
        <v>7</v>
      </c>
      <c r="B10" s="141">
        <f>IF(MOD($A10,$C$1)=B$2,1,0)</f>
        <v>0</v>
      </c>
      <c r="C10" s="141">
        <f>IF(MOD($A10,$C$1)=C$2,1,0)</f>
        <v>0</v>
      </c>
      <c r="D10" s="141">
        <f>IF(MOD($A10,$C$1)=D$2,1,0)</f>
        <v>1</v>
      </c>
      <c r="E10" s="141">
        <f>IF(MOD($A10,$C$1)=E$2,1,0)</f>
        <v>0</v>
      </c>
      <c r="F10" s="74">
        <f>'0.ArdiData28Fixed'!D9</f>
        <v>50</v>
      </c>
      <c r="G10" s="151">
        <f t="shared" si="0"/>
        <v>59.160714285714278</v>
      </c>
      <c r="H10" s="57"/>
      <c r="I10" s="57"/>
      <c r="J10" s="17" t="s">
        <v>36</v>
      </c>
      <c r="K10" s="17">
        <v>28</v>
      </c>
      <c r="AJ10" s="57"/>
      <c r="AK10" s="57"/>
      <c r="AL10" s="57"/>
      <c r="BF10" s="57"/>
      <c r="BG10" s="57"/>
      <c r="BH10" s="57"/>
      <c r="BI10" s="57"/>
      <c r="BJ10" s="57"/>
    </row>
    <row r="11" spans="1:62" customFormat="1" ht="16.5" x14ac:dyDescent="0.3">
      <c r="A11" s="74">
        <v>8</v>
      </c>
      <c r="B11" s="141">
        <f>IF(MOD($A11,$C$1)=B$2,1,0)</f>
        <v>0</v>
      </c>
      <c r="C11" s="141">
        <f>IF(MOD($A11,$C$1)=C$2,1,0)</f>
        <v>0</v>
      </c>
      <c r="D11" s="141">
        <f>IF(MOD($A11,$C$1)=D$2,1,0)</f>
        <v>0</v>
      </c>
      <c r="E11" s="141">
        <f>IF(MOD($A11,$C$1)=E$2,1,0)</f>
        <v>0</v>
      </c>
      <c r="F11" s="74">
        <f>'0.ArdiData28Fixed'!D10</f>
        <v>42</v>
      </c>
      <c r="G11" s="151">
        <f t="shared" si="0"/>
        <v>33.875</v>
      </c>
      <c r="H11" s="57"/>
      <c r="I11" s="57"/>
      <c r="AJ11" s="57"/>
      <c r="AK11" s="57"/>
      <c r="AL11" s="57"/>
      <c r="BF11" s="57"/>
      <c r="BG11" s="57"/>
      <c r="BH11" s="57"/>
      <c r="BI11" s="57"/>
      <c r="BJ11" s="57"/>
    </row>
    <row r="12" spans="1:62" customFormat="1" ht="17.25" thickBot="1" x14ac:dyDescent="0.35">
      <c r="A12" s="74">
        <v>9</v>
      </c>
      <c r="B12" s="141">
        <f>IF(MOD($A12,$C$1)=B$2,1,0)</f>
        <v>1</v>
      </c>
      <c r="C12" s="141">
        <f>IF(MOD($A12,$C$1)=C$2,1,0)</f>
        <v>0</v>
      </c>
      <c r="D12" s="141">
        <f>IF(MOD($A12,$C$1)=D$2,1,0)</f>
        <v>0</v>
      </c>
      <c r="E12" s="141">
        <f>IF(MOD($A12,$C$1)=E$2,1,0)</f>
        <v>0</v>
      </c>
      <c r="F12" s="74">
        <f>'0.ArdiData28Fixed'!D11</f>
        <v>40</v>
      </c>
      <c r="G12" s="151">
        <f t="shared" si="0"/>
        <v>36.080357142857146</v>
      </c>
      <c r="H12" s="57"/>
      <c r="I12" s="57"/>
      <c r="J12" t="s">
        <v>37</v>
      </c>
      <c r="AJ12" s="57"/>
      <c r="AK12" s="57"/>
      <c r="AL12" s="57"/>
      <c r="BF12" s="57"/>
      <c r="BG12" s="57"/>
      <c r="BH12" s="57"/>
      <c r="BI12" s="57"/>
      <c r="BJ12" s="57"/>
    </row>
    <row r="13" spans="1:62" customFormat="1" ht="16.5" x14ac:dyDescent="0.3">
      <c r="A13" s="74">
        <v>10</v>
      </c>
      <c r="B13" s="141">
        <f>IF(MOD($A13,$C$1)=B$2,1,0)</f>
        <v>0</v>
      </c>
      <c r="C13" s="141">
        <f>IF(MOD($A13,$C$1)=C$2,1,0)</f>
        <v>1</v>
      </c>
      <c r="D13" s="141">
        <f>IF(MOD($A13,$C$1)=D$2,1,0)</f>
        <v>0</v>
      </c>
      <c r="E13" s="141">
        <f>IF(MOD($A13,$C$1)=E$2,1,0)</f>
        <v>0</v>
      </c>
      <c r="F13" s="74">
        <f>'0.ArdiData28Fixed'!D12</f>
        <v>46</v>
      </c>
      <c r="G13" s="151">
        <f t="shared" si="0"/>
        <v>47.794642857142861</v>
      </c>
      <c r="H13" s="57"/>
      <c r="I13" s="57"/>
      <c r="J13" s="16"/>
      <c r="K13" s="16" t="s">
        <v>38</v>
      </c>
      <c r="L13" s="16" t="s">
        <v>39</v>
      </c>
      <c r="M13" s="16" t="s">
        <v>40</v>
      </c>
      <c r="N13" s="16" t="s">
        <v>41</v>
      </c>
      <c r="O13" s="16" t="s">
        <v>42</v>
      </c>
      <c r="AJ13" s="57"/>
      <c r="AK13" s="57"/>
      <c r="AL13" s="57"/>
      <c r="BF13" s="57"/>
      <c r="BG13" s="57"/>
      <c r="BH13" s="57"/>
      <c r="BI13" s="57"/>
      <c r="BJ13" s="57"/>
    </row>
    <row r="14" spans="1:62" customFormat="1" ht="16.5" x14ac:dyDescent="0.3">
      <c r="A14" s="74">
        <v>11</v>
      </c>
      <c r="B14" s="141">
        <f>IF(MOD($A14,$C$1)=B$2,1,0)</f>
        <v>0</v>
      </c>
      <c r="C14" s="141">
        <f>IF(MOD($A14,$C$1)=C$2,1,0)</f>
        <v>0</v>
      </c>
      <c r="D14" s="141">
        <f>IF(MOD($A14,$C$1)=D$2,1,0)</f>
        <v>1</v>
      </c>
      <c r="E14" s="141">
        <f>IF(MOD($A14,$C$1)=E$2,1,0)</f>
        <v>0</v>
      </c>
      <c r="F14" s="74">
        <f>'0.ArdiData28Fixed'!D13</f>
        <v>72</v>
      </c>
      <c r="G14" s="151">
        <f t="shared" si="0"/>
        <v>63.937499999999986</v>
      </c>
      <c r="H14" s="57"/>
      <c r="I14" s="57"/>
      <c r="J14" s="13" t="s">
        <v>43</v>
      </c>
      <c r="K14" s="13">
        <v>5</v>
      </c>
      <c r="L14" s="13">
        <v>5938.9506483689865</v>
      </c>
      <c r="M14" s="13">
        <v>1187.7901296737973</v>
      </c>
      <c r="N14" s="13">
        <v>19.770621772394442</v>
      </c>
      <c r="O14" s="13">
        <v>1.7834891881261903E-7</v>
      </c>
      <c r="AJ14" s="57"/>
      <c r="AK14" s="57"/>
      <c r="AL14" s="57"/>
      <c r="BF14" s="57"/>
      <c r="BG14" s="57"/>
      <c r="BH14" s="57"/>
      <c r="BI14" s="57"/>
      <c r="BJ14" s="57"/>
    </row>
    <row r="15" spans="1:62" customFormat="1" ht="16.5" x14ac:dyDescent="0.3">
      <c r="A15" s="74">
        <v>12</v>
      </c>
      <c r="B15" s="141">
        <f>IF(MOD($A15,$C$1)=B$2,1,0)</f>
        <v>0</v>
      </c>
      <c r="C15" s="141">
        <f>IF(MOD($A15,$C$1)=C$2,1,0)</f>
        <v>0</v>
      </c>
      <c r="D15" s="141">
        <f>IF(MOD($A15,$C$1)=D$2,1,0)</f>
        <v>0</v>
      </c>
      <c r="E15" s="141">
        <f>IF(MOD($A15,$C$1)=E$2,1,0)</f>
        <v>0</v>
      </c>
      <c r="F15" s="74">
        <f>'0.ArdiData28Fixed'!D14</f>
        <v>31</v>
      </c>
      <c r="G15" s="151">
        <f t="shared" si="0"/>
        <v>38.651785714285715</v>
      </c>
      <c r="H15" s="57"/>
      <c r="I15" s="57"/>
      <c r="J15" s="13" t="s">
        <v>44</v>
      </c>
      <c r="K15" s="13">
        <v>22</v>
      </c>
      <c r="L15" s="13">
        <v>1321.7279230595861</v>
      </c>
      <c r="M15" s="13">
        <v>60.078541957253918</v>
      </c>
      <c r="N15" s="13"/>
      <c r="O15" s="13"/>
      <c r="AJ15" s="57"/>
      <c r="AK15" s="57"/>
      <c r="AL15" s="57"/>
      <c r="BF15" s="57"/>
      <c r="BG15" s="57"/>
      <c r="BH15" s="57"/>
      <c r="BI15" s="57"/>
      <c r="BJ15" s="57"/>
    </row>
    <row r="16" spans="1:62" customFormat="1" ht="17.25" thickBot="1" x14ac:dyDescent="0.35">
      <c r="A16" s="74">
        <v>13</v>
      </c>
      <c r="B16" s="141">
        <f>IF(MOD($A16,$C$1)=B$2,1,0)</f>
        <v>1</v>
      </c>
      <c r="C16" s="141">
        <f>IF(MOD($A16,$C$1)=C$2,1,0)</f>
        <v>0</v>
      </c>
      <c r="D16" s="141">
        <f>IF(MOD($A16,$C$1)=D$2,1,0)</f>
        <v>0</v>
      </c>
      <c r="E16" s="141">
        <f>IF(MOD($A16,$C$1)=E$2,1,0)</f>
        <v>0</v>
      </c>
      <c r="F16" s="74">
        <f>'0.ArdiData28Fixed'!D15</f>
        <v>44</v>
      </c>
      <c r="G16" s="151">
        <f t="shared" si="0"/>
        <v>40.857142857142854</v>
      </c>
      <c r="H16" s="57"/>
      <c r="I16" s="57"/>
      <c r="J16" s="17" t="s">
        <v>45</v>
      </c>
      <c r="K16" s="17">
        <v>27</v>
      </c>
      <c r="L16" s="17">
        <v>7260.6785714285725</v>
      </c>
      <c r="M16" s="17"/>
      <c r="N16" s="17"/>
      <c r="O16" s="17"/>
      <c r="AJ16" s="57"/>
      <c r="AK16" s="57"/>
      <c r="AL16" s="57"/>
      <c r="BF16" s="57"/>
      <c r="BG16" s="57"/>
      <c r="BH16" s="57"/>
      <c r="BI16" s="57"/>
      <c r="BJ16" s="57"/>
    </row>
    <row r="17" spans="1:62" customFormat="1" ht="17.25" thickBot="1" x14ac:dyDescent="0.35">
      <c r="A17" s="74">
        <v>14</v>
      </c>
      <c r="B17" s="141">
        <f>IF(MOD($A17,$C$1)=B$2,1,0)</f>
        <v>0</v>
      </c>
      <c r="C17" s="141">
        <f>IF(MOD($A17,$C$1)=C$2,1,0)</f>
        <v>1</v>
      </c>
      <c r="D17" s="141">
        <f>IF(MOD($A17,$C$1)=D$2,1,0)</f>
        <v>0</v>
      </c>
      <c r="E17" s="141">
        <f>IF(MOD($A17,$C$1)=E$2,1,0)</f>
        <v>0</v>
      </c>
      <c r="F17" s="74">
        <f>'0.ArdiData28Fixed'!D16</f>
        <v>39</v>
      </c>
      <c r="G17" s="151">
        <f t="shared" si="0"/>
        <v>52.571428571428569</v>
      </c>
      <c r="H17" s="57"/>
      <c r="I17" s="57"/>
      <c r="AJ17" s="65"/>
      <c r="AK17" s="65"/>
      <c r="AL17" s="65"/>
      <c r="AM17" s="6"/>
      <c r="AN17" s="6"/>
      <c r="AO17" s="6"/>
      <c r="AP17" s="6"/>
      <c r="AQ17" s="6"/>
      <c r="AR17" s="6"/>
      <c r="AS17" s="6"/>
      <c r="BF17" s="57"/>
      <c r="BG17" s="57"/>
      <c r="BH17" s="57"/>
      <c r="BI17" s="57"/>
      <c r="BJ17" s="57"/>
    </row>
    <row r="18" spans="1:62" ht="16.5" x14ac:dyDescent="0.3">
      <c r="A18" s="74">
        <v>15</v>
      </c>
      <c r="B18" s="141">
        <f>IF(MOD($A18,$C$1)=B$2,1,0)</f>
        <v>0</v>
      </c>
      <c r="C18" s="141">
        <f>IF(MOD($A18,$C$1)=C$2,1,0)</f>
        <v>0</v>
      </c>
      <c r="D18" s="141">
        <f>IF(MOD($A18,$C$1)=D$2,1,0)</f>
        <v>1</v>
      </c>
      <c r="E18" s="141">
        <f>IF(MOD($A18,$C$1)=E$2,1,0)</f>
        <v>0</v>
      </c>
      <c r="F18" s="74">
        <f>'0.ArdiData28Fixed'!D17</f>
        <v>72</v>
      </c>
      <c r="G18" s="151">
        <f t="shared" si="0"/>
        <v>68.714285714285708</v>
      </c>
      <c r="J18" s="16"/>
      <c r="K18" s="16" t="s">
        <v>46</v>
      </c>
      <c r="L18" s="16" t="s">
        <v>35</v>
      </c>
      <c r="M18" s="16" t="s">
        <v>47</v>
      </c>
      <c r="N18" s="16" t="s">
        <v>48</v>
      </c>
      <c r="O18" s="16" t="s">
        <v>49</v>
      </c>
      <c r="P18" s="16" t="s">
        <v>50</v>
      </c>
      <c r="Q18" s="16" t="s">
        <v>133</v>
      </c>
      <c r="R18" s="16" t="s">
        <v>134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65"/>
      <c r="AK18" s="65"/>
      <c r="AL18" s="65"/>
      <c r="AM18" s="6"/>
      <c r="AN18" s="6"/>
      <c r="AO18" s="6"/>
      <c r="AP18" s="6"/>
      <c r="AQ18" s="6"/>
      <c r="AR18" s="6"/>
      <c r="AS18" s="6"/>
    </row>
    <row r="19" spans="1:62" ht="16.5" x14ac:dyDescent="0.3">
      <c r="A19" s="74">
        <v>16</v>
      </c>
      <c r="B19" s="141">
        <f>IF(MOD($A19,$C$1)=B$2,1,0)</f>
        <v>0</v>
      </c>
      <c r="C19" s="141">
        <f>IF(MOD($A19,$C$1)=C$2,1,0)</f>
        <v>0</v>
      </c>
      <c r="D19" s="141">
        <f>IF(MOD($A19,$C$1)=D$2,1,0)</f>
        <v>0</v>
      </c>
      <c r="E19" s="141">
        <f>IF(MOD($A19,$C$1)=E$2,1,0)</f>
        <v>0</v>
      </c>
      <c r="F19" s="74">
        <f>'0.ArdiData28Fixed'!D18</f>
        <v>51</v>
      </c>
      <c r="G19" s="151">
        <f t="shared" si="0"/>
        <v>43.428571428571431</v>
      </c>
      <c r="J19" s="13" t="s">
        <v>52</v>
      </c>
      <c r="K19" s="13">
        <v>24.321428571428573</v>
      </c>
      <c r="L19" s="13">
        <v>4.1431024247624562</v>
      </c>
      <c r="M19" s="13">
        <v>5.8703420958324575</v>
      </c>
      <c r="N19" s="13">
        <v>6.5994217504640269E-6</v>
      </c>
      <c r="O19" s="13">
        <v>15.729160035145849</v>
      </c>
      <c r="P19" s="13">
        <v>32.9136971077113</v>
      </c>
      <c r="Q19" s="13">
        <v>15.729160035145849</v>
      </c>
      <c r="R19" s="13">
        <v>32.9136971077113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65"/>
      <c r="AK19" s="65"/>
      <c r="AL19" s="65"/>
      <c r="AM19" s="6"/>
      <c r="AN19" s="6"/>
      <c r="AO19" s="6"/>
      <c r="AP19" s="6"/>
      <c r="AQ19" s="6"/>
      <c r="AR19" s="6"/>
      <c r="AS19" s="6"/>
    </row>
    <row r="20" spans="1:62" ht="16.5" x14ac:dyDescent="0.3">
      <c r="A20" s="74">
        <v>17</v>
      </c>
      <c r="B20" s="141">
        <f>IF(MOD($A20,$C$1)=B$2,1,0)</f>
        <v>1</v>
      </c>
      <c r="C20" s="141">
        <f>IF(MOD($A20,$C$1)=C$2,1,0)</f>
        <v>0</v>
      </c>
      <c r="D20" s="141">
        <f>IF(MOD($A20,$C$1)=D$2,1,0)</f>
        <v>0</v>
      </c>
      <c r="E20" s="141">
        <f>IF(MOD($A20,$C$1)=E$2,1,0)</f>
        <v>0</v>
      </c>
      <c r="F20" s="74">
        <f>'0.ArdiData28Fixed'!D19</f>
        <v>41</v>
      </c>
      <c r="G20" s="151">
        <f t="shared" si="0"/>
        <v>45.633928571428569</v>
      </c>
      <c r="J20" s="13" t="s">
        <v>54</v>
      </c>
      <c r="K20" s="13">
        <v>1.1941964285714284</v>
      </c>
      <c r="L20" s="13">
        <v>0.18310098873124758</v>
      </c>
      <c r="M20" s="13">
        <v>6.5220643364424919</v>
      </c>
      <c r="N20" s="13">
        <v>1.4659083306327073E-6</v>
      </c>
      <c r="O20" s="13">
        <v>0.8144682193350955</v>
      </c>
      <c r="P20" s="13">
        <v>1.5739246378077612</v>
      </c>
      <c r="Q20" s="13">
        <v>0.8144682193350955</v>
      </c>
      <c r="R20" s="13">
        <v>1.5739246378077612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65"/>
      <c r="AK20" s="65"/>
      <c r="AL20" s="65"/>
      <c r="AM20" s="6"/>
      <c r="AN20" s="6"/>
      <c r="AO20" s="6"/>
      <c r="AP20" s="6"/>
      <c r="AQ20" s="6"/>
      <c r="AR20" s="6"/>
      <c r="AS20" s="6"/>
    </row>
    <row r="21" spans="1:62" ht="16.5" x14ac:dyDescent="0.3">
      <c r="A21" s="74">
        <v>18</v>
      </c>
      <c r="B21" s="141">
        <f>IF(MOD($A21,$C$1)=B$2,1,0)</f>
        <v>0</v>
      </c>
      <c r="C21" s="141">
        <f>IF(MOD($A21,$C$1)=C$2,1,0)</f>
        <v>1</v>
      </c>
      <c r="D21" s="141">
        <f>IF(MOD($A21,$C$1)=D$2,1,0)</f>
        <v>0</v>
      </c>
      <c r="E21" s="141">
        <f>IF(MOD($A21,$C$1)=E$2,1,0)</f>
        <v>0</v>
      </c>
      <c r="F21" s="74">
        <f>'0.ArdiData28Fixed'!D20</f>
        <v>65</v>
      </c>
      <c r="G21" s="151">
        <f t="shared" si="0"/>
        <v>57.348214285714278</v>
      </c>
      <c r="J21" s="13" t="s">
        <v>135</v>
      </c>
      <c r="K21" s="13">
        <v>1.0111607142857173</v>
      </c>
      <c r="L21" s="13">
        <v>4.1793577797003438</v>
      </c>
      <c r="M21" s="13">
        <v>0.24194164931201861</v>
      </c>
      <c r="N21" s="13">
        <v>0.81106639693501847</v>
      </c>
      <c r="O21" s="13">
        <v>-7.6562968261699922</v>
      </c>
      <c r="P21" s="13">
        <v>9.6786182547414263</v>
      </c>
      <c r="Q21" s="13">
        <v>-7.6562968261699922</v>
      </c>
      <c r="R21" s="13">
        <v>9.6786182547414263</v>
      </c>
      <c r="S21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"/>
      <c r="AN21" s="6"/>
      <c r="AO21" s="6"/>
      <c r="AP21" s="6"/>
      <c r="AQ21" s="6"/>
      <c r="AR21" s="6"/>
      <c r="AS21" s="6"/>
    </row>
    <row r="22" spans="1:62" ht="16.5" x14ac:dyDescent="0.3">
      <c r="A22" s="74">
        <v>19</v>
      </c>
      <c r="B22" s="141">
        <f>IF(MOD($A22,$C$1)=B$2,1,0)</f>
        <v>0</v>
      </c>
      <c r="C22" s="141">
        <f>IF(MOD($A22,$C$1)=C$2,1,0)</f>
        <v>0</v>
      </c>
      <c r="D22" s="141">
        <f>IF(MOD($A22,$C$1)=D$2,1,0)</f>
        <v>1</v>
      </c>
      <c r="E22" s="141">
        <f>IF(MOD($A22,$C$1)=E$2,1,0)</f>
        <v>0</v>
      </c>
      <c r="F22" s="74">
        <f>'0.ArdiData28Fixed'!D21</f>
        <v>67</v>
      </c>
      <c r="G22" s="151">
        <f t="shared" si="0"/>
        <v>73.491071428571416</v>
      </c>
      <c r="J22" s="13" t="s">
        <v>136</v>
      </c>
      <c r="K22" s="13">
        <v>11.531249999999996</v>
      </c>
      <c r="L22" s="13">
        <v>4.1592549321206542</v>
      </c>
      <c r="M22" s="13">
        <v>2.7724316465787364</v>
      </c>
      <c r="N22" s="13">
        <v>1.1108627211511929E-2</v>
      </c>
      <c r="O22" s="13">
        <v>2.9054832137279849</v>
      </c>
      <c r="P22" s="13">
        <v>20.15701678627201</v>
      </c>
      <c r="Q22" s="13">
        <v>2.9054832137279849</v>
      </c>
      <c r="R22" s="13">
        <v>20.15701678627201</v>
      </c>
      <c r="S22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"/>
      <c r="AN22" s="6"/>
      <c r="AO22" s="6"/>
      <c r="AP22" s="6"/>
      <c r="AQ22" s="6"/>
      <c r="AR22" s="6"/>
      <c r="AS22" s="6"/>
    </row>
    <row r="23" spans="1:62" ht="16.5" x14ac:dyDescent="0.3">
      <c r="A23" s="74">
        <v>20</v>
      </c>
      <c r="B23" s="141">
        <f>IF(MOD($A23,$C$1)=B$2,1,0)</f>
        <v>0</v>
      </c>
      <c r="C23" s="141">
        <f>IF(MOD($A23,$C$1)=C$2,1,0)</f>
        <v>0</v>
      </c>
      <c r="D23" s="141">
        <f>IF(MOD($A23,$C$1)=D$2,1,0)</f>
        <v>0</v>
      </c>
      <c r="E23" s="141">
        <f>IF(MOD($A23,$C$1)=E$2,1,0)</f>
        <v>0</v>
      </c>
      <c r="F23" s="74">
        <f>'0.ArdiData28Fixed'!D22</f>
        <v>51</v>
      </c>
      <c r="G23" s="151">
        <f t="shared" si="0"/>
        <v>48.205357142857139</v>
      </c>
      <c r="J23" s="13" t="s">
        <v>137</v>
      </c>
      <c r="K23" s="13">
        <v>26.479910714285705</v>
      </c>
      <c r="L23" s="13">
        <v>4.1471464495658816</v>
      </c>
      <c r="M23" s="13">
        <v>6.3850917820993738</v>
      </c>
      <c r="N23" s="13">
        <v>2.002700836780944E-6</v>
      </c>
      <c r="O23" s="13">
        <v>17.879255383877222</v>
      </c>
      <c r="P23" s="13">
        <v>35.080566044694187</v>
      </c>
      <c r="Q23" s="13">
        <v>17.879255383877222</v>
      </c>
      <c r="R23" s="13">
        <v>35.080566044694187</v>
      </c>
      <c r="S23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"/>
      <c r="AN23" s="6"/>
      <c r="AO23" s="6"/>
      <c r="AP23" s="6"/>
      <c r="AQ23" s="6"/>
      <c r="AR23" s="6"/>
      <c r="AS23" s="6"/>
    </row>
    <row r="24" spans="1:62" ht="17.25" thickBot="1" x14ac:dyDescent="0.35">
      <c r="A24" s="74">
        <v>21</v>
      </c>
      <c r="B24" s="141">
        <f>IF(MOD($A24,$C$1)=B$2,1,0)</f>
        <v>1</v>
      </c>
      <c r="C24" s="141">
        <f>IF(MOD($A24,$C$1)=C$2,1,0)</f>
        <v>0</v>
      </c>
      <c r="D24" s="141">
        <f>IF(MOD($A24,$C$1)=D$2,1,0)</f>
        <v>0</v>
      </c>
      <c r="E24" s="141">
        <f>IF(MOD($A24,$C$1)=E$2,1,0)</f>
        <v>0</v>
      </c>
      <c r="F24" s="74">
        <f>'0.ArdiData28Fixed'!D23</f>
        <v>56</v>
      </c>
      <c r="G24" s="151">
        <f t="shared" si="0"/>
        <v>50.410714285714285</v>
      </c>
      <c r="J24" s="17" t="s">
        <v>138</v>
      </c>
      <c r="K24" s="17">
        <v>0</v>
      </c>
      <c r="L24" s="17">
        <v>0</v>
      </c>
      <c r="M24" s="17">
        <v>65535</v>
      </c>
      <c r="N24" s="17" t="e">
        <v>#NUM!</v>
      </c>
      <c r="O24" s="17">
        <v>0</v>
      </c>
      <c r="P24" s="17">
        <v>0</v>
      </c>
      <c r="Q24" s="17">
        <v>0</v>
      </c>
      <c r="R24" s="17">
        <v>0</v>
      </c>
      <c r="S24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"/>
      <c r="AN24" s="6"/>
      <c r="AO24" s="6"/>
      <c r="AP24" s="6"/>
      <c r="AQ24" s="6"/>
      <c r="AR24" s="6"/>
      <c r="AS24" s="6"/>
    </row>
    <row r="25" spans="1:62" ht="16.5" x14ac:dyDescent="0.3">
      <c r="A25" s="74">
        <v>22</v>
      </c>
      <c r="B25" s="141">
        <f>IF(MOD($A25,$C$1)=B$2,1,0)</f>
        <v>0</v>
      </c>
      <c r="C25" s="141">
        <f>IF(MOD($A25,$C$1)=C$2,1,0)</f>
        <v>1</v>
      </c>
      <c r="D25" s="141">
        <f>IF(MOD($A25,$C$1)=D$2,1,0)</f>
        <v>0</v>
      </c>
      <c r="E25" s="141">
        <f>IF(MOD($A25,$C$1)=E$2,1,0)</f>
        <v>0</v>
      </c>
      <c r="F25" s="74">
        <f>'0.ArdiData28Fixed'!D24</f>
        <v>69</v>
      </c>
      <c r="G25" s="151">
        <f t="shared" si="0"/>
        <v>62.125</v>
      </c>
      <c r="J25"/>
      <c r="K25"/>
      <c r="L25"/>
      <c r="M25"/>
      <c r="N25"/>
      <c r="O25"/>
      <c r="P25"/>
      <c r="Q25"/>
      <c r="R2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"/>
      <c r="AN25" s="6"/>
      <c r="AO25" s="6"/>
      <c r="AP25" s="6"/>
      <c r="AQ25" s="6"/>
      <c r="AR25" s="6"/>
      <c r="AS25" s="6"/>
    </row>
    <row r="26" spans="1:62" ht="16.5" x14ac:dyDescent="0.3">
      <c r="A26" s="74">
        <v>23</v>
      </c>
      <c r="B26" s="141">
        <f>IF(MOD($A26,$C$1)=B$2,1,0)</f>
        <v>0</v>
      </c>
      <c r="C26" s="141">
        <f>IF(MOD($A26,$C$1)=C$2,1,0)</f>
        <v>0</v>
      </c>
      <c r="D26" s="141">
        <f>IF(MOD($A26,$C$1)=D$2,1,0)</f>
        <v>1</v>
      </c>
      <c r="E26" s="141">
        <f>IF(MOD($A26,$C$1)=E$2,1,0)</f>
        <v>0</v>
      </c>
      <c r="F26" s="74">
        <f>'0.ArdiData28Fixed'!D25</f>
        <v>82</v>
      </c>
      <c r="G26" s="151">
        <f t="shared" si="0"/>
        <v>78.267857142857139</v>
      </c>
      <c r="J26"/>
      <c r="K26"/>
      <c r="L26"/>
      <c r="M26"/>
      <c r="N26"/>
      <c r="O26"/>
      <c r="P26"/>
      <c r="Q26"/>
      <c r="R26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"/>
      <c r="AN26" s="6"/>
      <c r="AO26" s="6"/>
      <c r="AP26" s="6"/>
      <c r="AQ26" s="6"/>
      <c r="AR26" s="6"/>
      <c r="AS26" s="6"/>
    </row>
    <row r="27" spans="1:62" ht="16.5" x14ac:dyDescent="0.3">
      <c r="A27" s="74">
        <v>24</v>
      </c>
      <c r="B27" s="141">
        <f>IF(MOD($A27,$C$1)=B$2,1,0)</f>
        <v>0</v>
      </c>
      <c r="C27" s="141">
        <f>IF(MOD($A27,$C$1)=C$2,1,0)</f>
        <v>0</v>
      </c>
      <c r="D27" s="141">
        <f>IF(MOD($A27,$C$1)=D$2,1,0)</f>
        <v>0</v>
      </c>
      <c r="E27" s="141">
        <f>IF(MOD($A27,$C$1)=E$2,1,0)</f>
        <v>0</v>
      </c>
      <c r="F27" s="74">
        <f>'0.ArdiData28Fixed'!D26</f>
        <v>39</v>
      </c>
      <c r="G27" s="151">
        <f t="shared" si="0"/>
        <v>52.982142857142854</v>
      </c>
      <c r="J27"/>
      <c r="K27"/>
      <c r="L27"/>
      <c r="M27"/>
      <c r="N27"/>
      <c r="O27"/>
      <c r="P27"/>
      <c r="Q27"/>
      <c r="R27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"/>
      <c r="AN27" s="6"/>
      <c r="AO27" s="6"/>
      <c r="AP27" s="6"/>
      <c r="AQ27" s="6"/>
      <c r="AR27" s="6"/>
      <c r="AS27" s="6"/>
    </row>
    <row r="28" spans="1:62" ht="16.5" x14ac:dyDescent="0.3">
      <c r="A28" s="74">
        <v>25</v>
      </c>
      <c r="B28" s="141">
        <f>IF(MOD($A28,$C$1)=B$2,1,0)</f>
        <v>1</v>
      </c>
      <c r="C28" s="141">
        <f>IF(MOD($A28,$C$1)=C$2,1,0)</f>
        <v>0</v>
      </c>
      <c r="D28" s="141">
        <f>IF(MOD($A28,$C$1)=D$2,1,0)</f>
        <v>0</v>
      </c>
      <c r="E28" s="141">
        <f>IF(MOD($A28,$C$1)=E$2,1,0)</f>
        <v>0</v>
      </c>
      <c r="F28" s="74">
        <f>'0.ArdiData28Fixed'!D27</f>
        <v>47</v>
      </c>
      <c r="G28" s="151">
        <f t="shared" si="0"/>
        <v>55.187499999999993</v>
      </c>
      <c r="J28" s="124"/>
      <c r="K28" s="124"/>
      <c r="L28"/>
      <c r="M28"/>
      <c r="N28"/>
      <c r="O28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"/>
      <c r="AN28" s="6"/>
      <c r="AO28" s="6"/>
      <c r="AP28" s="6"/>
      <c r="AQ28" s="6"/>
      <c r="AR28" s="6"/>
      <c r="AS28" s="6"/>
    </row>
    <row r="29" spans="1:62" ht="16.5" x14ac:dyDescent="0.3">
      <c r="A29" s="74">
        <v>26</v>
      </c>
      <c r="B29" s="141">
        <f>IF(MOD($A29,$C$1)=B$2,1,0)</f>
        <v>0</v>
      </c>
      <c r="C29" s="141">
        <f>IF(MOD($A29,$C$1)=C$2,1,0)</f>
        <v>1</v>
      </c>
      <c r="D29" s="141">
        <f>IF(MOD($A29,$C$1)=D$2,1,0)</f>
        <v>0</v>
      </c>
      <c r="E29" s="141">
        <f>IF(MOD($A29,$C$1)=E$2,1,0)</f>
        <v>0</v>
      </c>
      <c r="F29" s="74">
        <f>'0.ArdiData28Fixed'!D28</f>
        <v>61</v>
      </c>
      <c r="G29" s="151">
        <f t="shared" si="0"/>
        <v>66.901785714285708</v>
      </c>
      <c r="J29" s="124"/>
      <c r="K29" s="124"/>
      <c r="L29"/>
      <c r="M29"/>
      <c r="N29"/>
      <c r="O2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"/>
      <c r="AN29" s="6"/>
      <c r="AO29" s="6"/>
      <c r="AP29" s="6"/>
      <c r="AQ29" s="6"/>
      <c r="AR29" s="6"/>
      <c r="AS29" s="6"/>
    </row>
    <row r="30" spans="1:62" ht="16.5" x14ac:dyDescent="0.3">
      <c r="A30" s="74">
        <v>27</v>
      </c>
      <c r="B30" s="141">
        <f>IF(MOD($A30,$C$1)=B$2,1,0)</f>
        <v>0</v>
      </c>
      <c r="C30" s="141">
        <f>IF(MOD($A30,$C$1)=C$2,1,0)</f>
        <v>0</v>
      </c>
      <c r="D30" s="141">
        <f>IF(MOD($A30,$C$1)=D$2,1,0)</f>
        <v>1</v>
      </c>
      <c r="E30" s="141">
        <f>IF(MOD($A30,$C$1)=E$2,1,0)</f>
        <v>0</v>
      </c>
      <c r="F30" s="74">
        <f>'0.ArdiData28Fixed'!D29</f>
        <v>90</v>
      </c>
      <c r="G30" s="151">
        <f t="shared" si="0"/>
        <v>83.044642857142847</v>
      </c>
      <c r="J30" s="124"/>
      <c r="K30" s="124"/>
      <c r="L30"/>
      <c r="M30"/>
      <c r="N30"/>
      <c r="O30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"/>
      <c r="AN30" s="6"/>
      <c r="AO30" s="6"/>
      <c r="AP30" s="6"/>
      <c r="AQ30" s="6"/>
      <c r="AR30" s="6"/>
      <c r="AS30" s="6"/>
    </row>
    <row r="31" spans="1:62" ht="16.5" x14ac:dyDescent="0.3">
      <c r="A31" s="74">
        <v>28</v>
      </c>
      <c r="B31" s="141">
        <f>IF(MOD($A31,$C$1)=B$2,1,0)</f>
        <v>0</v>
      </c>
      <c r="C31" s="141">
        <f>IF(MOD($A31,$C$1)=C$2,1,0)</f>
        <v>0</v>
      </c>
      <c r="D31" s="141">
        <f>IF(MOD($A31,$C$1)=D$2,1,0)</f>
        <v>0</v>
      </c>
      <c r="E31" s="141">
        <f>IF(MOD($A31,$C$1)=E$2,1,0)</f>
        <v>0</v>
      </c>
      <c r="F31" s="74">
        <f>'0.ArdiData28Fixed'!D30</f>
        <v>62</v>
      </c>
      <c r="G31" s="151">
        <f t="shared" si="0"/>
        <v>57.758928571428569</v>
      </c>
      <c r="J31" s="124"/>
      <c r="K31" s="124"/>
      <c r="L31"/>
      <c r="M31"/>
      <c r="N31"/>
      <c r="O31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"/>
      <c r="AN31" s="6"/>
      <c r="AO31" s="6"/>
      <c r="AP31" s="6"/>
      <c r="AQ31" s="6"/>
      <c r="AR31" s="6"/>
      <c r="AS31" s="6"/>
    </row>
    <row r="32" spans="1:62" ht="16.5" x14ac:dyDescent="0.3">
      <c r="A32" s="125">
        <v>29</v>
      </c>
      <c r="B32"/>
      <c r="C32"/>
      <c r="D32"/>
      <c r="E32"/>
      <c r="F32"/>
      <c r="G32" s="124"/>
      <c r="J32" s="112"/>
      <c r="K32"/>
      <c r="L32"/>
      <c r="M32"/>
      <c r="N32"/>
      <c r="O32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"/>
      <c r="AN32" s="6"/>
      <c r="AO32" s="6"/>
      <c r="AP32" s="6"/>
      <c r="AQ32" s="6"/>
      <c r="AR32" s="6"/>
      <c r="AS32" s="6"/>
      <c r="BF32"/>
      <c r="BG32"/>
      <c r="BH32"/>
      <c r="BI32"/>
      <c r="BJ32"/>
    </row>
    <row r="33" spans="1:62" x14ac:dyDescent="0.25">
      <c r="A33"/>
      <c r="B33"/>
      <c r="C33"/>
      <c r="D33"/>
      <c r="E33"/>
      <c r="F33"/>
      <c r="G33" s="65"/>
      <c r="H33" s="65"/>
      <c r="I33" s="65"/>
      <c r="J33"/>
      <c r="K33"/>
      <c r="L33"/>
      <c r="M33"/>
      <c r="N33"/>
      <c r="O33"/>
      <c r="P33"/>
      <c r="Q33"/>
      <c r="R33"/>
      <c r="S33"/>
      <c r="T33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"/>
      <c r="AN33" s="6"/>
      <c r="AO33" s="6"/>
      <c r="AP33" s="6"/>
      <c r="AQ33" s="6"/>
      <c r="AR33" s="6"/>
      <c r="AS33" s="6"/>
      <c r="BF33"/>
      <c r="BG33"/>
      <c r="BH33"/>
      <c r="BI33"/>
      <c r="BJ33"/>
    </row>
    <row r="34" spans="1:62" x14ac:dyDescent="0.25">
      <c r="A34"/>
      <c r="J34"/>
      <c r="K34"/>
      <c r="L34"/>
      <c r="M34"/>
      <c r="N34"/>
      <c r="O34"/>
      <c r="P34"/>
      <c r="Q34"/>
      <c r="R34"/>
      <c r="S34"/>
      <c r="T3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"/>
      <c r="AN34" s="6"/>
      <c r="AO34" s="6"/>
      <c r="AP34" s="6"/>
      <c r="AQ34" s="6"/>
      <c r="AR34" s="6"/>
      <c r="AS34" s="6"/>
      <c r="BF34"/>
      <c r="BG34"/>
      <c r="BH34"/>
      <c r="BI34"/>
      <c r="BJ34"/>
    </row>
    <row r="35" spans="1:62" x14ac:dyDescent="0.25">
      <c r="A35"/>
      <c r="J35"/>
      <c r="K35"/>
      <c r="L35"/>
      <c r="M35"/>
      <c r="N35"/>
      <c r="O35"/>
      <c r="P35"/>
      <c r="Q35"/>
      <c r="R35"/>
      <c r="S35"/>
      <c r="T3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"/>
      <c r="AN35" s="6"/>
      <c r="AO35" s="6"/>
      <c r="AP35" s="6"/>
      <c r="AQ35" s="6"/>
      <c r="AR35" s="6"/>
      <c r="AS35" s="6"/>
      <c r="BF35"/>
      <c r="BG35"/>
      <c r="BH35"/>
      <c r="BI35"/>
      <c r="BJ35"/>
    </row>
    <row r="36" spans="1:62" x14ac:dyDescent="0.25">
      <c r="A36"/>
      <c r="J36"/>
      <c r="K36"/>
      <c r="L36"/>
      <c r="M36"/>
      <c r="N36"/>
      <c r="O36"/>
      <c r="P36"/>
      <c r="Q36"/>
      <c r="R36"/>
      <c r="S36"/>
      <c r="T36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"/>
      <c r="AN36" s="6"/>
      <c r="AO36" s="6"/>
      <c r="AP36" s="6"/>
      <c r="AQ36" s="6"/>
      <c r="AR36" s="6"/>
      <c r="AS36" s="6"/>
      <c r="BF36"/>
      <c r="BG36"/>
      <c r="BH36"/>
      <c r="BI36"/>
      <c r="BJ36"/>
    </row>
    <row r="37" spans="1:62" x14ac:dyDescent="0.25">
      <c r="A37"/>
      <c r="J37"/>
      <c r="K37"/>
      <c r="L37"/>
      <c r="M37"/>
      <c r="N37"/>
      <c r="O37"/>
      <c r="P37"/>
      <c r="Q37"/>
      <c r="R37"/>
      <c r="S37"/>
      <c r="T37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"/>
      <c r="AN37" s="6"/>
      <c r="AO37" s="6"/>
      <c r="AP37" s="6"/>
      <c r="AQ37" s="6"/>
      <c r="AR37" s="6"/>
      <c r="AS37" s="6"/>
      <c r="BF37"/>
      <c r="BG37"/>
      <c r="BH37"/>
      <c r="BI37"/>
      <c r="BJ37"/>
    </row>
    <row r="38" spans="1:62" x14ac:dyDescent="0.25">
      <c r="A38"/>
      <c r="J38"/>
      <c r="K38"/>
      <c r="L38"/>
      <c r="M38"/>
      <c r="N38"/>
      <c r="O38"/>
      <c r="P38"/>
      <c r="Q38"/>
      <c r="R38"/>
      <c r="S38"/>
      <c r="T38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"/>
      <c r="AN38" s="6"/>
      <c r="AO38" s="6"/>
      <c r="AP38" s="6"/>
      <c r="AQ38" s="6"/>
      <c r="AR38" s="6"/>
      <c r="AS38" s="6"/>
      <c r="BF38"/>
      <c r="BG38"/>
      <c r="BH38"/>
      <c r="BI38"/>
      <c r="BJ38"/>
    </row>
    <row r="39" spans="1:62" x14ac:dyDescent="0.25">
      <c r="A39"/>
      <c r="J39"/>
      <c r="K39"/>
      <c r="L39"/>
      <c r="M39"/>
      <c r="N39"/>
      <c r="O39"/>
      <c r="P39"/>
      <c r="Q39"/>
      <c r="R39"/>
      <c r="S39"/>
      <c r="T39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"/>
      <c r="AN39" s="6"/>
      <c r="AO39" s="6"/>
      <c r="AP39" s="6"/>
      <c r="AQ39" s="6"/>
      <c r="AR39" s="6"/>
      <c r="AS39" s="6"/>
      <c r="BF39"/>
      <c r="BG39"/>
      <c r="BH39"/>
      <c r="BI39"/>
      <c r="BJ39"/>
    </row>
    <row r="40" spans="1:62" x14ac:dyDescent="0.25">
      <c r="A40"/>
      <c r="J40"/>
      <c r="K40"/>
      <c r="L40"/>
      <c r="M40"/>
      <c r="N40"/>
      <c r="O40"/>
      <c r="P40"/>
      <c r="Q40"/>
      <c r="R40"/>
      <c r="S40"/>
      <c r="T40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"/>
      <c r="AN40" s="6"/>
      <c r="AO40" s="6"/>
      <c r="AP40" s="6"/>
      <c r="AQ40" s="6"/>
      <c r="AR40" s="6"/>
      <c r="AS40" s="6"/>
      <c r="BF40"/>
      <c r="BG40"/>
      <c r="BH40"/>
      <c r="BI40"/>
      <c r="BJ40"/>
    </row>
    <row r="41" spans="1:62" x14ac:dyDescent="0.25">
      <c r="A41"/>
      <c r="J41"/>
      <c r="K41"/>
      <c r="L41"/>
      <c r="M41"/>
      <c r="N41"/>
      <c r="O41"/>
      <c r="P41"/>
      <c r="Q41"/>
      <c r="R41"/>
      <c r="S41"/>
      <c r="T41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"/>
      <c r="AN41" s="6"/>
      <c r="AO41" s="6"/>
      <c r="AP41" s="6"/>
      <c r="AQ41" s="6"/>
      <c r="AR41" s="6"/>
      <c r="AS41" s="6"/>
      <c r="BF41"/>
      <c r="BG41"/>
      <c r="BH41"/>
      <c r="BI41"/>
      <c r="BJ41"/>
    </row>
    <row r="42" spans="1:62" x14ac:dyDescent="0.25">
      <c r="A42"/>
      <c r="J42"/>
      <c r="K42"/>
      <c r="L42"/>
      <c r="M42"/>
      <c r="N42"/>
      <c r="O42"/>
      <c r="P42"/>
      <c r="Q42"/>
      <c r="R42"/>
      <c r="S42"/>
      <c r="T42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"/>
      <c r="AN42" s="6"/>
      <c r="AO42" s="6"/>
      <c r="AP42" s="6"/>
      <c r="AQ42" s="6"/>
      <c r="AR42" s="6"/>
      <c r="AS42" s="6"/>
      <c r="BF42"/>
      <c r="BG42"/>
      <c r="BH42"/>
      <c r="BI42"/>
      <c r="BJ42"/>
    </row>
    <row r="43" spans="1:62" x14ac:dyDescent="0.25">
      <c r="A43"/>
      <c r="B43" s="57" t="s">
        <v>126</v>
      </c>
      <c r="C43"/>
      <c r="D43"/>
      <c r="E43"/>
      <c r="F43"/>
      <c r="G43" s="65"/>
      <c r="H43" s="65"/>
      <c r="I43" s="65"/>
      <c r="J43"/>
      <c r="K43"/>
      <c r="L43"/>
      <c r="M43"/>
      <c r="N43"/>
      <c r="O43"/>
      <c r="P43"/>
      <c r="Q43"/>
      <c r="R43"/>
      <c r="S43"/>
      <c r="T43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"/>
      <c r="AN43" s="6"/>
      <c r="AO43" s="6"/>
      <c r="AP43" s="6"/>
      <c r="AQ43" s="6"/>
      <c r="AR43" s="6"/>
      <c r="AS43" s="6"/>
      <c r="BF43"/>
      <c r="BG43"/>
      <c r="BH43"/>
      <c r="BI43"/>
      <c r="BJ43"/>
    </row>
    <row r="44" spans="1:62" x14ac:dyDescent="0.25">
      <c r="A44"/>
      <c r="B44" s="57" t="s">
        <v>125</v>
      </c>
      <c r="C44" s="123"/>
      <c r="D44"/>
      <c r="E44"/>
      <c r="F44"/>
      <c r="G44" s="65"/>
      <c r="H44" s="65"/>
      <c r="I44" s="65"/>
      <c r="J44"/>
      <c r="K44"/>
      <c r="L44"/>
      <c r="M44"/>
      <c r="N44"/>
      <c r="O44"/>
      <c r="P44"/>
      <c r="Q44"/>
      <c r="R44"/>
      <c r="S44"/>
      <c r="T4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"/>
      <c r="AN44" s="6"/>
      <c r="AO44" s="6"/>
      <c r="AP44" s="6"/>
      <c r="AQ44" s="6"/>
      <c r="AR44" s="6"/>
      <c r="AS44" s="6"/>
      <c r="BF44"/>
      <c r="BG44"/>
      <c r="BH44"/>
      <c r="BI44"/>
      <c r="BJ44"/>
    </row>
    <row r="45" spans="1:62" x14ac:dyDescent="0.25">
      <c r="A45"/>
      <c r="B45" s="57" t="s">
        <v>127</v>
      </c>
      <c r="C45"/>
      <c r="D45"/>
      <c r="E45"/>
      <c r="F45"/>
      <c r="G45" s="65"/>
      <c r="H45" s="65"/>
      <c r="I45" s="65"/>
      <c r="J45"/>
      <c r="K45"/>
      <c r="L45"/>
      <c r="M45"/>
      <c r="N45"/>
      <c r="O45"/>
      <c r="P45"/>
      <c r="Q45"/>
      <c r="R45"/>
      <c r="S45"/>
      <c r="T4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"/>
      <c r="AN45" s="6"/>
      <c r="AO45" s="6"/>
      <c r="AP45" s="6"/>
      <c r="AQ45" s="6"/>
      <c r="AR45" s="6"/>
      <c r="AS45" s="6"/>
      <c r="BF45"/>
      <c r="BG45"/>
      <c r="BH45"/>
      <c r="BI45"/>
      <c r="BJ45"/>
    </row>
    <row r="46" spans="1:62" x14ac:dyDescent="0.25">
      <c r="A46"/>
      <c r="B46" s="135" t="s">
        <v>123</v>
      </c>
      <c r="C46"/>
      <c r="D46"/>
      <c r="E46"/>
      <c r="F46"/>
      <c r="G46" s="65"/>
      <c r="H46" s="65"/>
      <c r="I46" s="65"/>
      <c r="J46"/>
      <c r="K46"/>
      <c r="L46"/>
      <c r="M46"/>
      <c r="N46"/>
      <c r="O46"/>
      <c r="P46"/>
      <c r="Q46"/>
      <c r="R46"/>
      <c r="S46"/>
      <c r="T46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"/>
      <c r="AN46" s="6"/>
      <c r="AO46" s="6"/>
      <c r="AP46" s="6"/>
      <c r="AQ46" s="6"/>
      <c r="AR46" s="6"/>
      <c r="AS46" s="6"/>
      <c r="BF46"/>
      <c r="BG46"/>
      <c r="BH46"/>
      <c r="BI46"/>
      <c r="BJ46"/>
    </row>
    <row r="47" spans="1:62" x14ac:dyDescent="0.25">
      <c r="A47"/>
      <c r="B47" t="s">
        <v>128</v>
      </c>
      <c r="C47"/>
      <c r="D47"/>
      <c r="E47"/>
      <c r="F47"/>
      <c r="G47" s="65"/>
      <c r="H47" s="65"/>
      <c r="I47" s="65"/>
      <c r="J47"/>
      <c r="K47"/>
      <c r="L47"/>
      <c r="M47"/>
      <c r="N47"/>
      <c r="O47"/>
      <c r="P47"/>
      <c r="Q47"/>
      <c r="R47"/>
      <c r="S47"/>
      <c r="T47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"/>
      <c r="AN47" s="6"/>
      <c r="AO47" s="6"/>
      <c r="AP47" s="6"/>
      <c r="AQ47" s="6"/>
      <c r="AR47" s="6"/>
      <c r="AS47" s="6"/>
      <c r="BF47"/>
      <c r="BG47"/>
      <c r="BH47"/>
      <c r="BI47"/>
      <c r="BJ47"/>
    </row>
    <row r="48" spans="1:62" x14ac:dyDescent="0.25">
      <c r="A48"/>
      <c r="B48" t="s">
        <v>129</v>
      </c>
      <c r="C48"/>
      <c r="D48"/>
      <c r="E48"/>
      <c r="F48"/>
      <c r="G48" s="65"/>
      <c r="H48" s="65"/>
      <c r="I48" s="65"/>
      <c r="J48"/>
      <c r="K48"/>
      <c r="L48"/>
      <c r="M48"/>
      <c r="N48"/>
      <c r="O48"/>
      <c r="P48"/>
      <c r="Q48"/>
      <c r="R48"/>
      <c r="S48"/>
      <c r="T48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"/>
      <c r="AN48" s="6"/>
      <c r="AO48" s="6"/>
      <c r="AP48" s="6"/>
      <c r="AQ48" s="6"/>
      <c r="AR48" s="6"/>
      <c r="AS48" s="6"/>
      <c r="BF48"/>
      <c r="BG48"/>
      <c r="BH48"/>
      <c r="BI48"/>
      <c r="BJ48"/>
    </row>
    <row r="49" spans="1:62" x14ac:dyDescent="0.25">
      <c r="A49"/>
      <c r="B49" t="s">
        <v>130</v>
      </c>
      <c r="C49"/>
      <c r="D49"/>
      <c r="E49"/>
      <c r="F49"/>
      <c r="G49" s="65"/>
      <c r="H49" s="65"/>
      <c r="I49" s="65"/>
      <c r="J49"/>
      <c r="K49"/>
      <c r="L49"/>
      <c r="M49"/>
      <c r="N49"/>
      <c r="O49"/>
      <c r="P49"/>
      <c r="Q49"/>
      <c r="R49"/>
      <c r="S49"/>
      <c r="T49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"/>
      <c r="AN49" s="6"/>
      <c r="AO49" s="6"/>
      <c r="AP49" s="6"/>
      <c r="AQ49" s="6"/>
      <c r="AR49" s="6"/>
      <c r="AS49" s="6"/>
      <c r="BF49"/>
      <c r="BG49"/>
      <c r="BH49"/>
      <c r="BI49"/>
      <c r="BJ49"/>
    </row>
    <row r="50" spans="1:62" x14ac:dyDescent="0.25">
      <c r="A50"/>
      <c r="B50" t="s">
        <v>124</v>
      </c>
      <c r="C50"/>
      <c r="D50"/>
      <c r="E50"/>
      <c r="F50"/>
      <c r="G50" s="65"/>
      <c r="H50" s="65"/>
      <c r="I50" s="65"/>
      <c r="J50"/>
      <c r="K50"/>
      <c r="L50"/>
      <c r="M50"/>
      <c r="N50"/>
      <c r="O50"/>
      <c r="P50"/>
      <c r="Q50"/>
      <c r="R50"/>
      <c r="S50"/>
      <c r="T50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"/>
      <c r="AN50" s="6"/>
      <c r="AO50" s="6"/>
      <c r="AP50" s="6"/>
      <c r="AQ50" s="6"/>
      <c r="AR50" s="6"/>
      <c r="AS50" s="6"/>
      <c r="BF50"/>
      <c r="BG50"/>
      <c r="BH50"/>
      <c r="BI50"/>
      <c r="BJ50"/>
    </row>
    <row r="51" spans="1:62" x14ac:dyDescent="0.25">
      <c r="A51"/>
      <c r="B51" t="s">
        <v>131</v>
      </c>
      <c r="C51"/>
      <c r="D51"/>
      <c r="E51"/>
      <c r="F51"/>
      <c r="G51" s="65"/>
      <c r="H51" s="65"/>
      <c r="I51" s="65"/>
      <c r="J51"/>
      <c r="K51"/>
      <c r="L51"/>
      <c r="M51"/>
      <c r="N51"/>
      <c r="O51"/>
      <c r="P51"/>
      <c r="Q51"/>
      <c r="R51"/>
      <c r="S51"/>
      <c r="T51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"/>
      <c r="AN51" s="6"/>
      <c r="AO51" s="6"/>
      <c r="AP51" s="6"/>
      <c r="AQ51" s="6"/>
      <c r="AR51" s="6"/>
      <c r="AS51" s="6"/>
      <c r="BF51"/>
      <c r="BG51"/>
      <c r="BH51"/>
      <c r="BI51"/>
      <c r="BJ51"/>
    </row>
    <row r="52" spans="1:62" x14ac:dyDescent="0.25">
      <c r="A52"/>
      <c r="B52"/>
      <c r="C52"/>
      <c r="D52"/>
      <c r="E52"/>
      <c r="F52"/>
      <c r="G52" s="65"/>
      <c r="H52" s="65"/>
      <c r="I52" s="65"/>
      <c r="J52"/>
      <c r="K52"/>
      <c r="L52"/>
      <c r="M52"/>
      <c r="N52"/>
      <c r="O52"/>
      <c r="P52"/>
      <c r="Q52"/>
      <c r="R52"/>
      <c r="S52"/>
      <c r="T52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"/>
      <c r="AN52" s="6"/>
      <c r="AO52" s="6"/>
      <c r="AP52" s="6"/>
      <c r="AQ52" s="6"/>
      <c r="AR52" s="6"/>
      <c r="AS52" s="6"/>
      <c r="BF52"/>
      <c r="BG52"/>
      <c r="BH52"/>
      <c r="BI52"/>
      <c r="BJ52"/>
    </row>
    <row r="53" spans="1:62" x14ac:dyDescent="0.25">
      <c r="A53"/>
      <c r="B53"/>
      <c r="C53"/>
      <c r="D53"/>
      <c r="E53"/>
      <c r="F53"/>
      <c r="G53" s="65"/>
      <c r="H53" s="65"/>
      <c r="I53" s="65"/>
      <c r="J53"/>
      <c r="K53"/>
      <c r="L53"/>
      <c r="M53"/>
      <c r="N53"/>
      <c r="O53"/>
      <c r="P53"/>
      <c r="Q53"/>
      <c r="R53"/>
      <c r="S53"/>
      <c r="T53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"/>
      <c r="AN53" s="6"/>
      <c r="AO53" s="6"/>
      <c r="AP53" s="6"/>
      <c r="AQ53" s="6"/>
      <c r="AR53" s="6"/>
      <c r="AS53" s="6"/>
      <c r="BF53"/>
      <c r="BG53"/>
      <c r="BH53"/>
      <c r="BI53"/>
      <c r="BJ53"/>
    </row>
    <row r="54" spans="1:62" x14ac:dyDescent="0.25">
      <c r="A54"/>
      <c r="B54"/>
      <c r="C54"/>
      <c r="D54"/>
      <c r="E54"/>
      <c r="F54"/>
      <c r="G54" s="65"/>
      <c r="H54" s="65"/>
      <c r="I54" s="65"/>
      <c r="J54"/>
      <c r="K54"/>
      <c r="L54"/>
      <c r="M54"/>
      <c r="N54"/>
      <c r="O54"/>
      <c r="P54"/>
      <c r="Q54"/>
      <c r="R54"/>
      <c r="S54"/>
      <c r="T54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"/>
      <c r="AN54" s="6"/>
      <c r="AO54" s="6"/>
      <c r="AP54" s="6"/>
      <c r="AQ54" s="6"/>
      <c r="AR54" s="6"/>
      <c r="AS54" s="6"/>
      <c r="BF54"/>
      <c r="BG54"/>
      <c r="BH54"/>
      <c r="BI54"/>
      <c r="BJ54"/>
    </row>
    <row r="55" spans="1:62" x14ac:dyDescent="0.25">
      <c r="A55"/>
      <c r="B55"/>
      <c r="C55"/>
      <c r="D55"/>
      <c r="E55"/>
      <c r="F55"/>
      <c r="G55" s="65"/>
      <c r="H55" s="65"/>
      <c r="I55" s="65"/>
      <c r="J55"/>
      <c r="K55"/>
      <c r="L55"/>
      <c r="M55"/>
      <c r="N55"/>
      <c r="O55"/>
      <c r="P55"/>
      <c r="Q55"/>
      <c r="R55"/>
      <c r="S55"/>
      <c r="T5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"/>
      <c r="AN55" s="6"/>
      <c r="AO55" s="6"/>
      <c r="AP55" s="6"/>
      <c r="AQ55" s="6"/>
      <c r="AR55" s="6"/>
      <c r="AS55" s="6"/>
      <c r="BF55"/>
      <c r="BG55"/>
      <c r="BH55"/>
      <c r="BI55"/>
      <c r="BJ55"/>
    </row>
    <row r="56" spans="1:62" x14ac:dyDescent="0.25">
      <c r="A56"/>
      <c r="B56"/>
      <c r="C56"/>
      <c r="D56"/>
      <c r="E56"/>
      <c r="F56"/>
      <c r="G56" s="65"/>
      <c r="H56" s="65"/>
      <c r="I56" s="65"/>
      <c r="J56"/>
      <c r="K56"/>
      <c r="L56"/>
      <c r="M56"/>
      <c r="N56"/>
      <c r="O56"/>
      <c r="P56"/>
      <c r="Q56"/>
      <c r="R56"/>
      <c r="S56"/>
      <c r="T56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"/>
      <c r="AN56" s="6"/>
      <c r="AO56" s="6"/>
      <c r="AP56" s="6"/>
      <c r="AQ56" s="6"/>
      <c r="AR56" s="6"/>
      <c r="AS56" s="6"/>
      <c r="BF56"/>
      <c r="BG56"/>
      <c r="BH56"/>
      <c r="BI56"/>
      <c r="BJ56"/>
    </row>
    <row r="57" spans="1:62" x14ac:dyDescent="0.25">
      <c r="A57"/>
      <c r="B57"/>
      <c r="C57"/>
      <c r="D57"/>
      <c r="E57"/>
      <c r="F57"/>
      <c r="G57" s="65"/>
      <c r="H57" s="65"/>
      <c r="I57" s="65"/>
      <c r="J57"/>
      <c r="K57"/>
      <c r="L57"/>
      <c r="M57"/>
      <c r="N57"/>
      <c r="O57"/>
      <c r="P57"/>
      <c r="Q57"/>
      <c r="R57"/>
      <c r="S57"/>
      <c r="T57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"/>
      <c r="AN57" s="6"/>
      <c r="AO57" s="6"/>
      <c r="AP57" s="6"/>
      <c r="AQ57" s="6"/>
      <c r="AR57" s="6"/>
      <c r="AS57" s="6"/>
      <c r="BF57"/>
      <c r="BG57"/>
      <c r="BH57"/>
      <c r="BI57"/>
      <c r="BJ57"/>
    </row>
    <row r="58" spans="1:62" x14ac:dyDescent="0.25">
      <c r="A58"/>
      <c r="B58"/>
      <c r="C58"/>
      <c r="D58"/>
      <c r="E58"/>
      <c r="F58"/>
      <c r="G58" s="65"/>
      <c r="H58" s="65"/>
      <c r="I58" s="65"/>
      <c r="J58"/>
      <c r="K58"/>
      <c r="L58"/>
      <c r="M58"/>
      <c r="N58"/>
      <c r="O58"/>
      <c r="P58"/>
      <c r="Q58"/>
      <c r="R58"/>
      <c r="S58"/>
      <c r="T58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"/>
      <c r="AN58" s="6"/>
      <c r="AO58" s="6"/>
      <c r="AP58" s="6"/>
      <c r="AQ58" s="6"/>
      <c r="AR58" s="6"/>
      <c r="AS58" s="6"/>
      <c r="BF58"/>
      <c r="BG58"/>
      <c r="BH58"/>
      <c r="BI58"/>
      <c r="BJ58"/>
    </row>
    <row r="59" spans="1:62" x14ac:dyDescent="0.25">
      <c r="A59"/>
      <c r="B59"/>
      <c r="C59"/>
      <c r="D59"/>
      <c r="E59"/>
      <c r="F59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"/>
      <c r="AN59" s="6"/>
      <c r="AO59" s="6"/>
      <c r="AP59" s="6"/>
      <c r="AQ59" s="6"/>
      <c r="AR59" s="6"/>
      <c r="AS59" s="6"/>
      <c r="BF59"/>
      <c r="BG59"/>
      <c r="BH59"/>
      <c r="BI59"/>
      <c r="BJ59"/>
    </row>
    <row r="60" spans="1:62" x14ac:dyDescent="0.25">
      <c r="A60"/>
      <c r="B60"/>
      <c r="C60"/>
      <c r="D60"/>
      <c r="E60"/>
      <c r="F60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"/>
      <c r="AN60" s="6"/>
      <c r="AO60" s="6"/>
      <c r="AP60" s="6"/>
      <c r="AQ60" s="6"/>
      <c r="AR60" s="6"/>
      <c r="AS60" s="6"/>
      <c r="BF60"/>
      <c r="BG60"/>
      <c r="BH60"/>
      <c r="BI60"/>
      <c r="BJ60"/>
    </row>
    <row r="61" spans="1:62" x14ac:dyDescent="0.25">
      <c r="A61"/>
      <c r="B61"/>
      <c r="C61"/>
      <c r="D61"/>
      <c r="E61"/>
      <c r="F61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"/>
      <c r="AN61" s="6"/>
      <c r="AO61" s="6"/>
      <c r="AP61" s="6"/>
      <c r="AQ61" s="6"/>
      <c r="AR61" s="6"/>
      <c r="AS61" s="6"/>
      <c r="BF61"/>
      <c r="BG61"/>
      <c r="BH61"/>
      <c r="BI61"/>
      <c r="BJ61"/>
    </row>
    <row r="62" spans="1:62" x14ac:dyDescent="0.25">
      <c r="A62"/>
      <c r="B62"/>
      <c r="C62"/>
      <c r="D62"/>
      <c r="E62"/>
      <c r="F62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"/>
      <c r="AN62" s="6"/>
      <c r="AO62" s="6"/>
      <c r="AP62" s="6"/>
      <c r="AQ62" s="6"/>
      <c r="AR62" s="6"/>
      <c r="AS62" s="6"/>
      <c r="BF62"/>
      <c r="BG62"/>
      <c r="BH62"/>
      <c r="BI62"/>
      <c r="BJ62"/>
    </row>
    <row r="63" spans="1:62" x14ac:dyDescent="0.25">
      <c r="A63"/>
      <c r="B63"/>
      <c r="C63"/>
      <c r="D63"/>
      <c r="E63"/>
      <c r="F63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"/>
      <c r="AN63" s="6"/>
      <c r="AO63" s="6"/>
      <c r="AP63" s="6"/>
      <c r="AQ63" s="6"/>
      <c r="AR63" s="6"/>
      <c r="AS63" s="6"/>
      <c r="BF63"/>
      <c r="BG63"/>
      <c r="BH63"/>
      <c r="BI63"/>
      <c r="BJ63"/>
    </row>
    <row r="64" spans="1:62" x14ac:dyDescent="0.25">
      <c r="A64"/>
      <c r="B64"/>
      <c r="C64"/>
      <c r="D64"/>
      <c r="E64"/>
      <c r="F64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"/>
      <c r="AN64" s="6"/>
      <c r="AO64" s="6"/>
      <c r="AP64" s="6"/>
      <c r="AQ64" s="6"/>
      <c r="AR64" s="6"/>
      <c r="AS64" s="6"/>
      <c r="BF64"/>
      <c r="BG64"/>
      <c r="BH64"/>
      <c r="BI64"/>
      <c r="BJ64"/>
    </row>
    <row r="65" spans="1:62" x14ac:dyDescent="0.25">
      <c r="A65"/>
      <c r="B65"/>
      <c r="C65"/>
      <c r="D65"/>
      <c r="E65"/>
      <c r="F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"/>
      <c r="AN65" s="6"/>
      <c r="AO65" s="6"/>
      <c r="AP65" s="6"/>
      <c r="AQ65" s="6"/>
      <c r="AR65" s="6"/>
      <c r="AS65" s="6"/>
      <c r="BF65"/>
      <c r="BG65"/>
      <c r="BH65"/>
      <c r="BI65"/>
      <c r="BJ65"/>
    </row>
    <row r="66" spans="1:62" x14ac:dyDescent="0.25">
      <c r="A66"/>
      <c r="B66"/>
      <c r="C66"/>
      <c r="D66"/>
      <c r="E66"/>
      <c r="F66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"/>
      <c r="AN66" s="6"/>
      <c r="AO66" s="6"/>
      <c r="AP66" s="6"/>
      <c r="AQ66" s="6"/>
      <c r="AR66" s="6"/>
      <c r="AS66" s="6"/>
      <c r="BF66"/>
      <c r="BG66"/>
      <c r="BH66"/>
      <c r="BI66"/>
      <c r="BJ66"/>
    </row>
    <row r="67" spans="1:62" x14ac:dyDescent="0.25">
      <c r="A67"/>
      <c r="B67"/>
      <c r="C67"/>
      <c r="D67"/>
      <c r="E67"/>
      <c r="F67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"/>
      <c r="AN67" s="6"/>
      <c r="AO67" s="6"/>
      <c r="AP67" s="6"/>
      <c r="AQ67" s="6"/>
      <c r="AR67" s="6"/>
      <c r="AS67" s="6"/>
      <c r="BF67"/>
      <c r="BG67"/>
      <c r="BH67"/>
      <c r="BI67"/>
      <c r="BJ67"/>
    </row>
    <row r="68" spans="1:62" x14ac:dyDescent="0.25">
      <c r="A68"/>
      <c r="B68"/>
      <c r="C68"/>
      <c r="D68"/>
      <c r="E68"/>
      <c r="F68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"/>
      <c r="AN68" s="6"/>
      <c r="AO68" s="6"/>
      <c r="AP68" s="6"/>
      <c r="AQ68" s="6"/>
      <c r="AR68" s="6"/>
      <c r="AS68" s="6"/>
      <c r="BF68"/>
      <c r="BG68"/>
      <c r="BH68"/>
      <c r="BI68"/>
      <c r="BJ68"/>
    </row>
    <row r="69" spans="1:62" x14ac:dyDescent="0.25">
      <c r="A69"/>
      <c r="B69"/>
      <c r="C69"/>
      <c r="D69"/>
      <c r="E69"/>
      <c r="F69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"/>
      <c r="AN69" s="6"/>
      <c r="AO69" s="6"/>
      <c r="AP69" s="6"/>
      <c r="AQ69" s="6"/>
      <c r="AR69" s="6"/>
      <c r="AS69" s="6"/>
      <c r="BF69"/>
      <c r="BG69"/>
      <c r="BH69"/>
      <c r="BI69"/>
      <c r="BJ69"/>
    </row>
    <row r="70" spans="1:62" x14ac:dyDescent="0.25">
      <c r="A70"/>
      <c r="B70"/>
      <c r="C70"/>
      <c r="D70"/>
      <c r="E70"/>
      <c r="F70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"/>
      <c r="AN70" s="6"/>
      <c r="AO70" s="6"/>
      <c r="AP70" s="6"/>
      <c r="AQ70" s="6"/>
      <c r="AR70" s="6"/>
      <c r="AS70" s="6"/>
      <c r="BF70"/>
      <c r="BG70"/>
      <c r="BH70"/>
      <c r="BI70"/>
      <c r="BJ70"/>
    </row>
    <row r="71" spans="1:62" x14ac:dyDescent="0.25">
      <c r="A71"/>
      <c r="B71"/>
      <c r="C71"/>
      <c r="D71"/>
      <c r="E71"/>
      <c r="F71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"/>
      <c r="AN71" s="6"/>
      <c r="AO71" s="6"/>
      <c r="AP71" s="6"/>
      <c r="AQ71" s="6"/>
      <c r="AR71" s="6"/>
      <c r="AS71" s="6"/>
      <c r="BF71"/>
      <c r="BG71"/>
      <c r="BH71"/>
      <c r="BI71"/>
      <c r="BJ71"/>
    </row>
    <row r="72" spans="1:62" x14ac:dyDescent="0.25">
      <c r="A72"/>
      <c r="B72"/>
      <c r="C72"/>
      <c r="D72"/>
      <c r="E72"/>
      <c r="F72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"/>
      <c r="AN72" s="6"/>
      <c r="AO72" s="6"/>
      <c r="AP72" s="6"/>
      <c r="AQ72" s="6"/>
      <c r="AR72" s="6"/>
      <c r="AS72" s="6"/>
      <c r="BF72"/>
      <c r="BG72"/>
      <c r="BH72"/>
      <c r="BI72"/>
      <c r="BJ72"/>
    </row>
    <row r="73" spans="1:62" x14ac:dyDescent="0.25">
      <c r="A73"/>
      <c r="B73"/>
      <c r="C73"/>
      <c r="D73"/>
      <c r="E73"/>
      <c r="F73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"/>
      <c r="AN73" s="6"/>
      <c r="AO73" s="6"/>
      <c r="AP73" s="6"/>
      <c r="AQ73" s="6"/>
      <c r="AR73" s="6"/>
      <c r="AS73" s="6"/>
      <c r="BF73"/>
      <c r="BG73"/>
      <c r="BH73"/>
      <c r="BI73"/>
      <c r="BJ73"/>
    </row>
    <row r="74" spans="1:62" x14ac:dyDescent="0.25">
      <c r="A74"/>
      <c r="B74"/>
      <c r="C74"/>
      <c r="D74"/>
      <c r="E74"/>
      <c r="F7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BF74"/>
      <c r="BG74"/>
      <c r="BH74"/>
      <c r="BI74"/>
      <c r="BJ74"/>
    </row>
    <row r="75" spans="1:62" x14ac:dyDescent="0.25">
      <c r="A75"/>
      <c r="B75"/>
      <c r="C75"/>
      <c r="D75"/>
      <c r="E75"/>
      <c r="F7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BF75"/>
      <c r="BG75"/>
      <c r="BH75"/>
      <c r="BI75"/>
      <c r="BJ75"/>
    </row>
    <row r="76" spans="1:62" x14ac:dyDescent="0.25">
      <c r="A76"/>
      <c r="B76"/>
      <c r="C76"/>
      <c r="D76"/>
      <c r="E76"/>
      <c r="F76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BF76"/>
      <c r="BG76"/>
      <c r="BH76"/>
      <c r="BI76"/>
      <c r="BJ76"/>
    </row>
    <row r="77" spans="1:62" x14ac:dyDescent="0.25">
      <c r="A77"/>
      <c r="B77"/>
      <c r="C77"/>
      <c r="D77"/>
      <c r="E77"/>
      <c r="F77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BF77"/>
      <c r="BG77"/>
      <c r="BH77"/>
      <c r="BI77"/>
      <c r="BJ77"/>
    </row>
    <row r="78" spans="1:62" x14ac:dyDescent="0.25">
      <c r="A78"/>
      <c r="B78"/>
      <c r="C78"/>
      <c r="D78"/>
      <c r="E78"/>
      <c r="F78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BF78"/>
      <c r="BG78"/>
      <c r="BH78"/>
      <c r="BI78"/>
      <c r="BJ78"/>
    </row>
    <row r="79" spans="1:62" ht="16.5" x14ac:dyDescent="0.3">
      <c r="A79"/>
      <c r="B79"/>
      <c r="C79"/>
      <c r="D79"/>
      <c r="E79"/>
      <c r="F79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BF79"/>
      <c r="BG79"/>
      <c r="BH79"/>
      <c r="BI79"/>
      <c r="BJ79"/>
    </row>
    <row r="80" spans="1:62" ht="16.5" x14ac:dyDescent="0.3">
      <c r="A80"/>
      <c r="B80"/>
      <c r="C80"/>
      <c r="D80"/>
      <c r="E80"/>
      <c r="F80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BF80"/>
      <c r="BG80"/>
      <c r="BH80"/>
      <c r="BI80"/>
      <c r="BJ80"/>
    </row>
    <row r="81" spans="1:62" ht="16.5" x14ac:dyDescent="0.3">
      <c r="A81"/>
      <c r="B81"/>
      <c r="C81"/>
      <c r="D81"/>
      <c r="E81"/>
      <c r="F81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BF81"/>
      <c r="BG81"/>
      <c r="BH81"/>
      <c r="BI81"/>
      <c r="BJ81"/>
    </row>
    <row r="82" spans="1:62" ht="16.5" x14ac:dyDescent="0.3">
      <c r="A82"/>
      <c r="B82"/>
      <c r="C82"/>
      <c r="D82"/>
      <c r="E82"/>
      <c r="F82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BF82"/>
      <c r="BG82"/>
      <c r="BH82"/>
      <c r="BI82"/>
      <c r="BJ82"/>
    </row>
    <row r="83" spans="1:62" ht="16.5" x14ac:dyDescent="0.3">
      <c r="A83"/>
      <c r="B83"/>
      <c r="C83"/>
      <c r="D83"/>
      <c r="E83"/>
      <c r="F83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BF83"/>
      <c r="BG83"/>
      <c r="BH83"/>
      <c r="BI83"/>
      <c r="BJ83"/>
    </row>
    <row r="84" spans="1:62" ht="16.5" x14ac:dyDescent="0.3">
      <c r="A84"/>
      <c r="B84"/>
      <c r="C84"/>
      <c r="D84"/>
      <c r="E84"/>
      <c r="F84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BF84"/>
      <c r="BG84"/>
      <c r="BH84"/>
      <c r="BI84"/>
      <c r="BJ84"/>
    </row>
    <row r="85" spans="1:62" ht="16.5" x14ac:dyDescent="0.3">
      <c r="A85"/>
      <c r="B85"/>
      <c r="C85"/>
      <c r="D85"/>
      <c r="E85"/>
      <c r="F85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BF85"/>
      <c r="BG85"/>
      <c r="BH85"/>
      <c r="BI85"/>
      <c r="BJ85"/>
    </row>
    <row r="86" spans="1:62" ht="16.5" x14ac:dyDescent="0.3">
      <c r="A86"/>
      <c r="B86"/>
      <c r="C86"/>
      <c r="D86"/>
      <c r="E86"/>
      <c r="F86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BF86"/>
      <c r="BG86"/>
      <c r="BH86"/>
      <c r="BI86"/>
      <c r="BJ86"/>
    </row>
    <row r="87" spans="1:62" ht="16.5" x14ac:dyDescent="0.3">
      <c r="A87"/>
      <c r="B87"/>
      <c r="C87"/>
      <c r="D87"/>
      <c r="E87"/>
      <c r="F87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BF87"/>
      <c r="BG87"/>
      <c r="BH87"/>
      <c r="BI87"/>
      <c r="BJ87"/>
    </row>
    <row r="88" spans="1:62" ht="16.5" x14ac:dyDescent="0.3">
      <c r="A88"/>
      <c r="B88"/>
      <c r="C88"/>
      <c r="D88"/>
      <c r="E88"/>
      <c r="F88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</row>
    <row r="89" spans="1:62" ht="16.5" x14ac:dyDescent="0.3">
      <c r="A89"/>
      <c r="B89"/>
      <c r="C89"/>
      <c r="D89"/>
      <c r="E89"/>
      <c r="F89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</row>
    <row r="90" spans="1:62" ht="16.5" x14ac:dyDescent="0.3">
      <c r="A90"/>
      <c r="B90"/>
      <c r="C90"/>
      <c r="D90"/>
      <c r="E90"/>
      <c r="F90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</row>
    <row r="91" spans="1:62" x14ac:dyDescent="0.25">
      <c r="A91"/>
      <c r="B91"/>
      <c r="C91"/>
      <c r="D91"/>
      <c r="E91"/>
      <c r="F91"/>
    </row>
    <row r="92" spans="1:62" x14ac:dyDescent="0.25">
      <c r="A92"/>
      <c r="B92"/>
      <c r="C92"/>
      <c r="D92"/>
      <c r="E92"/>
      <c r="F92"/>
    </row>
    <row r="93" spans="1:62" x14ac:dyDescent="0.25">
      <c r="A93"/>
      <c r="B93"/>
      <c r="C93"/>
      <c r="D93"/>
      <c r="E93"/>
      <c r="F93"/>
    </row>
    <row r="94" spans="1:62" x14ac:dyDescent="0.25">
      <c r="A94"/>
      <c r="B94"/>
      <c r="C94"/>
      <c r="D94"/>
      <c r="E94"/>
      <c r="F94"/>
    </row>
    <row r="95" spans="1:62" x14ac:dyDescent="0.25">
      <c r="A95"/>
      <c r="B95"/>
      <c r="C95"/>
      <c r="D95"/>
      <c r="E95"/>
      <c r="F95"/>
    </row>
    <row r="96" spans="1:62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</sheetData>
  <phoneticPr fontId="20" type="noConversion"/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8"/>
  <sheetViews>
    <sheetView zoomScale="98" zoomScaleNormal="98" workbookViewId="0">
      <selection activeCell="B1" sqref="B1:B1048576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8.42578125" style="3" bestFit="1" customWidth="1"/>
    <col min="4" max="4" width="6.28515625" style="3" customWidth="1"/>
    <col min="5" max="6" width="8" style="3" bestFit="1" customWidth="1"/>
    <col min="7" max="7" width="7.140625" style="3" bestFit="1" customWidth="1"/>
    <col min="8" max="8" width="6.28515625" style="3" bestFit="1" customWidth="1"/>
    <col min="9" max="9" width="4.28515625" style="3" bestFit="1" customWidth="1"/>
    <col min="10" max="10" width="11.5703125" style="3" bestFit="1" customWidth="1"/>
    <col min="11" max="11" width="8" style="3" bestFit="1" customWidth="1"/>
    <col min="12" max="12" width="9.140625" style="3"/>
    <col min="13" max="13" width="6.42578125" style="3" customWidth="1"/>
    <col min="14" max="22" width="4" style="3" customWidth="1"/>
    <col min="23" max="16384" width="9.140625" style="3"/>
  </cols>
  <sheetData>
    <row r="1" spans="1:23" x14ac:dyDescent="0.2">
      <c r="A1" s="2" t="str">
        <f>[2]ArdiData!A2</f>
        <v>Per.</v>
      </c>
      <c r="B1" s="4" t="s">
        <v>21</v>
      </c>
      <c r="C1" s="37" t="s">
        <v>66</v>
      </c>
      <c r="D1" s="39" t="s">
        <v>65</v>
      </c>
      <c r="E1" s="39" t="s">
        <v>64</v>
      </c>
      <c r="F1" s="35" t="s">
        <v>3</v>
      </c>
      <c r="G1" s="35" t="s">
        <v>2</v>
      </c>
      <c r="H1" s="36" t="s">
        <v>1</v>
      </c>
      <c r="I1" s="36" t="s">
        <v>24</v>
      </c>
      <c r="J1" s="35" t="s">
        <v>61</v>
      </c>
      <c r="K1" s="35" t="s">
        <v>60</v>
      </c>
      <c r="L1" s="38" t="s">
        <v>63</v>
      </c>
      <c r="M1" s="34">
        <f>0.2</f>
        <v>0.2</v>
      </c>
      <c r="N1" s="3" t="str">
        <f>" F(next) ~ N ( "&amp;ROUND(E78,0)&amp;", "&amp;ROUND(1.25*H77,0)&amp;")"</f>
        <v xml:space="preserve"> F(next) ~ N ( 11080, 664)</v>
      </c>
      <c r="Q1" s="33"/>
    </row>
    <row r="2" spans="1:23" x14ac:dyDescent="0.2">
      <c r="A2" s="2">
        <v>0</v>
      </c>
      <c r="B2" s="4"/>
      <c r="C2" s="4">
        <f>INTERCEPT(B3:B77,A3:A77)</f>
        <v>971.1200942372725</v>
      </c>
      <c r="D2" s="4">
        <f>SLOPE(B3:B77,A3:A77)</f>
        <v>101.48836362296417</v>
      </c>
      <c r="E2" s="4"/>
      <c r="F2" s="35"/>
      <c r="G2" s="35"/>
      <c r="H2" s="36"/>
      <c r="I2" s="36"/>
      <c r="J2" s="35"/>
      <c r="K2" s="35"/>
      <c r="L2" s="38" t="s">
        <v>62</v>
      </c>
      <c r="M2" s="34">
        <v>0.6</v>
      </c>
      <c r="Q2" s="33"/>
    </row>
    <row r="3" spans="1:23" x14ac:dyDescent="0.2">
      <c r="A3" s="2">
        <f>[2]ArdiData!A3</f>
        <v>1</v>
      </c>
      <c r="B3" s="32">
        <v>1113.3499253558266</v>
      </c>
      <c r="C3" s="3">
        <f>(1-$M$1)*E3+$M$1*B3</f>
        <v>1080.7567513593549</v>
      </c>
      <c r="D3" s="32">
        <f>(1-$M$2)*D2+$M$2*(C3-C2)</f>
        <v>106.37733972243511</v>
      </c>
      <c r="E3" s="32">
        <f>C2+D2</f>
        <v>1072.6084578602367</v>
      </c>
      <c r="F3" s="31">
        <f t="shared" ref="F3:F34" si="0">B3-E3</f>
        <v>40.741467495589859</v>
      </c>
      <c r="G3" s="31">
        <f t="shared" ref="G3:G34" si="1">ABS(F3)</f>
        <v>40.741467495589859</v>
      </c>
      <c r="H3" s="29">
        <f>SUM(G$3:G3)/COUNT(G$3:G3)</f>
        <v>40.741467495589859</v>
      </c>
      <c r="I3" s="29">
        <f>SUM(F$3:F3)/H3</f>
        <v>1</v>
      </c>
      <c r="J3" s="30">
        <f>(F3-$F$78)^2</f>
        <v>30.869763613761691</v>
      </c>
      <c r="K3" s="29" t="str">
        <f>IFERROR(SQRT(SUM(J$3:J3)/(COUNT(J$3:J3)-1)),"")</f>
        <v/>
      </c>
    </row>
    <row r="4" spans="1:23" x14ac:dyDescent="0.2">
      <c r="A4" s="2">
        <f>[2]ArdiData!A4</f>
        <v>2</v>
      </c>
      <c r="B4" s="32">
        <v>1222.4509615075469</v>
      </c>
      <c r="C4" s="3">
        <f t="shared" ref="C4:C67" si="2">(1-$M$1)*E4+$M$1*B4</f>
        <v>1194.1974651669416</v>
      </c>
      <c r="D4" s="32">
        <f t="shared" ref="D4:D67" si="3">(1-$M$2)*D3+$M$2*(C4-C3)</f>
        <v>110.61536417352605</v>
      </c>
      <c r="E4" s="32">
        <f>C3+D3</f>
        <v>1187.1340910817901</v>
      </c>
      <c r="F4" s="31">
        <f t="shared" si="0"/>
        <v>35.316870425756861</v>
      </c>
      <c r="G4" s="31">
        <f t="shared" si="1"/>
        <v>35.316870425756861</v>
      </c>
      <c r="H4" s="29">
        <f>SUM(G$3:G4)/COUNT(G$3:G4)</f>
        <v>38.02916896067336</v>
      </c>
      <c r="I4" s="29">
        <f>SUM(F$3:F4)/H4</f>
        <v>2</v>
      </c>
      <c r="J4" s="30">
        <f t="shared" ref="J3:J34" si="4">(F4-$F$78)^2</f>
        <v>1.7281576635303535E-2</v>
      </c>
      <c r="K4" s="29">
        <f>IFERROR(SQRT(SUM(J$3:J4)/(COUNT(J$3:J4)-1)),"")</f>
        <v>5.5576114645049621</v>
      </c>
    </row>
    <row r="5" spans="1:23" x14ac:dyDescent="0.2">
      <c r="A5" s="2">
        <f>[2]ArdiData!A5</f>
        <v>3</v>
      </c>
      <c r="B5" s="32">
        <v>1815.9308993190284</v>
      </c>
      <c r="C5" s="3">
        <f t="shared" si="2"/>
        <v>1407.0364433361801</v>
      </c>
      <c r="D5" s="32">
        <f t="shared" si="3"/>
        <v>171.94953257095355</v>
      </c>
      <c r="E5" s="32">
        <f t="shared" ref="E5:E34" si="5">C4+D4</f>
        <v>1304.8128293404677</v>
      </c>
      <c r="F5" s="31">
        <f t="shared" si="0"/>
        <v>511.1180699785607</v>
      </c>
      <c r="G5" s="31">
        <f t="shared" si="1"/>
        <v>511.1180699785607</v>
      </c>
      <c r="H5" s="29">
        <f>SUM(G$3:G5)/COUNT(G$3:G5)</f>
        <v>195.72546929996915</v>
      </c>
      <c r="I5" s="29">
        <f>SUM(F$3:F5)/H5</f>
        <v>3</v>
      </c>
      <c r="J5" s="30">
        <f t="shared" si="4"/>
        <v>226511.89586797569</v>
      </c>
      <c r="K5" s="29">
        <f>IFERROR(SQRT(SUM(J$3:J5)/(COUNT(J$3:J5)-1)),"")</f>
        <v>336.55815464282404</v>
      </c>
      <c r="L5" s="33">
        <f>H77</f>
        <v>531.10353796997686</v>
      </c>
      <c r="M5" s="3">
        <v>0.1</v>
      </c>
      <c r="N5" s="3">
        <v>0.2</v>
      </c>
      <c r="O5" s="3">
        <v>0.30000000000000004</v>
      </c>
      <c r="P5" s="3">
        <v>0.4</v>
      </c>
      <c r="Q5" s="3">
        <v>0.5</v>
      </c>
      <c r="R5" s="3">
        <v>0.6</v>
      </c>
      <c r="S5" s="3">
        <v>0.70000000000000007</v>
      </c>
      <c r="T5" s="3">
        <v>0.8</v>
      </c>
      <c r="U5" s="3">
        <v>0.9</v>
      </c>
      <c r="V5" s="3">
        <v>1</v>
      </c>
    </row>
    <row r="6" spans="1:23" x14ac:dyDescent="0.2">
      <c r="A6" s="2">
        <f>[2]ArdiData!A6</f>
        <v>4</v>
      </c>
      <c r="B6" s="32">
        <v>1877.6018297269898</v>
      </c>
      <c r="C6" s="3">
        <f t="shared" si="2"/>
        <v>1638.7091466711051</v>
      </c>
      <c r="D6" s="32">
        <f t="shared" si="3"/>
        <v>207.78343502933643</v>
      </c>
      <c r="E6" s="32">
        <f t="shared" si="5"/>
        <v>1578.9859759071337</v>
      </c>
      <c r="F6" s="31">
        <f t="shared" si="0"/>
        <v>298.61585381985606</v>
      </c>
      <c r="G6" s="31">
        <f t="shared" si="1"/>
        <v>298.61585381985606</v>
      </c>
      <c r="H6" s="29">
        <f>SUM(G$3:G6)/COUNT(G$3:G6)</f>
        <v>221.44806542994087</v>
      </c>
      <c r="I6" s="29">
        <f>SUM(F$3:F6)/H6</f>
        <v>4</v>
      </c>
      <c r="J6" s="30">
        <f t="shared" si="4"/>
        <v>69395.598196279912</v>
      </c>
      <c r="K6" s="29">
        <f>IFERROR(SQRT(SUM(J$3:J6)/(COUNT(J$3:J6)-1)),"")</f>
        <v>314.07980997905929</v>
      </c>
      <c r="L6" s="3">
        <v>0.1</v>
      </c>
      <c r="M6" s="3">
        <f t="dataTable" ref="M6:V15" dt2D="1" dtr="1" r1="M2" r2="M1"/>
        <v>550.7351753519049</v>
      </c>
      <c r="N6" s="3">
        <v>545.92424087700158</v>
      </c>
      <c r="O6" s="3">
        <v>557.43466902979628</v>
      </c>
      <c r="P6" s="3">
        <v>557.64236708057092</v>
      </c>
      <c r="Q6" s="3">
        <v>563.28649969006585</v>
      </c>
      <c r="R6" s="3">
        <v>562.22811808778431</v>
      </c>
      <c r="S6" s="3">
        <v>559.16896274797932</v>
      </c>
      <c r="T6" s="3">
        <v>559.83016439210871</v>
      </c>
      <c r="U6" s="3">
        <v>558.71107452289846</v>
      </c>
      <c r="V6" s="3">
        <v>560.03685164011904</v>
      </c>
    </row>
    <row r="7" spans="1:23" x14ac:dyDescent="0.2">
      <c r="A7" s="2">
        <f>[2]ArdiData!A7</f>
        <v>5</v>
      </c>
      <c r="B7" s="32">
        <v>1437.7413264412648</v>
      </c>
      <c r="C7" s="3">
        <f t="shared" si="2"/>
        <v>1764.7423306486062</v>
      </c>
      <c r="D7" s="32">
        <f t="shared" si="3"/>
        <v>158.73328439823518</v>
      </c>
      <c r="E7" s="32">
        <f t="shared" si="5"/>
        <v>1846.4925817004416</v>
      </c>
      <c r="F7" s="31">
        <f t="shared" si="0"/>
        <v>-408.75125525917679</v>
      </c>
      <c r="G7" s="31">
        <f t="shared" si="1"/>
        <v>408.75125525917679</v>
      </c>
      <c r="H7" s="29">
        <f>SUM(G$3:G7)/COUNT(G$3:G7)</f>
        <v>258.90870339578805</v>
      </c>
      <c r="I7" s="29">
        <f>SUM(F$3:F7)/H7</f>
        <v>1.8425066450212937</v>
      </c>
      <c r="J7" s="30">
        <f t="shared" si="4"/>
        <v>197079.76366276905</v>
      </c>
      <c r="K7" s="29">
        <f>IFERROR(SQRT(SUM(J$3:J7)/(COUNT(J$3:J7)-1)),"")</f>
        <v>351.07625410023638</v>
      </c>
      <c r="L7" s="3">
        <v>0.2</v>
      </c>
      <c r="M7" s="3">
        <v>535.15569294378122</v>
      </c>
      <c r="N7" s="3">
        <v>535.63744464342676</v>
      </c>
      <c r="O7" s="3">
        <v>536.08731976931813</v>
      </c>
      <c r="P7" s="3">
        <v>533.70413206458261</v>
      </c>
      <c r="Q7" s="3">
        <v>532.62367141195762</v>
      </c>
      <c r="R7" s="3">
        <v>531.10353796997686</v>
      </c>
      <c r="S7" s="3">
        <v>533.24287404987786</v>
      </c>
      <c r="T7" s="3">
        <v>541.94221086328184</v>
      </c>
      <c r="U7" s="3">
        <v>549.46128033252398</v>
      </c>
      <c r="V7" s="3">
        <v>556.6429050993919</v>
      </c>
    </row>
    <row r="8" spans="1:23" x14ac:dyDescent="0.2">
      <c r="A8" s="2">
        <f>[2]ArdiData!A8</f>
        <v>6</v>
      </c>
      <c r="B8" s="32">
        <v>1885.961866319813</v>
      </c>
      <c r="C8" s="3">
        <f t="shared" si="2"/>
        <v>1915.9728653014358</v>
      </c>
      <c r="D8" s="32">
        <f t="shared" si="3"/>
        <v>154.23163455099186</v>
      </c>
      <c r="E8" s="32">
        <f t="shared" si="5"/>
        <v>1923.4756150468413</v>
      </c>
      <c r="F8" s="31">
        <f t="shared" si="0"/>
        <v>-37.513748727028315</v>
      </c>
      <c r="G8" s="31">
        <f t="shared" si="1"/>
        <v>37.513748727028315</v>
      </c>
      <c r="H8" s="29">
        <f>SUM(G$3:G8)/COUNT(G$3:G8)</f>
        <v>222.00954428432809</v>
      </c>
      <c r="I8" s="29">
        <f>SUM(F$3:F8)/H8</f>
        <v>1.9797673976153696</v>
      </c>
      <c r="J8" s="30">
        <f t="shared" si="4"/>
        <v>5285.1678272197551</v>
      </c>
      <c r="K8" s="29">
        <f>IFERROR(SQRT(SUM(J$3:J8)/(COUNT(J$3:J8)-1)),"")</f>
        <v>315.69077040655935</v>
      </c>
      <c r="L8" s="3">
        <v>0.30000000000000004</v>
      </c>
      <c r="M8" s="3">
        <v>543.09520094814889</v>
      </c>
      <c r="N8" s="3">
        <v>545.62183608204646</v>
      </c>
      <c r="O8" s="3">
        <v>544.97823929704634</v>
      </c>
      <c r="P8" s="3">
        <v>544.51515839904062</v>
      </c>
      <c r="Q8" s="3">
        <v>549.41713333705309</v>
      </c>
      <c r="R8" s="3">
        <v>556.07135002363407</v>
      </c>
      <c r="S8" s="3">
        <v>563.47059380355847</v>
      </c>
      <c r="T8" s="3">
        <v>570.83209042353212</v>
      </c>
      <c r="U8" s="3">
        <v>577.72406314779971</v>
      </c>
      <c r="V8" s="3">
        <v>586.8231899195498</v>
      </c>
    </row>
    <row r="9" spans="1:23" x14ac:dyDescent="0.2">
      <c r="A9" s="2">
        <f>[2]ArdiData!A9</f>
        <v>7</v>
      </c>
      <c r="B9" s="32">
        <v>1911.083953307721</v>
      </c>
      <c r="C9" s="3">
        <f t="shared" si="2"/>
        <v>2038.3803905434861</v>
      </c>
      <c r="D9" s="32">
        <f t="shared" si="3"/>
        <v>135.1371689656269</v>
      </c>
      <c r="E9" s="32">
        <f t="shared" si="5"/>
        <v>2070.2044998524275</v>
      </c>
      <c r="F9" s="31">
        <f t="shared" si="0"/>
        <v>-159.12054654470649</v>
      </c>
      <c r="G9" s="31">
        <f t="shared" si="1"/>
        <v>159.12054654470649</v>
      </c>
      <c r="H9" s="29">
        <f>SUM(G$3:G9)/COUNT(G$3:G9)</f>
        <v>213.02540175009645</v>
      </c>
      <c r="I9" s="29">
        <f>SUM(F$3:F9)/H9</f>
        <v>1.3163064539965124</v>
      </c>
      <c r="J9" s="30">
        <f t="shared" si="4"/>
        <v>37754.805143255406</v>
      </c>
      <c r="K9" s="29">
        <f>IFERROR(SQRT(SUM(J$3:J9)/(COUNT(J$3:J9)-1)),"")</f>
        <v>298.90302712381771</v>
      </c>
      <c r="L9" s="3">
        <v>0.4</v>
      </c>
      <c r="M9" s="3">
        <v>558.65323450126266</v>
      </c>
      <c r="N9" s="3">
        <v>561.80994985932932</v>
      </c>
      <c r="O9" s="3">
        <v>566.39400245287607</v>
      </c>
      <c r="P9" s="3">
        <v>574.24017901531715</v>
      </c>
      <c r="Q9" s="3">
        <v>583.58322170256224</v>
      </c>
      <c r="R9" s="3">
        <v>593.96115376378646</v>
      </c>
      <c r="S9" s="3">
        <v>605.19374642730793</v>
      </c>
      <c r="T9" s="3">
        <v>618.61964959320846</v>
      </c>
      <c r="U9" s="3">
        <v>632.57372870409756</v>
      </c>
      <c r="V9" s="3">
        <v>647.86278321228087</v>
      </c>
    </row>
    <row r="10" spans="1:23" x14ac:dyDescent="0.2">
      <c r="A10" s="2">
        <f>[2]ArdiData!A10</f>
        <v>8</v>
      </c>
      <c r="B10" s="32">
        <v>1960.2999710554132</v>
      </c>
      <c r="C10" s="3">
        <f t="shared" si="2"/>
        <v>2130.8740418183734</v>
      </c>
      <c r="D10" s="32">
        <f t="shared" si="3"/>
        <v>109.55105835118312</v>
      </c>
      <c r="E10" s="32">
        <f t="shared" si="5"/>
        <v>2173.5175595091132</v>
      </c>
      <c r="F10" s="31">
        <f t="shared" si="0"/>
        <v>-213.21758845370005</v>
      </c>
      <c r="G10" s="31">
        <f t="shared" si="1"/>
        <v>213.21758845370005</v>
      </c>
      <c r="H10" s="29">
        <f>SUM(G$3:G10)/COUNT(G$3:G10)</f>
        <v>213.04942508804689</v>
      </c>
      <c r="I10" s="29">
        <f>SUM(F$3:F10)/H10</f>
        <v>0.31536871177842701</v>
      </c>
      <c r="J10" s="30">
        <f t="shared" si="4"/>
        <v>61704.050145124907</v>
      </c>
      <c r="K10" s="29">
        <f>IFERROR(SQRT(SUM(J$3:J10)/(COUNT(J$3:J10)-1)),"")</f>
        <v>292.22353671897309</v>
      </c>
      <c r="L10" s="3">
        <v>0.5</v>
      </c>
      <c r="M10" s="3">
        <v>576.55067189184354</v>
      </c>
      <c r="N10" s="3">
        <v>586.0674872107021</v>
      </c>
      <c r="O10" s="3">
        <v>596.85938025614735</v>
      </c>
      <c r="P10" s="3">
        <v>608.2452342687925</v>
      </c>
      <c r="Q10" s="3">
        <v>620.72862081241715</v>
      </c>
      <c r="R10" s="3">
        <v>635.09103246630514</v>
      </c>
      <c r="S10" s="3">
        <v>651.5719152751476</v>
      </c>
      <c r="T10" s="3">
        <v>669.62214036505179</v>
      </c>
      <c r="U10" s="3">
        <v>688.40864449179242</v>
      </c>
      <c r="V10" s="3">
        <v>708.23622249462221</v>
      </c>
    </row>
    <row r="11" spans="1:23" x14ac:dyDescent="0.2">
      <c r="A11" s="2">
        <f>[2]ArdiData!A11</f>
        <v>9</v>
      </c>
      <c r="B11" s="32">
        <v>2414.1948755502854</v>
      </c>
      <c r="C11" s="3">
        <f t="shared" si="2"/>
        <v>2275.1790552457023</v>
      </c>
      <c r="D11" s="32">
        <f t="shared" si="3"/>
        <v>130.40343139687062</v>
      </c>
      <c r="E11" s="32">
        <f t="shared" si="5"/>
        <v>2240.4251001695566</v>
      </c>
      <c r="F11" s="31">
        <f t="shared" si="0"/>
        <v>173.76977538072879</v>
      </c>
      <c r="G11" s="31">
        <f t="shared" si="1"/>
        <v>173.76977538072879</v>
      </c>
      <c r="H11" s="29">
        <f>SUM(G$3:G11)/COUNT(G$3:G11)</f>
        <v>208.68501956501154</v>
      </c>
      <c r="I11" s="29">
        <f>SUM(F$3:F11)/H11</f>
        <v>1.154653547332442</v>
      </c>
      <c r="J11" s="30">
        <f t="shared" si="4"/>
        <v>19205.62604660961</v>
      </c>
      <c r="K11" s="29">
        <f>IFERROR(SQRT(SUM(J$3:J11)/(COUNT(J$3:J11)-1)),"")</f>
        <v>277.70663341339741</v>
      </c>
      <c r="L11" s="3">
        <v>0.6</v>
      </c>
      <c r="M11" s="3">
        <v>601.73197640472779</v>
      </c>
      <c r="N11" s="3">
        <v>614.84635274585492</v>
      </c>
      <c r="O11" s="3">
        <v>628.31857477873086</v>
      </c>
      <c r="P11" s="3">
        <v>642.82976163555941</v>
      </c>
      <c r="Q11" s="3">
        <v>659.76414955285907</v>
      </c>
      <c r="R11" s="3">
        <v>679.16767281188152</v>
      </c>
      <c r="S11" s="3">
        <v>699.23514903440298</v>
      </c>
      <c r="T11" s="3">
        <v>721.0320633738794</v>
      </c>
      <c r="U11" s="3">
        <v>742.36474365074605</v>
      </c>
      <c r="V11" s="3">
        <v>764.10211058155289</v>
      </c>
    </row>
    <row r="12" spans="1:23" x14ac:dyDescent="0.2">
      <c r="A12" s="2">
        <f>[2]ArdiData!A12</f>
        <v>10</v>
      </c>
      <c r="B12" s="32">
        <v>2386.0381627363281</v>
      </c>
      <c r="C12" s="3">
        <f t="shared" si="2"/>
        <v>2401.6736218613241</v>
      </c>
      <c r="D12" s="32">
        <f t="shared" si="3"/>
        <v>128.05811252812134</v>
      </c>
      <c r="E12" s="32">
        <f t="shared" si="5"/>
        <v>2405.5824866425728</v>
      </c>
      <c r="F12" s="31">
        <f t="shared" si="0"/>
        <v>-19.544323906244699</v>
      </c>
      <c r="G12" s="31">
        <f t="shared" si="1"/>
        <v>19.544323906244699</v>
      </c>
      <c r="H12" s="29">
        <f>SUM(G$3:G12)/COUNT(G$3:G12)</f>
        <v>189.77094999913487</v>
      </c>
      <c r="I12" s="29">
        <f>SUM(F$3:F12)/H12</f>
        <v>1.1667464077649679</v>
      </c>
      <c r="J12" s="30">
        <f t="shared" si="4"/>
        <v>2995.3438845668798</v>
      </c>
      <c r="K12" s="29">
        <f>IFERROR(SQRT(SUM(J$3:J12)/(COUNT(J$3:J12)-1)),"")</f>
        <v>262.45912651496627</v>
      </c>
      <c r="L12" s="3">
        <v>0.70000000000000007</v>
      </c>
      <c r="M12" s="3">
        <v>629.21065005831656</v>
      </c>
      <c r="N12" s="3">
        <v>645.23942906193179</v>
      </c>
      <c r="O12" s="3">
        <v>662.06986612527737</v>
      </c>
      <c r="P12" s="3">
        <v>682.13002543960101</v>
      </c>
      <c r="Q12" s="3">
        <v>703.25444925722513</v>
      </c>
      <c r="R12" s="3">
        <v>725.10164777129341</v>
      </c>
      <c r="S12" s="3">
        <v>750.16699692829604</v>
      </c>
      <c r="T12" s="3">
        <v>776.09783501641016</v>
      </c>
      <c r="U12" s="3">
        <v>804.37302654616258</v>
      </c>
      <c r="V12" s="3">
        <v>834.03562631551154</v>
      </c>
    </row>
    <row r="13" spans="1:23" x14ac:dyDescent="0.2">
      <c r="A13" s="2">
        <f>[2]ArdiData!A13</f>
        <v>11</v>
      </c>
      <c r="B13" s="32">
        <v>2360.0321962860157</v>
      </c>
      <c r="C13" s="3">
        <f t="shared" si="2"/>
        <v>2495.7918267687596</v>
      </c>
      <c r="D13" s="32">
        <f t="shared" si="3"/>
        <v>107.69416795570982</v>
      </c>
      <c r="E13" s="32">
        <f t="shared" si="5"/>
        <v>2529.7317343894456</v>
      </c>
      <c r="F13" s="31">
        <f t="shared" si="0"/>
        <v>-169.69953810342986</v>
      </c>
      <c r="G13" s="31">
        <f t="shared" si="1"/>
        <v>169.69953810342986</v>
      </c>
      <c r="H13" s="29">
        <f>SUM(G$3:G13)/COUNT(G$3:G13)</f>
        <v>187.94627619043439</v>
      </c>
      <c r="I13" s="29">
        <f>SUM(F$3:F13)/H13</f>
        <v>0.27515860997323727</v>
      </c>
      <c r="J13" s="30">
        <f t="shared" si="4"/>
        <v>41977.842375325854</v>
      </c>
      <c r="K13" s="29">
        <f>IFERROR(SQRT(SUM(J$3:J13)/(COUNT(J$3:J13)-1)),"")</f>
        <v>257.28213700028175</v>
      </c>
      <c r="L13" s="3">
        <v>0.8</v>
      </c>
      <c r="M13" s="3">
        <v>657.22070075513284</v>
      </c>
      <c r="N13" s="3">
        <v>677.30213188567222</v>
      </c>
      <c r="O13" s="3">
        <v>699.77016737001111</v>
      </c>
      <c r="P13" s="3">
        <v>724.34744382008569</v>
      </c>
      <c r="Q13" s="3">
        <v>752.88874728465203</v>
      </c>
      <c r="R13" s="3">
        <v>784.01669165379928</v>
      </c>
      <c r="S13" s="3">
        <v>817.63404752825033</v>
      </c>
      <c r="T13" s="3">
        <v>851.71631870952831</v>
      </c>
      <c r="U13" s="3">
        <v>887.16067665322407</v>
      </c>
      <c r="V13" s="3">
        <v>926.44086714731009</v>
      </c>
    </row>
    <row r="14" spans="1:23" x14ac:dyDescent="0.2">
      <c r="A14" s="2">
        <f>[2]ArdiData!A14</f>
        <v>12</v>
      </c>
      <c r="B14" s="32">
        <v>2374.8996096579372</v>
      </c>
      <c r="C14" s="3">
        <f t="shared" si="2"/>
        <v>2557.7687177111629</v>
      </c>
      <c r="D14" s="32">
        <f t="shared" si="3"/>
        <v>80.263801747725921</v>
      </c>
      <c r="E14" s="32">
        <f t="shared" si="5"/>
        <v>2603.4859947244695</v>
      </c>
      <c r="F14" s="31">
        <f t="shared" si="0"/>
        <v>-228.58638506653233</v>
      </c>
      <c r="G14" s="31">
        <f t="shared" si="1"/>
        <v>228.58638506653233</v>
      </c>
      <c r="H14" s="29">
        <f>SUM(G$3:G14)/COUNT(G$3:G14)</f>
        <v>191.3329519301092</v>
      </c>
      <c r="I14" s="29">
        <f>SUM(F$3:F14)/H14</f>
        <v>-0.92441655854938398</v>
      </c>
      <c r="J14" s="30">
        <f t="shared" si="4"/>
        <v>69575.560408160207</v>
      </c>
      <c r="K14" s="29">
        <f>IFERROR(SQRT(SUM(J$3:J14)/(COUNT(J$3:J14)-1)),"")</f>
        <v>257.87885468012752</v>
      </c>
      <c r="L14" s="3">
        <v>0.9</v>
      </c>
      <c r="M14" s="3">
        <v>688.27366312579159</v>
      </c>
      <c r="N14" s="3">
        <v>714.65553931523834</v>
      </c>
      <c r="O14" s="3">
        <v>746.76679981640541</v>
      </c>
      <c r="P14" s="3">
        <v>781.31220782335936</v>
      </c>
      <c r="Q14" s="3">
        <v>817.45584925983178</v>
      </c>
      <c r="R14" s="3">
        <v>855.1985553280017</v>
      </c>
      <c r="S14" s="3">
        <v>894.45500789409198</v>
      </c>
      <c r="T14" s="3">
        <v>939.69424893750829</v>
      </c>
      <c r="U14" s="3">
        <v>990.03272839589806</v>
      </c>
      <c r="V14" s="3">
        <v>1045.1650423681208</v>
      </c>
    </row>
    <row r="15" spans="1:23" x14ac:dyDescent="0.2">
      <c r="A15" s="2">
        <f>[2]ArdiData!A15</f>
        <v>13</v>
      </c>
      <c r="B15" s="32">
        <v>2837.1005129516102</v>
      </c>
      <c r="C15" s="3">
        <f t="shared" si="2"/>
        <v>2677.8461181574335</v>
      </c>
      <c r="D15" s="32">
        <f t="shared" si="3"/>
        <v>104.1519609668527</v>
      </c>
      <c r="E15" s="32">
        <f t="shared" si="5"/>
        <v>2638.0325194588891</v>
      </c>
      <c r="F15" s="31">
        <f t="shared" si="0"/>
        <v>199.06799349272114</v>
      </c>
      <c r="G15" s="31">
        <f t="shared" si="1"/>
        <v>199.06799349272114</v>
      </c>
      <c r="H15" s="29">
        <f>SUM(G$3:G15)/COUNT(G$3:G15)</f>
        <v>191.92795512723322</v>
      </c>
      <c r="I15" s="29">
        <f>SUM(F$3:F15)/H15</f>
        <v>0.11565091973016774</v>
      </c>
      <c r="J15" s="30">
        <f t="shared" si="4"/>
        <v>26857.500839515669</v>
      </c>
      <c r="K15" s="29">
        <f>IFERROR(SQRT(SUM(J$3:J15)/(COUNT(J$3:J15)-1)),"")</f>
        <v>251.39179936273337</v>
      </c>
      <c r="L15" s="3">
        <v>1</v>
      </c>
      <c r="M15" s="3">
        <v>728.37752944351848</v>
      </c>
      <c r="N15" s="3">
        <v>764.97352990488082</v>
      </c>
      <c r="O15" s="3">
        <v>805.59056595203356</v>
      </c>
      <c r="P15" s="3">
        <v>847.83472916472874</v>
      </c>
      <c r="Q15" s="3">
        <v>892.17262672272159</v>
      </c>
      <c r="R15" s="3">
        <v>938.57956207566258</v>
      </c>
      <c r="S15" s="3">
        <v>991.14745212991727</v>
      </c>
      <c r="T15" s="3">
        <v>1048.7980679170007</v>
      </c>
      <c r="U15" s="3">
        <v>1118.0491855627984</v>
      </c>
      <c r="V15" s="3">
        <v>1196.3574179536706</v>
      </c>
    </row>
    <row r="16" spans="1:23" x14ac:dyDescent="0.2">
      <c r="A16" s="2">
        <f>[2]ArdiData!A16</f>
        <v>14</v>
      </c>
      <c r="B16" s="32">
        <v>2930.8445360245173</v>
      </c>
      <c r="C16" s="3">
        <f t="shared" si="2"/>
        <v>2811.7673705043326</v>
      </c>
      <c r="D16" s="32">
        <f t="shared" si="3"/>
        <v>122.01353579488055</v>
      </c>
      <c r="E16" s="32">
        <f t="shared" si="5"/>
        <v>2781.9980791242861</v>
      </c>
      <c r="F16" s="31">
        <f t="shared" si="0"/>
        <v>148.84645690023126</v>
      </c>
      <c r="G16" s="31">
        <f t="shared" si="1"/>
        <v>148.84645690023126</v>
      </c>
      <c r="H16" s="29">
        <f>SUM(G$3:G16)/COUNT(G$3:G16)</f>
        <v>188.85070525387593</v>
      </c>
      <c r="I16" s="29">
        <f>SUM(F$3:F16)/H16</f>
        <v>0.90570538882917773</v>
      </c>
      <c r="J16" s="30">
        <f t="shared" si="4"/>
        <v>12918.833351688992</v>
      </c>
      <c r="K16" s="29">
        <f>IFERROR(SQRT(SUM(J$3:J16)/(COUNT(J$3:J16)-1)),"")</f>
        <v>243.57795700345213</v>
      </c>
      <c r="W16" s="3">
        <f>MIN(M6:V15)</f>
        <v>531.10353796997686</v>
      </c>
    </row>
    <row r="17" spans="1:11" x14ac:dyDescent="0.2">
      <c r="A17" s="2">
        <f>[2]ArdiData!A17</f>
        <v>15</v>
      </c>
      <c r="B17" s="32">
        <v>2610.1441965075874</v>
      </c>
      <c r="C17" s="3">
        <f t="shared" si="2"/>
        <v>2869.0535643408884</v>
      </c>
      <c r="D17" s="32">
        <f t="shared" si="3"/>
        <v>83.177130619885745</v>
      </c>
      <c r="E17" s="32">
        <f t="shared" si="5"/>
        <v>2933.7809062992133</v>
      </c>
      <c r="F17" s="31">
        <f t="shared" si="0"/>
        <v>-323.63670979162589</v>
      </c>
      <c r="G17" s="31">
        <f t="shared" si="1"/>
        <v>323.63670979162589</v>
      </c>
      <c r="H17" s="29">
        <f>SUM(G$3:G17)/COUNT(G$3:G17)</f>
        <v>197.83643888972591</v>
      </c>
      <c r="I17" s="29">
        <f>SUM(F$3:F17)/H17</f>
        <v>-0.77131194442928419</v>
      </c>
      <c r="J17" s="30">
        <f t="shared" si="4"/>
        <v>128753.31438027737</v>
      </c>
      <c r="K17" s="29">
        <f>IFERROR(SQRT(SUM(J$3:J17)/(COUNT(J$3:J17)-1)),"")</f>
        <v>253.55278249789669</v>
      </c>
    </row>
    <row r="18" spans="1:11" x14ac:dyDescent="0.2">
      <c r="A18" s="2">
        <f>[2]ArdiData!A18</f>
        <v>16</v>
      </c>
      <c r="B18" s="32">
        <v>3135.2317628620631</v>
      </c>
      <c r="C18" s="3">
        <f t="shared" si="2"/>
        <v>2988.8309085410319</v>
      </c>
      <c r="D18" s="32">
        <f t="shared" si="3"/>
        <v>105.1372587680404</v>
      </c>
      <c r="E18" s="32">
        <f t="shared" si="5"/>
        <v>2952.2306949607741</v>
      </c>
      <c r="F18" s="31">
        <f t="shared" si="0"/>
        <v>183.00106790128893</v>
      </c>
      <c r="G18" s="31">
        <f t="shared" si="1"/>
        <v>183.00106790128893</v>
      </c>
      <c r="H18" s="29">
        <f>SUM(G$3:G18)/COUNT(G$3:G18)</f>
        <v>196.90922820294861</v>
      </c>
      <c r="I18" s="29">
        <f>SUM(F$3:F18)/H18</f>
        <v>0.15442374041987056</v>
      </c>
      <c r="J18" s="30">
        <f t="shared" si="4"/>
        <v>21849.468420678731</v>
      </c>
      <c r="K18" s="29">
        <f>IFERROR(SQRT(SUM(J$3:J18)/(COUNT(J$3:J18)-1)),"")</f>
        <v>247.91069058495489</v>
      </c>
    </row>
    <row r="19" spans="1:11" x14ac:dyDescent="0.2">
      <c r="A19" s="2">
        <f>[2]ArdiData!A19</f>
        <v>17</v>
      </c>
      <c r="B19" s="32">
        <v>2997.405744195491</v>
      </c>
      <c r="C19" s="3">
        <f t="shared" si="2"/>
        <v>3074.6556826863562</v>
      </c>
      <c r="D19" s="32">
        <f t="shared" si="3"/>
        <v>93.549767994410701</v>
      </c>
      <c r="E19" s="32">
        <f t="shared" si="5"/>
        <v>3093.9681673090722</v>
      </c>
      <c r="F19" s="31">
        <f t="shared" si="0"/>
        <v>-96.56242311358119</v>
      </c>
      <c r="G19" s="31">
        <f t="shared" si="1"/>
        <v>96.56242311358119</v>
      </c>
      <c r="H19" s="29">
        <f>SUM(G$3:G19)/COUNT(G$3:G19)</f>
        <v>191.00647496239759</v>
      </c>
      <c r="I19" s="29">
        <f>SUM(F$3:F19)/H19</f>
        <v>-0.34634932446303496</v>
      </c>
      <c r="J19" s="30">
        <f t="shared" si="4"/>
        <v>17357.491797613467</v>
      </c>
      <c r="K19" s="29">
        <f>IFERROR(SQRT(SUM(J$3:J19)/(COUNT(J$3:J19)-1)),"")</f>
        <v>242.28768403906906</v>
      </c>
    </row>
    <row r="20" spans="1:11" x14ac:dyDescent="0.2">
      <c r="A20" s="2">
        <f>[2]ArdiData!A20</f>
        <v>18</v>
      </c>
      <c r="B20" s="32">
        <v>2897.6453125752814</v>
      </c>
      <c r="C20" s="3">
        <f t="shared" si="2"/>
        <v>3114.0934230596699</v>
      </c>
      <c r="D20" s="32">
        <f t="shared" si="3"/>
        <v>61.082551421752541</v>
      </c>
      <c r="E20" s="32">
        <f t="shared" si="5"/>
        <v>3168.2054506807667</v>
      </c>
      <c r="F20" s="31">
        <f t="shared" si="0"/>
        <v>-270.56013810548529</v>
      </c>
      <c r="G20" s="31">
        <f t="shared" si="1"/>
        <v>270.56013810548529</v>
      </c>
      <c r="H20" s="29">
        <f>SUM(G$3:G20)/COUNT(G$3:G20)</f>
        <v>195.42612291479134</v>
      </c>
      <c r="I20" s="29">
        <f>SUM(F$3:F20)/H20</f>
        <v>-1.7229789787294201</v>
      </c>
      <c r="J20" s="30">
        <f t="shared" si="4"/>
        <v>93480.34080708299</v>
      </c>
      <c r="K20" s="29">
        <f>IFERROR(SQRT(SUM(J$3:J20)/(COUNT(J$3:J20)-1)),"")</f>
        <v>246.47318076264403</v>
      </c>
    </row>
    <row r="21" spans="1:11" x14ac:dyDescent="0.2">
      <c r="A21" s="2">
        <f>[2]ArdiData!A21</f>
        <v>19</v>
      </c>
      <c r="B21" s="32">
        <v>2451.4955445656897</v>
      </c>
      <c r="C21" s="3">
        <f t="shared" si="2"/>
        <v>3030.4398884982761</v>
      </c>
      <c r="D21" s="32">
        <f t="shared" si="3"/>
        <v>-25.759100168135276</v>
      </c>
      <c r="E21" s="32">
        <f t="shared" si="5"/>
        <v>3175.1759744814226</v>
      </c>
      <c r="F21" s="31">
        <f t="shared" si="0"/>
        <v>-723.68042991573293</v>
      </c>
      <c r="G21" s="31">
        <f t="shared" si="1"/>
        <v>723.68042991573293</v>
      </c>
      <c r="H21" s="29">
        <f>SUM(G$3:G21)/COUNT(G$3:G21)</f>
        <v>223.2289811779988</v>
      </c>
      <c r="I21" s="29">
        <f>SUM(F$3:F21)/H21</f>
        <v>-4.7502592449990608</v>
      </c>
      <c r="J21" s="30">
        <f t="shared" si="4"/>
        <v>575877.3645317466</v>
      </c>
      <c r="K21" s="29">
        <f>IFERROR(SQRT(SUM(J$3:J21)/(COUNT(J$3:J21)-1)),"")</f>
        <v>298.94358950692072</v>
      </c>
    </row>
    <row r="22" spans="1:11" x14ac:dyDescent="0.2">
      <c r="A22" s="2">
        <f>[2]ArdiData!A22</f>
        <v>20</v>
      </c>
      <c r="B22" s="32">
        <v>3606.7892415047718</v>
      </c>
      <c r="C22" s="3">
        <f t="shared" si="2"/>
        <v>3125.1024789650673</v>
      </c>
      <c r="D22" s="32">
        <f t="shared" si="3"/>
        <v>46.493914212820627</v>
      </c>
      <c r="E22" s="32">
        <f t="shared" si="5"/>
        <v>3004.6807883301408</v>
      </c>
      <c r="F22" s="31">
        <f t="shared" si="0"/>
        <v>602.10845317463099</v>
      </c>
      <c r="G22" s="31">
        <f t="shared" si="1"/>
        <v>602.10845317463099</v>
      </c>
      <c r="H22" s="29">
        <f>SUM(G$3:G22)/COUNT(G$3:G22)</f>
        <v>242.1729547778304</v>
      </c>
      <c r="I22" s="29">
        <f>SUM(F$3:F22)/H22</f>
        <v>-1.8923957831637808</v>
      </c>
      <c r="J22" s="30">
        <f t="shared" si="4"/>
        <v>321401.73573135288</v>
      </c>
      <c r="K22" s="29">
        <f>IFERROR(SQRT(SUM(J$3:J22)/(COUNT(J$3:J22)-1)),"")</f>
        <v>318.71556288380185</v>
      </c>
    </row>
    <row r="23" spans="1:11" x14ac:dyDescent="0.2">
      <c r="A23" s="2">
        <f>[2]ArdiData!A23</f>
        <v>21</v>
      </c>
      <c r="B23" s="32">
        <v>3329.4002934339937</v>
      </c>
      <c r="C23" s="3">
        <f t="shared" si="2"/>
        <v>3203.157173229109</v>
      </c>
      <c r="D23" s="32">
        <f t="shared" si="3"/>
        <v>65.430382243553268</v>
      </c>
      <c r="E23" s="32">
        <f t="shared" si="5"/>
        <v>3171.5963931778879</v>
      </c>
      <c r="F23" s="31">
        <f t="shared" si="0"/>
        <v>157.80390025610586</v>
      </c>
      <c r="G23" s="31">
        <f t="shared" si="1"/>
        <v>157.80390025610586</v>
      </c>
      <c r="H23" s="29">
        <f>SUM(G$3:G23)/COUNT(G$3:G23)</f>
        <v>238.15538075298642</v>
      </c>
      <c r="I23" s="29">
        <f>SUM(F$3:F23)/H23</f>
        <v>-1.2617106412281023</v>
      </c>
      <c r="J23" s="30">
        <f t="shared" si="4"/>
        <v>15035.293903732731</v>
      </c>
      <c r="K23" s="29">
        <f>IFERROR(SQRT(SUM(J$3:J23)/(COUNT(J$3:J23)-1)),"")</f>
        <v>311.85316130882552</v>
      </c>
    </row>
    <row r="24" spans="1:11" x14ac:dyDescent="0.2">
      <c r="A24" s="2">
        <f>[2]ArdiData!A24</f>
        <v>22</v>
      </c>
      <c r="B24" s="32">
        <v>3271.7372704254626</v>
      </c>
      <c r="C24" s="3">
        <f t="shared" si="2"/>
        <v>3269.2174984632225</v>
      </c>
      <c r="D24" s="32">
        <f t="shared" si="3"/>
        <v>65.808348037889346</v>
      </c>
      <c r="E24" s="32">
        <f t="shared" si="5"/>
        <v>3268.5875554726622</v>
      </c>
      <c r="F24" s="31">
        <f t="shared" si="0"/>
        <v>3.1497149528004229</v>
      </c>
      <c r="G24" s="31">
        <f t="shared" si="1"/>
        <v>3.1497149528004229</v>
      </c>
      <c r="H24" s="29">
        <f>SUM(G$3:G24)/COUNT(G$3:G24)</f>
        <v>227.47330503479614</v>
      </c>
      <c r="I24" s="29">
        <f>SUM(F$3:F24)/H24</f>
        <v>-1.3071136552198528</v>
      </c>
      <c r="J24" s="30">
        <f t="shared" si="4"/>
        <v>1026.2858221996787</v>
      </c>
      <c r="K24" s="29">
        <f>IFERROR(SQRT(SUM(J$3:J24)/(COUNT(J$3:J24)-1)),"")</f>
        <v>304.41780266666143</v>
      </c>
    </row>
    <row r="25" spans="1:11" x14ac:dyDescent="0.2">
      <c r="A25" s="2">
        <f>[2]ArdiData!A25</f>
        <v>23</v>
      </c>
      <c r="B25" s="32">
        <v>3370.7908457036756</v>
      </c>
      <c r="C25" s="3">
        <f t="shared" si="2"/>
        <v>3342.1788463416246</v>
      </c>
      <c r="D25" s="32">
        <f t="shared" si="3"/>
        <v>70.100147942197054</v>
      </c>
      <c r="E25" s="32">
        <f t="shared" si="5"/>
        <v>3335.025846501112</v>
      </c>
      <c r="F25" s="31">
        <f t="shared" si="0"/>
        <v>35.764999202563558</v>
      </c>
      <c r="G25" s="31">
        <f t="shared" si="1"/>
        <v>35.764999202563558</v>
      </c>
      <c r="H25" s="29">
        <f>SUM(G$3:G25)/COUNT(G$3:G25)</f>
        <v>219.13816130295993</v>
      </c>
      <c r="I25" s="29">
        <f>SUM(F$3:F25)/H25</f>
        <v>-1.1936235224899476</v>
      </c>
      <c r="J25" s="30">
        <f t="shared" si="4"/>
        <v>0.3359224669813996</v>
      </c>
      <c r="K25" s="29">
        <f>IFERROR(SQRT(SUM(J$3:J25)/(COUNT(J$3:J25)-1)),"")</f>
        <v>297.4187823523373</v>
      </c>
    </row>
    <row r="26" spans="1:11" x14ac:dyDescent="0.2">
      <c r="A26" s="2">
        <f>[2]ArdiData!A26</f>
        <v>24</v>
      </c>
      <c r="B26" s="32">
        <v>3326.6171341495628</v>
      </c>
      <c r="C26" s="3">
        <f t="shared" si="2"/>
        <v>3395.1466222569702</v>
      </c>
      <c r="D26" s="32">
        <f t="shared" si="3"/>
        <v>59.820724726086155</v>
      </c>
      <c r="E26" s="32">
        <f t="shared" si="5"/>
        <v>3412.2789942838217</v>
      </c>
      <c r="F26" s="31">
        <f t="shared" si="0"/>
        <v>-85.661860134258859</v>
      </c>
      <c r="G26" s="31">
        <f t="shared" si="1"/>
        <v>85.661860134258859</v>
      </c>
      <c r="H26" s="29">
        <f>SUM(G$3:G26)/COUNT(G$3:G26)</f>
        <v>213.57664875426406</v>
      </c>
      <c r="I26" s="29">
        <f>SUM(F$3:F26)/H26</f>
        <v>-1.6257878666322869</v>
      </c>
      <c r="J26" s="30">
        <f t="shared" si="4"/>
        <v>14604.0629442604</v>
      </c>
      <c r="K26" s="29">
        <f>IFERROR(SQRT(SUM(J$3:J26)/(COUNT(J$3:J26)-1)),"")</f>
        <v>291.97070796013634</v>
      </c>
    </row>
    <row r="27" spans="1:11" x14ac:dyDescent="0.2">
      <c r="A27" s="2">
        <f>[2]ArdiData!A27</f>
        <v>25</v>
      </c>
      <c r="B27" s="32">
        <v>3919.3323507327541</v>
      </c>
      <c r="C27" s="3">
        <f t="shared" si="2"/>
        <v>3547.8403477329962</v>
      </c>
      <c r="D27" s="32">
        <f t="shared" si="3"/>
        <v>115.54452517605006</v>
      </c>
      <c r="E27" s="32">
        <f t="shared" si="5"/>
        <v>3454.9673469830564</v>
      </c>
      <c r="F27" s="31">
        <f t="shared" si="0"/>
        <v>464.36500374969773</v>
      </c>
      <c r="G27" s="31">
        <f t="shared" si="1"/>
        <v>464.36500374969773</v>
      </c>
      <c r="H27" s="29">
        <f>SUM(G$3:G27)/COUNT(G$3:G27)</f>
        <v>223.60818295408143</v>
      </c>
      <c r="I27" s="29">
        <f>SUM(F$3:F27)/H27</f>
        <v>0.52383896716822487</v>
      </c>
      <c r="J27" s="30">
        <f t="shared" si="4"/>
        <v>184195.1228197864</v>
      </c>
      <c r="K27" s="29">
        <f>IFERROR(SQRT(SUM(J$3:J27)/(COUNT(J$3:J27)-1)),"")</f>
        <v>298.94771643458552</v>
      </c>
    </row>
    <row r="28" spans="1:11" x14ac:dyDescent="0.2">
      <c r="A28" s="2">
        <f>[2]ArdiData!A28</f>
        <v>26</v>
      </c>
      <c r="B28" s="32">
        <v>3932.7496928280202</v>
      </c>
      <c r="C28" s="3">
        <f t="shared" si="2"/>
        <v>3717.2578368928412</v>
      </c>
      <c r="D28" s="32">
        <f t="shared" si="3"/>
        <v>147.86830356632703</v>
      </c>
      <c r="E28" s="32">
        <f t="shared" si="5"/>
        <v>3663.3848729090464</v>
      </c>
      <c r="F28" s="31">
        <f t="shared" si="0"/>
        <v>269.36481991897381</v>
      </c>
      <c r="G28" s="31">
        <f t="shared" si="1"/>
        <v>269.36481991897381</v>
      </c>
      <c r="H28" s="29">
        <f>SUM(G$3:G28)/COUNT(G$3:G28)</f>
        <v>225.36805360657729</v>
      </c>
      <c r="I28" s="29">
        <f>SUM(F$3:F28)/H28</f>
        <v>1.7149702157995805</v>
      </c>
      <c r="J28" s="30">
        <f t="shared" si="4"/>
        <v>54839.995554541114</v>
      </c>
      <c r="K28" s="29">
        <f>IFERROR(SQRT(SUM(J$3:J28)/(COUNT(J$3:J28)-1)),"")</f>
        <v>296.6286356661758</v>
      </c>
    </row>
    <row r="29" spans="1:11" x14ac:dyDescent="0.2">
      <c r="A29" s="2">
        <f>[2]ArdiData!A29</f>
        <v>27</v>
      </c>
      <c r="B29" s="32">
        <v>3271.4587202821313</v>
      </c>
      <c r="C29" s="3">
        <f t="shared" si="2"/>
        <v>3746.3926564237609</v>
      </c>
      <c r="D29" s="32">
        <f t="shared" si="3"/>
        <v>76.628213145082626</v>
      </c>
      <c r="E29" s="32">
        <f t="shared" si="5"/>
        <v>3865.1261404591683</v>
      </c>
      <c r="F29" s="31">
        <f t="shared" si="0"/>
        <v>-593.667420177037</v>
      </c>
      <c r="G29" s="31">
        <f t="shared" si="1"/>
        <v>593.667420177037</v>
      </c>
      <c r="H29" s="29">
        <f>SUM(G$3:G29)/COUNT(G$3:G29)</f>
        <v>239.00877088696467</v>
      </c>
      <c r="I29" s="29">
        <f>SUM(F$3:F29)/H29</f>
        <v>-0.86677957415634099</v>
      </c>
      <c r="J29" s="30">
        <f t="shared" si="4"/>
        <v>395455.88329843793</v>
      </c>
      <c r="K29" s="29">
        <f>IFERROR(SQRT(SUM(J$3:J29)/(COUNT(J$3:J29)-1)),"")</f>
        <v>315.93387640258499</v>
      </c>
    </row>
    <row r="30" spans="1:11" x14ac:dyDescent="0.2">
      <c r="A30" s="2">
        <f>[2]ArdiData!A30</f>
        <v>28</v>
      </c>
      <c r="B30" s="32">
        <v>4226.8800578487453</v>
      </c>
      <c r="C30" s="3">
        <f t="shared" si="2"/>
        <v>3903.792707224824</v>
      </c>
      <c r="D30" s="32">
        <f t="shared" si="3"/>
        <v>125.09131573867093</v>
      </c>
      <c r="E30" s="32">
        <f t="shared" si="5"/>
        <v>3823.0208695688434</v>
      </c>
      <c r="F30" s="31">
        <f t="shared" si="0"/>
        <v>403.8591882799019</v>
      </c>
      <c r="G30" s="31">
        <f t="shared" si="1"/>
        <v>403.8591882799019</v>
      </c>
      <c r="H30" s="29">
        <f>SUM(G$3:G30)/COUNT(G$3:G30)</f>
        <v>244.89628579385527</v>
      </c>
      <c r="I30" s="29">
        <f>SUM(F$3:F30)/H30</f>
        <v>0.80316149750199028</v>
      </c>
      <c r="J30" s="30">
        <f t="shared" si="4"/>
        <v>135920.35404265486</v>
      </c>
      <c r="K30" s="29">
        <f>IFERROR(SQRT(SUM(J$3:J30)/(COUNT(J$3:J30)-1)),"")</f>
        <v>318.0432025609166</v>
      </c>
    </row>
    <row r="31" spans="1:11" x14ac:dyDescent="0.2">
      <c r="A31" s="2">
        <f>[2]ArdiData!A31</f>
        <v>29</v>
      </c>
      <c r="B31" s="32">
        <v>3676.4065496322846</v>
      </c>
      <c r="C31" s="3">
        <f t="shared" si="2"/>
        <v>3958.3885282972533</v>
      </c>
      <c r="D31" s="32">
        <f t="shared" si="3"/>
        <v>82.794018938925973</v>
      </c>
      <c r="E31" s="32">
        <f t="shared" si="5"/>
        <v>4028.8840229634948</v>
      </c>
      <c r="F31" s="31">
        <f t="shared" si="0"/>
        <v>-352.47747333121015</v>
      </c>
      <c r="G31" s="31">
        <f t="shared" si="1"/>
        <v>352.47747333121015</v>
      </c>
      <c r="H31" s="29">
        <f>SUM(G$3:G31)/COUNT(G$3:G31)</f>
        <v>248.60598191583304</v>
      </c>
      <c r="I31" s="29">
        <f>SUM(F$3:F31)/H31</f>
        <v>-0.62663900723468613</v>
      </c>
      <c r="J31" s="30">
        <f t="shared" si="4"/>
        <v>150282.51189974471</v>
      </c>
      <c r="K31" s="29">
        <f>IFERROR(SQRT(SUM(J$3:J31)/(COUNT(J$3:J31)-1)),"")</f>
        <v>320.78989767838584</v>
      </c>
    </row>
    <row r="32" spans="1:11" x14ac:dyDescent="0.2">
      <c r="A32" s="2">
        <f>[2]ArdiData!A32</f>
        <v>30</v>
      </c>
      <c r="B32" s="32">
        <v>3709.9538102697975</v>
      </c>
      <c r="C32" s="3">
        <f t="shared" si="2"/>
        <v>3974.9367998429034</v>
      </c>
      <c r="D32" s="32">
        <f t="shared" si="3"/>
        <v>43.046570502960449</v>
      </c>
      <c r="E32" s="32">
        <f t="shared" si="5"/>
        <v>4041.1825472361793</v>
      </c>
      <c r="F32" s="31">
        <f t="shared" si="0"/>
        <v>-331.2287369663818</v>
      </c>
      <c r="G32" s="31">
        <f t="shared" si="1"/>
        <v>331.2287369663818</v>
      </c>
      <c r="H32" s="29">
        <f>SUM(G$3:G32)/COUNT(G$3:G32)</f>
        <v>251.36007375085134</v>
      </c>
      <c r="I32" s="29">
        <f>SUM(F$3:F32)/H32</f>
        <v>-1.9375190952141987</v>
      </c>
      <c r="J32" s="30">
        <f t="shared" si="4"/>
        <v>134259.32784103689</v>
      </c>
      <c r="K32" s="29">
        <f>IFERROR(SQRT(SUM(J$3:J32)/(COUNT(J$3:J32)-1)),"")</f>
        <v>322.47062226585456</v>
      </c>
    </row>
    <row r="33" spans="1:11" x14ac:dyDescent="0.2">
      <c r="A33" s="2">
        <f>[2]ArdiData!A33</f>
        <v>31</v>
      </c>
      <c r="B33" s="32">
        <v>4309.3917506051803</v>
      </c>
      <c r="C33" s="3">
        <f t="shared" si="2"/>
        <v>4076.2650463977275</v>
      </c>
      <c r="D33" s="32">
        <f t="shared" si="3"/>
        <v>78.015576134078628</v>
      </c>
      <c r="E33" s="32">
        <f t="shared" si="5"/>
        <v>4017.9833703458639</v>
      </c>
      <c r="F33" s="31">
        <f t="shared" si="0"/>
        <v>291.40838025931635</v>
      </c>
      <c r="G33" s="31">
        <f t="shared" si="1"/>
        <v>291.40838025931635</v>
      </c>
      <c r="H33" s="29">
        <f>SUM(G$3:G33)/COUNT(G$3:G33)</f>
        <v>252.65195460596314</v>
      </c>
      <c r="I33" s="29">
        <f>SUM(F$3:F33)/H33</f>
        <v>-0.77421353304974849</v>
      </c>
      <c r="J33" s="30">
        <f t="shared" si="4"/>
        <v>65650.209968293508</v>
      </c>
      <c r="K33" s="29">
        <f>IFERROR(SQRT(SUM(J$3:J33)/(COUNT(J$3:J33)-1)),"")</f>
        <v>320.48307154874755</v>
      </c>
    </row>
    <row r="34" spans="1:11" x14ac:dyDescent="0.2">
      <c r="A34" s="2">
        <f>[2]ArdiData!A34</f>
        <v>32</v>
      </c>
      <c r="B34" s="32">
        <v>3396.6468613345064</v>
      </c>
      <c r="C34" s="3">
        <f t="shared" si="2"/>
        <v>4002.7538702923466</v>
      </c>
      <c r="D34" s="32">
        <f t="shared" si="3"/>
        <v>-12.900475209597058</v>
      </c>
      <c r="E34" s="32">
        <f t="shared" si="5"/>
        <v>4154.2806225318063</v>
      </c>
      <c r="F34" s="31">
        <f t="shared" si="0"/>
        <v>-757.63376119729992</v>
      </c>
      <c r="G34" s="31">
        <f t="shared" si="1"/>
        <v>757.63376119729992</v>
      </c>
      <c r="H34" s="29">
        <f>SUM(G$3:G34)/COUNT(G$3:G34)</f>
        <v>268.43263606194239</v>
      </c>
      <c r="I34" s="29">
        <f>SUM(F$3:F34)/H34</f>
        <v>-3.5511342346045494</v>
      </c>
      <c r="J34" s="30">
        <f t="shared" si="4"/>
        <v>628562.23982764524</v>
      </c>
      <c r="K34" s="29">
        <f>IFERROR(SQRT(SUM(J$3:J34)/(COUNT(J$3:J34)-1)),"")</f>
        <v>345.93697982423157</v>
      </c>
    </row>
    <row r="35" spans="1:11" x14ac:dyDescent="0.2">
      <c r="A35" s="2">
        <f>[2]ArdiData!A35</f>
        <v>33</v>
      </c>
      <c r="B35" s="32">
        <v>3425.2650395092878</v>
      </c>
      <c r="C35" s="3">
        <f t="shared" si="2"/>
        <v>3876.9357239680576</v>
      </c>
      <c r="D35" s="32">
        <f t="shared" si="3"/>
        <v>-80.651077878412252</v>
      </c>
      <c r="E35" s="32">
        <f t="shared" ref="E35:E66" si="6">C34+D34</f>
        <v>3989.8533950827496</v>
      </c>
      <c r="F35" s="31">
        <f t="shared" ref="F35:F66" si="7">B35-E35</f>
        <v>-564.58835557346174</v>
      </c>
      <c r="G35" s="31">
        <f t="shared" ref="G35:G66" si="8">ABS(F35)</f>
        <v>564.58835557346174</v>
      </c>
      <c r="H35" s="29">
        <f>SUM(G$3:G35)/COUNT(G$3:G35)</f>
        <v>277.40705180471571</v>
      </c>
      <c r="I35" s="29">
        <f>SUM(F$3:F35)/H35</f>
        <v>-5.4714855635561284</v>
      </c>
      <c r="J35" s="30">
        <f t="shared" ref="J35:J66" si="9">(F35-$F$78)^2</f>
        <v>359728.5710878988</v>
      </c>
      <c r="K35" s="29">
        <f>IFERROR(SQRT(SUM(J$3:J35)/(COUNT(J$3:J35)-1)),"")</f>
        <v>356.61484762078811</v>
      </c>
    </row>
    <row r="36" spans="1:11" x14ac:dyDescent="0.2">
      <c r="A36" s="2">
        <f>[2]ArdiData!A36</f>
        <v>34</v>
      </c>
      <c r="B36" s="32">
        <v>3382.8091450329844</v>
      </c>
      <c r="C36" s="3">
        <f t="shared" si="2"/>
        <v>3713.5895458783134</v>
      </c>
      <c r="D36" s="32">
        <f t="shared" si="3"/>
        <v>-130.2681380052114</v>
      </c>
      <c r="E36" s="32">
        <f t="shared" si="6"/>
        <v>3796.2846460896453</v>
      </c>
      <c r="F36" s="31">
        <f t="shared" si="7"/>
        <v>-413.47550105666096</v>
      </c>
      <c r="G36" s="31">
        <f t="shared" si="8"/>
        <v>413.47550105666096</v>
      </c>
      <c r="H36" s="29">
        <f>SUM(G$3:G36)/COUNT(G$3:G36)</f>
        <v>281.40906501800822</v>
      </c>
      <c r="I36" s="29">
        <f>SUM(F$3:F36)/H36</f>
        <v>-6.8629778508067609</v>
      </c>
      <c r="J36" s="30">
        <f t="shared" si="9"/>
        <v>201296.61402111541</v>
      </c>
      <c r="K36" s="29">
        <f>IFERROR(SQRT(SUM(J$3:J36)/(COUNT(J$3:J36)-1)),"")</f>
        <v>359.75030900722714</v>
      </c>
    </row>
    <row r="37" spans="1:11" x14ac:dyDescent="0.2">
      <c r="A37" s="2">
        <f>[2]ArdiData!A37</f>
        <v>35</v>
      </c>
      <c r="B37" s="32">
        <v>3846.9349712677931</v>
      </c>
      <c r="C37" s="3">
        <f t="shared" si="2"/>
        <v>3636.0441205520401</v>
      </c>
      <c r="D37" s="32">
        <f t="shared" si="3"/>
        <v>-98.63451039784853</v>
      </c>
      <c r="E37" s="32">
        <f t="shared" si="6"/>
        <v>3583.3214078731021</v>
      </c>
      <c r="F37" s="31">
        <f t="shared" si="7"/>
        <v>263.61356339469103</v>
      </c>
      <c r="G37" s="31">
        <f t="shared" si="8"/>
        <v>263.61356339469103</v>
      </c>
      <c r="H37" s="29">
        <f>SUM(G$3:G37)/COUNT(G$3:G37)</f>
        <v>280.90062211448486</v>
      </c>
      <c r="I37" s="29">
        <f>SUM(F$3:F37)/H37</f>
        <v>-5.936941699475657</v>
      </c>
      <c r="J37" s="30">
        <f t="shared" si="9"/>
        <v>52179.420799527696</v>
      </c>
      <c r="K37" s="29">
        <f>IFERROR(SQRT(SUM(J$3:J37)/(COUNT(J$3:J37)-1)),"")</f>
        <v>356.57887586371226</v>
      </c>
    </row>
    <row r="38" spans="1:11" x14ac:dyDescent="0.2">
      <c r="A38" s="2">
        <f>[2]ArdiData!A38</f>
        <v>36</v>
      </c>
      <c r="B38" s="32">
        <v>4335.4663999878339</v>
      </c>
      <c r="C38" s="3">
        <f t="shared" si="2"/>
        <v>3697.0209681209203</v>
      </c>
      <c r="D38" s="32">
        <f t="shared" si="3"/>
        <v>-2.8676956178112931</v>
      </c>
      <c r="E38" s="32">
        <f t="shared" si="6"/>
        <v>3537.4096101541918</v>
      </c>
      <c r="F38" s="31">
        <f t="shared" si="7"/>
        <v>798.05678983364214</v>
      </c>
      <c r="G38" s="31">
        <f t="shared" si="8"/>
        <v>798.05678983364214</v>
      </c>
      <c r="H38" s="29">
        <f>SUM(G$3:G38)/COUNT(G$3:G38)</f>
        <v>295.26607121779477</v>
      </c>
      <c r="I38" s="29">
        <f>SUM(F$3:F38)/H38</f>
        <v>-2.9452548456372956</v>
      </c>
      <c r="J38" s="30">
        <f t="shared" si="9"/>
        <v>581972.74062041682</v>
      </c>
      <c r="K38" s="29">
        <f>IFERROR(SQRT(SUM(J$3:J38)/(COUNT(J$3:J38)-1)),"")</f>
        <v>374.35741366606908</v>
      </c>
    </row>
    <row r="39" spans="1:11" x14ac:dyDescent="0.2">
      <c r="A39" s="2">
        <f>[2]ArdiData!A39</f>
        <v>37</v>
      </c>
      <c r="B39" s="32">
        <v>3778.0879495342488</v>
      </c>
      <c r="C39" s="3">
        <f t="shared" si="2"/>
        <v>3710.940207909337</v>
      </c>
      <c r="D39" s="32">
        <f t="shared" si="3"/>
        <v>7.2044656259254971</v>
      </c>
      <c r="E39" s="32">
        <f t="shared" si="6"/>
        <v>3694.1532725031088</v>
      </c>
      <c r="F39" s="31">
        <f t="shared" si="7"/>
        <v>83.934677031139927</v>
      </c>
      <c r="G39" s="31">
        <f t="shared" si="8"/>
        <v>83.934677031139927</v>
      </c>
      <c r="H39" s="29">
        <f>SUM(G$3:G39)/COUNT(G$3:G39)</f>
        <v>289.55441191545276</v>
      </c>
      <c r="I39" s="29">
        <f>SUM(F$3:F39)/H39</f>
        <v>-2.7134766995184791</v>
      </c>
      <c r="J39" s="30">
        <f t="shared" si="9"/>
        <v>2376.4909370970831</v>
      </c>
      <c r="K39" s="29">
        <f>IFERROR(SQRT(SUM(J$3:J39)/(COUNT(J$3:J39)-1)),"")</f>
        <v>369.21079690233609</v>
      </c>
    </row>
    <row r="40" spans="1:11" x14ac:dyDescent="0.2">
      <c r="A40" s="2">
        <f>[2]ArdiData!A40</f>
        <v>38</v>
      </c>
      <c r="B40" s="32">
        <v>4091.3217573787838</v>
      </c>
      <c r="C40" s="3">
        <f t="shared" si="2"/>
        <v>3792.780090303967</v>
      </c>
      <c r="D40" s="32">
        <f t="shared" si="3"/>
        <v>51.985715687148179</v>
      </c>
      <c r="E40" s="32">
        <f t="shared" si="6"/>
        <v>3718.1446735352624</v>
      </c>
      <c r="F40" s="31">
        <f t="shared" si="7"/>
        <v>373.17708384352136</v>
      </c>
      <c r="G40" s="31">
        <f t="shared" si="8"/>
        <v>373.17708384352136</v>
      </c>
      <c r="H40" s="29">
        <f>SUM(G$3:G40)/COUNT(G$3:G40)</f>
        <v>291.75500854513876</v>
      </c>
      <c r="I40" s="29">
        <f>SUM(F$3:F40)/H40</f>
        <v>-1.413933108428582</v>
      </c>
      <c r="J40" s="30">
        <f t="shared" si="9"/>
        <v>114238.37090131622</v>
      </c>
      <c r="K40" s="29">
        <f>IFERROR(SQRT(SUM(J$3:J40)/(COUNT(J$3:J40)-1)),"")</f>
        <v>368.40182317074635</v>
      </c>
    </row>
    <row r="41" spans="1:11" x14ac:dyDescent="0.2">
      <c r="A41" s="2">
        <f>[2]ArdiData!A41</f>
        <v>39</v>
      </c>
      <c r="B41" s="32">
        <v>5031.5420497583082</v>
      </c>
      <c r="C41" s="3">
        <f t="shared" si="2"/>
        <v>4082.1210547445539</v>
      </c>
      <c r="D41" s="32">
        <f t="shared" si="3"/>
        <v>194.39886493921145</v>
      </c>
      <c r="E41" s="32">
        <f t="shared" si="6"/>
        <v>3844.765805991115</v>
      </c>
      <c r="F41" s="31">
        <f t="shared" si="7"/>
        <v>1186.7762437671931</v>
      </c>
      <c r="G41" s="31">
        <f t="shared" si="8"/>
        <v>1186.7762437671931</v>
      </c>
      <c r="H41" s="29">
        <f>SUM(G$3:G41)/COUNT(G$3:G41)</f>
        <v>314.70427098672991</v>
      </c>
      <c r="I41" s="29">
        <f>SUM(F$3:F41)/H41</f>
        <v>2.4602595166813144</v>
      </c>
      <c r="J41" s="30">
        <f t="shared" si="9"/>
        <v>1326161.4460785284</v>
      </c>
      <c r="K41" s="29">
        <f>IFERROR(SQRT(SUM(J$3:J41)/(COUNT(J$3:J41)-1)),"")</f>
        <v>408.71421841625329</v>
      </c>
    </row>
    <row r="42" spans="1:11" x14ac:dyDescent="0.2">
      <c r="A42" s="2">
        <f>[2]ArdiData!A42</f>
        <v>40</v>
      </c>
      <c r="B42" s="32">
        <v>4204.3946084920954</v>
      </c>
      <c r="C42" s="3">
        <f t="shared" si="2"/>
        <v>4262.0948574454324</v>
      </c>
      <c r="D42" s="32">
        <f t="shared" si="3"/>
        <v>185.74382759621164</v>
      </c>
      <c r="E42" s="32">
        <f t="shared" si="6"/>
        <v>4276.5199196837657</v>
      </c>
      <c r="F42" s="31">
        <f t="shared" si="7"/>
        <v>-72.125311191670335</v>
      </c>
      <c r="G42" s="31">
        <f t="shared" si="8"/>
        <v>72.125311191670335</v>
      </c>
      <c r="H42" s="29">
        <f>SUM(G$3:G42)/COUNT(G$3:G42)</f>
        <v>308.63979699185342</v>
      </c>
      <c r="I42" s="29">
        <f>SUM(F$3:F42)/H42</f>
        <v>2.2749135830406861</v>
      </c>
      <c r="J42" s="30">
        <f t="shared" si="9"/>
        <v>11515.591100550831</v>
      </c>
      <c r="K42" s="29">
        <f>IFERROR(SQRT(SUM(J$3:J42)/(COUNT(J$3:J42)-1)),"")</f>
        <v>403.80604191050412</v>
      </c>
    </row>
    <row r="43" spans="1:11" x14ac:dyDescent="0.2">
      <c r="A43" s="2">
        <f>[2]ArdiData!A43</f>
        <v>41</v>
      </c>
      <c r="B43" s="32">
        <v>5586.0237690188087</v>
      </c>
      <c r="C43" s="3">
        <f t="shared" si="2"/>
        <v>4675.4757018370765</v>
      </c>
      <c r="D43" s="32">
        <f t="shared" si="3"/>
        <v>322.32603767347109</v>
      </c>
      <c r="E43" s="32">
        <f t="shared" si="6"/>
        <v>4447.8386850416437</v>
      </c>
      <c r="F43" s="31">
        <f t="shared" si="7"/>
        <v>1138.185083977165</v>
      </c>
      <c r="G43" s="31">
        <f t="shared" si="8"/>
        <v>1138.185083977165</v>
      </c>
      <c r="H43" s="29">
        <f>SUM(G$3:G43)/COUNT(G$3:G43)</f>
        <v>328.87260886954397</v>
      </c>
      <c r="I43" s="29">
        <f>SUM(F$3:F43)/H43</f>
        <v>5.5958261673013379</v>
      </c>
      <c r="J43" s="30">
        <f t="shared" si="9"/>
        <v>1216608.2785542971</v>
      </c>
      <c r="K43" s="29">
        <f>IFERROR(SQRT(SUM(J$3:J43)/(COUNT(J$3:J43)-1)),"")</f>
        <v>435.19885507684825</v>
      </c>
    </row>
    <row r="44" spans="1:11" x14ac:dyDescent="0.2">
      <c r="A44" s="2">
        <f>[2]ArdiData!A44</f>
        <v>42</v>
      </c>
      <c r="B44" s="32">
        <v>5777.5611763875086</v>
      </c>
      <c r="C44" s="3">
        <f t="shared" si="2"/>
        <v>5153.7536268859394</v>
      </c>
      <c r="D44" s="32">
        <f t="shared" si="3"/>
        <v>415.89717009870617</v>
      </c>
      <c r="E44" s="32">
        <f t="shared" si="6"/>
        <v>4997.8017395105471</v>
      </c>
      <c r="F44" s="31">
        <f t="shared" si="7"/>
        <v>779.75943687696144</v>
      </c>
      <c r="G44" s="31">
        <f t="shared" si="8"/>
        <v>779.75943687696144</v>
      </c>
      <c r="H44" s="29">
        <f>SUM(G$3:G44)/COUNT(G$3:G44)</f>
        <v>339.60800953638727</v>
      </c>
      <c r="I44" s="29">
        <f>SUM(F$3:F44)/H44</f>
        <v>7.7149929145504617</v>
      </c>
      <c r="J44" s="30">
        <f t="shared" si="9"/>
        <v>554390.47998805519</v>
      </c>
      <c r="K44" s="29">
        <f>IFERROR(SQRT(SUM(J$3:J44)/(COUNT(J$3:J44)-1)),"")</f>
        <v>445.30921617417647</v>
      </c>
    </row>
    <row r="45" spans="1:11" x14ac:dyDescent="0.2">
      <c r="A45" s="2">
        <f>[2]ArdiData!A45</f>
        <v>43</v>
      </c>
      <c r="B45" s="32">
        <v>5672.6454679130029</v>
      </c>
      <c r="C45" s="3">
        <f t="shared" si="2"/>
        <v>5590.2497311703173</v>
      </c>
      <c r="D45" s="32">
        <f t="shared" si="3"/>
        <v>428.25653061010917</v>
      </c>
      <c r="E45" s="32">
        <f t="shared" si="6"/>
        <v>5569.6507969846452</v>
      </c>
      <c r="F45" s="31">
        <f t="shared" si="7"/>
        <v>102.99467092835766</v>
      </c>
      <c r="G45" s="31">
        <f t="shared" si="8"/>
        <v>102.99467092835766</v>
      </c>
      <c r="H45" s="29">
        <f>SUM(G$3:G45)/COUNT(G$3:G45)</f>
        <v>334.10537375480516</v>
      </c>
      <c r="I45" s="29">
        <f>SUM(F$3:F45)/H45</f>
        <v>8.1503270289348571</v>
      </c>
      <c r="J45" s="30">
        <f t="shared" si="9"/>
        <v>4598.0957299760239</v>
      </c>
      <c r="K45" s="29">
        <f>IFERROR(SQRT(SUM(J$3:J45)/(COUNT(J$3:J45)-1)),"")</f>
        <v>440.10037583774471</v>
      </c>
    </row>
    <row r="46" spans="1:11" x14ac:dyDescent="0.2">
      <c r="A46" s="2">
        <f>[2]ArdiData!A46</f>
        <v>44</v>
      </c>
      <c r="B46" s="32">
        <v>4442.4749424361789</v>
      </c>
      <c r="C46" s="3">
        <f t="shared" si="2"/>
        <v>5703.2999979115775</v>
      </c>
      <c r="D46" s="32">
        <f t="shared" si="3"/>
        <v>239.1327722887998</v>
      </c>
      <c r="E46" s="32">
        <f t="shared" si="6"/>
        <v>6018.5062617804269</v>
      </c>
      <c r="F46" s="31">
        <f t="shared" si="7"/>
        <v>-1576.031319344248</v>
      </c>
      <c r="G46" s="31">
        <f t="shared" si="8"/>
        <v>1576.031319344248</v>
      </c>
      <c r="H46" s="29">
        <f>SUM(G$3:G46)/COUNT(G$3:G46)</f>
        <v>362.33096342729255</v>
      </c>
      <c r="I46" s="29">
        <f>SUM(F$3:F46)/H46</f>
        <v>3.1657154774521339</v>
      </c>
      <c r="J46" s="30">
        <f t="shared" si="9"/>
        <v>2596019.3521900512</v>
      </c>
      <c r="K46" s="29">
        <f>IFERROR(SQRT(SUM(J$3:J46)/(COUNT(J$3:J46)-1)),"")</f>
        <v>499.55630700434108</v>
      </c>
    </row>
    <row r="47" spans="1:11" x14ac:dyDescent="0.2">
      <c r="A47" s="2">
        <f>[2]ArdiData!A47</f>
        <v>45</v>
      </c>
      <c r="B47" s="32">
        <v>6116.4376324786244</v>
      </c>
      <c r="C47" s="3">
        <f t="shared" si="2"/>
        <v>5977.2337426560271</v>
      </c>
      <c r="D47" s="32">
        <f t="shared" si="3"/>
        <v>260.01335576218963</v>
      </c>
      <c r="E47" s="32">
        <f t="shared" si="6"/>
        <v>5942.4327702003775</v>
      </c>
      <c r="F47" s="31">
        <f t="shared" si="7"/>
        <v>174.00486227824695</v>
      </c>
      <c r="G47" s="31">
        <f t="shared" si="8"/>
        <v>174.00486227824695</v>
      </c>
      <c r="H47" s="29">
        <f>SUM(G$3:G47)/COUNT(G$3:G47)</f>
        <v>358.14593895731372</v>
      </c>
      <c r="I47" s="29">
        <f>SUM(F$3:F47)/H47</f>
        <v>3.6885566956480855</v>
      </c>
      <c r="J47" s="30">
        <f t="shared" si="9"/>
        <v>19270.84004898545</v>
      </c>
      <c r="K47" s="29">
        <f>IFERROR(SQRT(SUM(J$3:J47)/(COUNT(J$3:J47)-1)),"")</f>
        <v>494.29013623682994</v>
      </c>
    </row>
    <row r="48" spans="1:11" x14ac:dyDescent="0.2">
      <c r="A48" s="2">
        <f>[2]ArdiData!A48</f>
        <v>46</v>
      </c>
      <c r="B48" s="32">
        <v>4831.7623955679137</v>
      </c>
      <c r="C48" s="3">
        <f t="shared" si="2"/>
        <v>5956.1501578481566</v>
      </c>
      <c r="D48" s="32">
        <f t="shared" si="3"/>
        <v>91.355191420153574</v>
      </c>
      <c r="E48" s="32">
        <f t="shared" si="6"/>
        <v>6237.2470984182164</v>
      </c>
      <c r="F48" s="31">
        <f t="shared" si="7"/>
        <v>-1405.4847028503027</v>
      </c>
      <c r="G48" s="31">
        <f t="shared" si="8"/>
        <v>1405.4847028503027</v>
      </c>
      <c r="H48" s="29">
        <f>SUM(G$3:G48)/COUNT(G$3:G48)</f>
        <v>380.91417295498735</v>
      </c>
      <c r="I48" s="29">
        <f>SUM(F$3:F48)/H48</f>
        <v>-0.22168537609156186</v>
      </c>
      <c r="J48" s="30">
        <f t="shared" si="9"/>
        <v>2075530.3769851164</v>
      </c>
      <c r="K48" s="29">
        <f>IFERROR(SQRT(SUM(J$3:J48)/(COUNT(J$3:J48)-1)),"")</f>
        <v>533.86912427319294</v>
      </c>
    </row>
    <row r="49" spans="1:11" x14ac:dyDescent="0.2">
      <c r="A49" s="2">
        <f>[2]ArdiData!A49</f>
        <v>47</v>
      </c>
      <c r="B49" s="32">
        <v>6206.0910692130574</v>
      </c>
      <c r="C49" s="3">
        <f t="shared" si="2"/>
        <v>6079.2224932572599</v>
      </c>
      <c r="D49" s="32">
        <f t="shared" si="3"/>
        <v>110.38547781352341</v>
      </c>
      <c r="E49" s="32">
        <f t="shared" si="6"/>
        <v>6047.5053492683101</v>
      </c>
      <c r="F49" s="31">
        <f t="shared" si="7"/>
        <v>158.58571994474732</v>
      </c>
      <c r="G49" s="31">
        <f t="shared" si="8"/>
        <v>158.58571994474732</v>
      </c>
      <c r="H49" s="29">
        <f>SUM(G$3:G49)/COUNT(G$3:G49)</f>
        <v>376.18378033774826</v>
      </c>
      <c r="I49" s="29">
        <f>SUM(F$3:F49)/H49</f>
        <v>0.19709148062696222</v>
      </c>
      <c r="J49" s="30">
        <f t="shared" si="9"/>
        <v>15227.636243918369</v>
      </c>
      <c r="K49" s="29">
        <f>IFERROR(SQRT(SUM(J$3:J49)/(COUNT(J$3:J49)-1)),"")</f>
        <v>528.34768113912344</v>
      </c>
    </row>
    <row r="50" spans="1:11" x14ac:dyDescent="0.2">
      <c r="A50" s="2">
        <f>[2]ArdiData!A50</f>
        <v>48</v>
      </c>
      <c r="B50" s="32">
        <v>5086.0787376555791</v>
      </c>
      <c r="C50" s="3">
        <f t="shared" si="2"/>
        <v>5968.9021243877432</v>
      </c>
      <c r="D50" s="32">
        <f t="shared" si="3"/>
        <v>-22.03803019630061</v>
      </c>
      <c r="E50" s="32">
        <f t="shared" si="6"/>
        <v>6189.6079710707836</v>
      </c>
      <c r="F50" s="31">
        <f t="shared" si="7"/>
        <v>-1103.5292334152045</v>
      </c>
      <c r="G50" s="31">
        <f t="shared" si="8"/>
        <v>1103.5292334152045</v>
      </c>
      <c r="H50" s="29">
        <f>SUM(G$3:G50)/COUNT(G$3:G50)</f>
        <v>391.33681061019524</v>
      </c>
      <c r="I50" s="29">
        <f>SUM(F$3:F50)/H50</f>
        <v>-2.630436461000206</v>
      </c>
      <c r="J50" s="30">
        <f t="shared" si="9"/>
        <v>1296671.0414401644</v>
      </c>
      <c r="K50" s="29">
        <f>IFERROR(SQRT(SUM(J$3:J50)/(COUNT(J$3:J50)-1)),"")</f>
        <v>548.45294142540206</v>
      </c>
    </row>
    <row r="51" spans="1:11" x14ac:dyDescent="0.2">
      <c r="A51" s="2">
        <f>[2]ArdiData!A51</f>
        <v>49</v>
      </c>
      <c r="B51" s="32">
        <v>5256.5559094460787</v>
      </c>
      <c r="C51" s="3">
        <f t="shared" si="2"/>
        <v>5808.8024572423701</v>
      </c>
      <c r="D51" s="32">
        <f t="shared" si="3"/>
        <v>-104.87501236574413</v>
      </c>
      <c r="E51" s="32">
        <f t="shared" si="6"/>
        <v>5946.8640941914427</v>
      </c>
      <c r="F51" s="31">
        <f t="shared" si="7"/>
        <v>-690.30818474536409</v>
      </c>
      <c r="G51" s="31">
        <f t="shared" si="8"/>
        <v>690.30818474536409</v>
      </c>
      <c r="H51" s="29">
        <f>SUM(G$3:G51)/COUNT(G$3:G51)</f>
        <v>397.43826722519873</v>
      </c>
      <c r="I51" s="29">
        <f>SUM(F$3:F51)/H51</f>
        <v>-4.3269482123912608</v>
      </c>
      <c r="J51" s="30">
        <f t="shared" si="9"/>
        <v>526340.95748953021</v>
      </c>
      <c r="K51" s="29">
        <f>IFERROR(SQRT(SUM(J$3:J51)/(COUNT(J$3:J51)-1)),"")</f>
        <v>552.71998860415636</v>
      </c>
    </row>
    <row r="52" spans="1:11" x14ac:dyDescent="0.2">
      <c r="A52" s="2">
        <f>[2]ArdiData!A52</f>
        <v>50</v>
      </c>
      <c r="B52" s="32">
        <v>5988.37014518462</v>
      </c>
      <c r="C52" s="3">
        <f t="shared" si="2"/>
        <v>5760.8159849382255</v>
      </c>
      <c r="D52" s="32">
        <f t="shared" si="3"/>
        <v>-70.741888328784427</v>
      </c>
      <c r="E52" s="32">
        <f t="shared" si="6"/>
        <v>5703.9274448766264</v>
      </c>
      <c r="F52" s="31">
        <f t="shared" si="7"/>
        <v>284.44270030799362</v>
      </c>
      <c r="G52" s="31">
        <f t="shared" si="8"/>
        <v>284.44270030799362</v>
      </c>
      <c r="H52" s="29">
        <f>SUM(G$3:G52)/COUNT(G$3:G52)</f>
        <v>395.1783558868546</v>
      </c>
      <c r="I52" s="29">
        <f>SUM(F$3:F52)/H52</f>
        <v>-3.6319096889225739</v>
      </c>
      <c r="J52" s="30">
        <f t="shared" si="9"/>
        <v>62129.196265612925</v>
      </c>
      <c r="K52" s="29">
        <f>IFERROR(SQRT(SUM(J$3:J52)/(COUNT(J$3:J52)-1)),"")</f>
        <v>548.20858005014838</v>
      </c>
    </row>
    <row r="53" spans="1:11" x14ac:dyDescent="0.2">
      <c r="A53" s="2">
        <f>[2]ArdiData!A53</f>
        <v>51</v>
      </c>
      <c r="B53" s="32">
        <v>6526.7676661512296</v>
      </c>
      <c r="C53" s="3">
        <f t="shared" si="2"/>
        <v>5857.4128105177988</v>
      </c>
      <c r="D53" s="32">
        <f t="shared" si="3"/>
        <v>29.661340016230206</v>
      </c>
      <c r="E53" s="32">
        <f t="shared" si="6"/>
        <v>5690.0740966094409</v>
      </c>
      <c r="F53" s="31">
        <f t="shared" si="7"/>
        <v>836.69356954178875</v>
      </c>
      <c r="G53" s="31">
        <f t="shared" si="8"/>
        <v>836.69356954178875</v>
      </c>
      <c r="H53" s="29">
        <f>SUM(G$3:G53)/COUNT(G$3:G53)</f>
        <v>403.83551693891218</v>
      </c>
      <c r="I53" s="29">
        <f>SUM(F$3:F53)/H53</f>
        <v>-1.4821839708237325</v>
      </c>
      <c r="J53" s="30">
        <f t="shared" si="9"/>
        <v>642415.32818475238</v>
      </c>
      <c r="K53" s="29">
        <f>IFERROR(SQRT(SUM(J$3:J53)/(COUNT(J$3:J53)-1)),"")</f>
        <v>554.40986720970511</v>
      </c>
    </row>
    <row r="54" spans="1:11" x14ac:dyDescent="0.2">
      <c r="A54" s="2">
        <f>[2]ArdiData!A54</f>
        <v>52</v>
      </c>
      <c r="B54" s="32">
        <v>5794.3331193675949</v>
      </c>
      <c r="C54" s="3">
        <f t="shared" si="2"/>
        <v>5868.5259443007435</v>
      </c>
      <c r="D54" s="32">
        <f t="shared" si="3"/>
        <v>18.53241627625891</v>
      </c>
      <c r="E54" s="32">
        <f t="shared" si="6"/>
        <v>5887.0741505340293</v>
      </c>
      <c r="F54" s="31">
        <f t="shared" si="7"/>
        <v>-92.741031166434368</v>
      </c>
      <c r="G54" s="31">
        <f t="shared" si="8"/>
        <v>92.741031166434368</v>
      </c>
      <c r="H54" s="29">
        <f>SUM(G$3:G54)/COUNT(G$3:G54)</f>
        <v>397.85293067405684</v>
      </c>
      <c r="I54" s="29">
        <f>SUM(F$3:F54)/H54</f>
        <v>-1.7375756414597252</v>
      </c>
      <c r="J54" s="30">
        <f t="shared" si="9"/>
        <v>16365.174609239999</v>
      </c>
      <c r="K54" s="29">
        <f>IFERROR(SQRT(SUM(J$3:J54)/(COUNT(J$3:J54)-1)),"")</f>
        <v>549.2397636659523</v>
      </c>
    </row>
    <row r="55" spans="1:11" x14ac:dyDescent="0.2">
      <c r="A55" s="2">
        <f>[2]ArdiData!A55</f>
        <v>53</v>
      </c>
      <c r="B55" s="32">
        <v>5545.614554778329</v>
      </c>
      <c r="C55" s="3">
        <f t="shared" si="2"/>
        <v>5818.7695994172682</v>
      </c>
      <c r="D55" s="32">
        <f t="shared" si="3"/>
        <v>-22.440840419581626</v>
      </c>
      <c r="E55" s="32">
        <f t="shared" si="6"/>
        <v>5887.0583605770025</v>
      </c>
      <c r="F55" s="31">
        <f t="shared" si="7"/>
        <v>-341.44380579867357</v>
      </c>
      <c r="G55" s="31">
        <f t="shared" si="8"/>
        <v>341.44380579867357</v>
      </c>
      <c r="H55" s="29">
        <f>SUM(G$3:G55)/COUNT(G$3:G55)</f>
        <v>396.78860756320057</v>
      </c>
      <c r="I55" s="29">
        <f>SUM(F$3:F55)/H55</f>
        <v>-2.602754583514054</v>
      </c>
      <c r="J55" s="30">
        <f t="shared" si="9"/>
        <v>141849.56695779925</v>
      </c>
      <c r="K55" s="29">
        <f>IFERROR(SQRT(SUM(J$3:J55)/(COUNT(J$3:J55)-1)),"")</f>
        <v>546.43476957000348</v>
      </c>
    </row>
    <row r="56" spans="1:11" x14ac:dyDescent="0.2">
      <c r="A56" s="2">
        <f>[2]ArdiData!A56</f>
        <v>54</v>
      </c>
      <c r="B56" s="32">
        <v>6272.3581433243171</v>
      </c>
      <c r="C56" s="3">
        <f t="shared" si="2"/>
        <v>5891.5346358630131</v>
      </c>
      <c r="D56" s="32">
        <f t="shared" si="3"/>
        <v>34.682685699614325</v>
      </c>
      <c r="E56" s="32">
        <f t="shared" si="6"/>
        <v>5796.3287589976862</v>
      </c>
      <c r="F56" s="31">
        <f t="shared" si="7"/>
        <v>476.02938432663086</v>
      </c>
      <c r="G56" s="31">
        <f t="shared" si="8"/>
        <v>476.02938432663086</v>
      </c>
      <c r="H56" s="29">
        <f>SUM(G$3:G56)/COUNT(G$3:G56)</f>
        <v>398.25602935511591</v>
      </c>
      <c r="I56" s="29">
        <f>SUM(F$3:F56)/H56</f>
        <v>-1.3978796092456376</v>
      </c>
      <c r="J56" s="30">
        <f t="shared" si="9"/>
        <v>194343.40880504763</v>
      </c>
      <c r="K56" s="29">
        <f>IFERROR(SQRT(SUM(J$3:J56)/(COUNT(J$3:J56)-1)),"")</f>
        <v>544.63200651078773</v>
      </c>
    </row>
    <row r="57" spans="1:11" x14ac:dyDescent="0.2">
      <c r="A57" s="2">
        <f>[2]ArdiData!A57</f>
        <v>55</v>
      </c>
      <c r="B57" s="32">
        <v>5129.4309137141636</v>
      </c>
      <c r="C57" s="3">
        <f t="shared" si="2"/>
        <v>5766.8600399929346</v>
      </c>
      <c r="D57" s="32">
        <f t="shared" si="3"/>
        <v>-60.93168324220138</v>
      </c>
      <c r="E57" s="32">
        <f t="shared" si="6"/>
        <v>5926.2173215626271</v>
      </c>
      <c r="F57" s="31">
        <f t="shared" si="7"/>
        <v>-796.78640784846357</v>
      </c>
      <c r="G57" s="31">
        <f t="shared" si="8"/>
        <v>796.78640784846357</v>
      </c>
      <c r="H57" s="29">
        <f>SUM(G$3:G57)/COUNT(G$3:G57)</f>
        <v>405.50203623681313</v>
      </c>
      <c r="I57" s="29">
        <f>SUM(F$3:F57)/H57</f>
        <v>-3.3378387026216267</v>
      </c>
      <c r="J57" s="30">
        <f t="shared" si="9"/>
        <v>692177.10738324083</v>
      </c>
      <c r="K57" s="29">
        <f>IFERROR(SQRT(SUM(J$3:J57)/(COUNT(J$3:J57)-1)),"")</f>
        <v>551.31577126283844</v>
      </c>
    </row>
    <row r="58" spans="1:11" x14ac:dyDescent="0.2">
      <c r="A58" s="2">
        <f>[2]ArdiData!A58</f>
        <v>56</v>
      </c>
      <c r="B58" s="32">
        <v>5666.7623903768372</v>
      </c>
      <c r="C58" s="3">
        <f t="shared" si="2"/>
        <v>5698.0951634759549</v>
      </c>
      <c r="D58" s="32">
        <f t="shared" si="3"/>
        <v>-65.631599207068376</v>
      </c>
      <c r="E58" s="32">
        <f t="shared" si="6"/>
        <v>5705.9283567507337</v>
      </c>
      <c r="F58" s="31">
        <f t="shared" si="7"/>
        <v>-39.165966373896481</v>
      </c>
      <c r="G58" s="31">
        <f t="shared" si="8"/>
        <v>39.165966373896481</v>
      </c>
      <c r="H58" s="29">
        <f>SUM(G$3:G58)/COUNT(G$3:G58)</f>
        <v>398.96032070354676</v>
      </c>
      <c r="I58" s="29">
        <f>SUM(F$3:F58)/H58</f>
        <v>-3.4907390150005657</v>
      </c>
      <c r="J58" s="30">
        <f t="shared" si="9"/>
        <v>5528.1273196494303</v>
      </c>
      <c r="K58" s="29">
        <f>IFERROR(SQRT(SUM(J$3:J58)/(COUNT(J$3:J58)-1)),"")</f>
        <v>546.37280692430852</v>
      </c>
    </row>
    <row r="59" spans="1:11" x14ac:dyDescent="0.2">
      <c r="A59" s="2">
        <f>[2]ArdiData!A59</f>
        <v>57</v>
      </c>
      <c r="B59" s="32">
        <v>6383.3602430207802</v>
      </c>
      <c r="C59" s="3">
        <f t="shared" si="2"/>
        <v>5782.6429000192647</v>
      </c>
      <c r="D59" s="32">
        <f t="shared" si="3"/>
        <v>24.476002243158554</v>
      </c>
      <c r="E59" s="32">
        <f t="shared" si="6"/>
        <v>5632.4635642688863</v>
      </c>
      <c r="F59" s="31">
        <f t="shared" si="7"/>
        <v>750.89667875189389</v>
      </c>
      <c r="G59" s="31">
        <f t="shared" si="8"/>
        <v>750.89667875189389</v>
      </c>
      <c r="H59" s="29">
        <f>SUM(G$3:G59)/COUNT(G$3:G59)</f>
        <v>405.13464277457041</v>
      </c>
      <c r="I59" s="29">
        <f>SUM(F$3:F59)/H59</f>
        <v>-1.5840898565719927</v>
      </c>
      <c r="J59" s="30">
        <f t="shared" si="9"/>
        <v>512242.61876532721</v>
      </c>
      <c r="K59" s="29">
        <f>IFERROR(SQRT(SUM(J$3:J59)/(COUNT(J$3:J59)-1)),"")</f>
        <v>549.85421845272583</v>
      </c>
    </row>
    <row r="60" spans="1:11" x14ac:dyDescent="0.2">
      <c r="A60" s="2">
        <f>[2]ArdiData!A60</f>
        <v>58</v>
      </c>
      <c r="B60" s="32">
        <v>6421.0416971132518</v>
      </c>
      <c r="C60" s="3">
        <f t="shared" si="2"/>
        <v>5929.9034612325886</v>
      </c>
      <c r="D60" s="32">
        <f t="shared" si="3"/>
        <v>98.146737625257728</v>
      </c>
      <c r="E60" s="32">
        <f t="shared" si="6"/>
        <v>5807.118902262423</v>
      </c>
      <c r="F60" s="31">
        <f t="shared" si="7"/>
        <v>613.92279485082872</v>
      </c>
      <c r="G60" s="31">
        <f t="shared" si="8"/>
        <v>613.92279485082872</v>
      </c>
      <c r="H60" s="29">
        <f>SUM(G$3:G60)/COUNT(G$3:G60)</f>
        <v>408.73443850002315</v>
      </c>
      <c r="I60" s="29">
        <f>SUM(F$3:F60)/H60</f>
        <v>-6.8129525411361885E-2</v>
      </c>
      <c r="J60" s="30">
        <f t="shared" si="9"/>
        <v>334936.95944895776</v>
      </c>
      <c r="K60" s="29">
        <f>IFERROR(SQRT(SUM(J$3:J60)/(COUNT(J$3:J60)-1)),"")</f>
        <v>550.3740037188652</v>
      </c>
    </row>
    <row r="61" spans="1:11" x14ac:dyDescent="0.2">
      <c r="A61" s="2">
        <f>[2]ArdiData!A61</f>
        <v>59</v>
      </c>
      <c r="B61" s="32">
        <v>6732.3029027761122</v>
      </c>
      <c r="C61" s="3">
        <f t="shared" si="2"/>
        <v>6168.9007396415</v>
      </c>
      <c r="D61" s="32">
        <f t="shared" si="3"/>
        <v>182.6570620954499</v>
      </c>
      <c r="E61" s="32">
        <f t="shared" si="6"/>
        <v>6028.0501988578462</v>
      </c>
      <c r="F61" s="31">
        <f t="shared" si="7"/>
        <v>704.25270391826598</v>
      </c>
      <c r="G61" s="31">
        <f t="shared" si="8"/>
        <v>704.25270391826598</v>
      </c>
      <c r="H61" s="29">
        <f>SUM(G$3:G61)/COUNT(G$3:G61)</f>
        <v>413.74322265965441</v>
      </c>
      <c r="I61" s="29">
        <f>SUM(F$3:F61)/H61</f>
        <v>1.6348444725108937</v>
      </c>
      <c r="J61" s="30">
        <f t="shared" si="9"/>
        <v>447651.04243269475</v>
      </c>
      <c r="K61" s="29">
        <f>IFERROR(SQRT(SUM(J$3:J61)/(COUNT(J$3:J61)-1)),"")</f>
        <v>552.63645605743909</v>
      </c>
    </row>
    <row r="62" spans="1:11" x14ac:dyDescent="0.2">
      <c r="A62" s="2">
        <f>[2]ArdiData!A62</f>
        <v>60</v>
      </c>
      <c r="B62" s="32">
        <v>5383.813648815224</v>
      </c>
      <c r="C62" s="3">
        <f t="shared" si="2"/>
        <v>6158.0089711526052</v>
      </c>
      <c r="D62" s="32">
        <f t="shared" si="3"/>
        <v>66.527763744843114</v>
      </c>
      <c r="E62" s="32">
        <f t="shared" si="6"/>
        <v>6351.5578017369498</v>
      </c>
      <c r="F62" s="31">
        <f t="shared" si="7"/>
        <v>-967.7441529217258</v>
      </c>
      <c r="G62" s="31">
        <f t="shared" si="8"/>
        <v>967.7441529217258</v>
      </c>
      <c r="H62" s="29">
        <f>SUM(G$3:G62)/COUNT(G$3:G62)</f>
        <v>422.97657149735556</v>
      </c>
      <c r="I62" s="29">
        <f>SUM(F$3:F62)/H62</f>
        <v>-0.68878125161021431</v>
      </c>
      <c r="J62" s="30">
        <f t="shared" si="9"/>
        <v>1005867.7102186256</v>
      </c>
      <c r="K62" s="29">
        <f>IFERROR(SQRT(SUM(J$3:J62)/(COUNT(J$3:J62)-1)),"")</f>
        <v>563.27548064890027</v>
      </c>
    </row>
    <row r="63" spans="1:11" x14ac:dyDescent="0.2">
      <c r="A63" s="2">
        <f>[2]ArdiData!A63</f>
        <v>61</v>
      </c>
      <c r="B63" s="32">
        <v>6306.029263075081</v>
      </c>
      <c r="C63" s="3">
        <f t="shared" si="2"/>
        <v>6240.8352405329751</v>
      </c>
      <c r="D63" s="32">
        <f t="shared" si="3"/>
        <v>76.306867126159204</v>
      </c>
      <c r="E63" s="32">
        <f t="shared" si="6"/>
        <v>6224.5367348974487</v>
      </c>
      <c r="F63" s="31">
        <f t="shared" si="7"/>
        <v>81.492528177632266</v>
      </c>
      <c r="G63" s="31">
        <f t="shared" si="8"/>
        <v>81.492528177632266</v>
      </c>
      <c r="H63" s="29">
        <f>SUM(G$3:G63)/COUNT(G$3:G63)</f>
        <v>417.37847242654038</v>
      </c>
      <c r="I63" s="29">
        <f>SUM(F$3:F63)/H63</f>
        <v>-0.50277102918154692</v>
      </c>
      <c r="J63" s="30">
        <f t="shared" si="9"/>
        <v>2144.3490998992256</v>
      </c>
      <c r="K63" s="29">
        <f>IFERROR(SQRT(SUM(J$3:J63)/(COUNT(J$3:J63)-1)),"")</f>
        <v>558.59378663471591</v>
      </c>
    </row>
    <row r="64" spans="1:11" x14ac:dyDescent="0.2">
      <c r="A64" s="2">
        <f>[2]ArdiData!A64</f>
        <v>62</v>
      </c>
      <c r="B64" s="32">
        <v>6344.73822659077</v>
      </c>
      <c r="C64" s="3">
        <f t="shared" si="2"/>
        <v>6322.6613314454617</v>
      </c>
      <c r="D64" s="32">
        <f t="shared" si="3"/>
        <v>79.61840139795558</v>
      </c>
      <c r="E64" s="32">
        <f t="shared" si="6"/>
        <v>6317.1421076591341</v>
      </c>
      <c r="F64" s="31">
        <f t="shared" si="7"/>
        <v>27.596118931635829</v>
      </c>
      <c r="G64" s="31">
        <f t="shared" si="8"/>
        <v>27.596118931635829</v>
      </c>
      <c r="H64" s="29">
        <f>SUM(G$3:G64)/COUNT(G$3:G64)</f>
        <v>411.09166027339677</v>
      </c>
      <c r="I64" s="29">
        <f>SUM(F$3:F64)/H64</f>
        <v>-0.44333102035510163</v>
      </c>
      <c r="J64" s="30">
        <f t="shared" si="9"/>
        <v>57.597354328994768</v>
      </c>
      <c r="K64" s="29">
        <f>IFERROR(SQRT(SUM(J$3:J64)/(COUNT(J$3:J64)-1)),"")</f>
        <v>553.99708091449918</v>
      </c>
    </row>
    <row r="65" spans="1:11" x14ac:dyDescent="0.2">
      <c r="A65" s="2">
        <f>[2]ArdiData!A65</f>
        <v>63</v>
      </c>
      <c r="B65" s="32">
        <v>6433.484918596806</v>
      </c>
      <c r="C65" s="3">
        <f t="shared" si="2"/>
        <v>6408.5207699940947</v>
      </c>
      <c r="D65" s="32">
        <f t="shared" si="3"/>
        <v>83.363023688362091</v>
      </c>
      <c r="E65" s="32">
        <f t="shared" si="6"/>
        <v>6402.2797328434172</v>
      </c>
      <c r="F65" s="31">
        <f t="shared" si="7"/>
        <v>31.205185753388832</v>
      </c>
      <c r="G65" s="31">
        <f t="shared" si="8"/>
        <v>31.205185753388832</v>
      </c>
      <c r="H65" s="29">
        <f>SUM(G$3:G65)/COUNT(G$3:G65)</f>
        <v>405.06171623339668</v>
      </c>
      <c r="I65" s="29">
        <f>SUM(F$3:F65)/H65</f>
        <v>-0.37289255785421366</v>
      </c>
      <c r="J65" s="30">
        <f t="shared" si="9"/>
        <v>15.842193134416243</v>
      </c>
      <c r="K65" s="29">
        <f>IFERROR(SQRT(SUM(J$3:J65)/(COUNT(J$3:J65)-1)),"")</f>
        <v>549.51143325981809</v>
      </c>
    </row>
    <row r="66" spans="1:11" x14ac:dyDescent="0.2">
      <c r="A66" s="2">
        <f>[2]ArdiData!A66</f>
        <v>64</v>
      </c>
      <c r="B66" s="32">
        <v>7126.6521295344728</v>
      </c>
      <c r="C66" s="3">
        <f t="shared" si="2"/>
        <v>6618.8374608528602</v>
      </c>
      <c r="D66" s="32">
        <f t="shared" si="3"/>
        <v>159.53522399060412</v>
      </c>
      <c r="E66" s="32">
        <f t="shared" si="6"/>
        <v>6491.8837936824566</v>
      </c>
      <c r="F66" s="31">
        <f t="shared" si="7"/>
        <v>634.76833585201621</v>
      </c>
      <c r="G66" s="31">
        <f t="shared" si="8"/>
        <v>634.76833585201621</v>
      </c>
      <c r="H66" s="29">
        <f>SUM(G$3:G66)/COUNT(G$3:G66)</f>
        <v>408.65088216493757</v>
      </c>
      <c r="I66" s="29">
        <f>SUM(F$3:F66)/H66</f>
        <v>1.1837092675152703</v>
      </c>
      <c r="J66" s="30">
        <f t="shared" si="9"/>
        <v>359499.68375592289</v>
      </c>
      <c r="K66" s="29">
        <f>IFERROR(SQRT(SUM(J$3:J66)/(COUNT(J$3:J66)-1)),"")</f>
        <v>550.34180189206938</v>
      </c>
    </row>
    <row r="67" spans="1:11" x14ac:dyDescent="0.2">
      <c r="A67" s="2">
        <f>[2]ArdiData!A67</f>
        <v>65</v>
      </c>
      <c r="B67" s="32">
        <v>7865.1338288516981</v>
      </c>
      <c r="C67" s="3">
        <f t="shared" si="2"/>
        <v>6995.7249136451119</v>
      </c>
      <c r="D67" s="32">
        <f t="shared" si="3"/>
        <v>289.94656127159266</v>
      </c>
      <c r="E67" s="32">
        <f t="shared" ref="E67:E78" si="10">C66+D66</f>
        <v>6778.3726848434644</v>
      </c>
      <c r="F67" s="31">
        <f t="shared" ref="F67:F77" si="11">B67-E67</f>
        <v>1086.7611440082337</v>
      </c>
      <c r="G67" s="31">
        <f t="shared" ref="G67:G78" si="12">ABS(F67)</f>
        <v>1086.7611440082337</v>
      </c>
      <c r="H67" s="29">
        <f>SUM(G$3:G67)/COUNT(G$3:G67)</f>
        <v>419.0833477317575</v>
      </c>
      <c r="I67" s="29">
        <f>SUM(F$3:F67)/H67</f>
        <v>3.7474287368019708</v>
      </c>
      <c r="J67" s="30">
        <f t="shared" ref="J67:J77" si="13">(F67-$F$78)^2</f>
        <v>1105811.5222199268</v>
      </c>
      <c r="K67" s="29">
        <f>IFERROR(SQRT(SUM(J$3:J67)/(COUNT(J$3:J67)-1)),"")</f>
        <v>561.62439841857861</v>
      </c>
    </row>
    <row r="68" spans="1:11" x14ac:dyDescent="0.2">
      <c r="A68" s="2">
        <f>[2]ArdiData!A68</f>
        <v>66</v>
      </c>
      <c r="B68" s="32">
        <v>7010.35704845092</v>
      </c>
      <c r="C68" s="3">
        <f t="shared" ref="C68:C77" si="14">(1-$M$1)*E68+$M$1*B68</f>
        <v>7230.6085896235481</v>
      </c>
      <c r="D68" s="32">
        <f t="shared" ref="D68:D77" si="15">(1-$M$2)*D67+$M$2*(C68-C67)</f>
        <v>256.90883009569882</v>
      </c>
      <c r="E68" s="32">
        <f t="shared" si="10"/>
        <v>7285.6714749167049</v>
      </c>
      <c r="F68" s="31">
        <f t="shared" si="11"/>
        <v>-275.31442646578489</v>
      </c>
      <c r="G68" s="31">
        <f t="shared" si="12"/>
        <v>275.31442646578489</v>
      </c>
      <c r="H68" s="29">
        <f>SUM(G$3:G68)/COUNT(G$3:G68)</f>
        <v>416.90503074287915</v>
      </c>
      <c r="I68" s="29">
        <f>SUM(F$3:F68)/H68</f>
        <v>3.1066321066731284</v>
      </c>
      <c r="J68" s="30">
        <f t="shared" si="13"/>
        <v>96410.149075691224</v>
      </c>
      <c r="K68" s="29">
        <f>IFERROR(SQRT(SUM(J$3:J68)/(COUNT(J$3:J68)-1)),"")</f>
        <v>558.61664166752325</v>
      </c>
    </row>
    <row r="69" spans="1:11" x14ac:dyDescent="0.2">
      <c r="A69" s="2">
        <f>[2]ArdiData!A69</f>
        <v>67</v>
      </c>
      <c r="B69" s="32">
        <v>9422.7261880039478</v>
      </c>
      <c r="C69" s="3">
        <f t="shared" si="14"/>
        <v>7874.5591733761876</v>
      </c>
      <c r="D69" s="32">
        <f t="shared" si="15"/>
        <v>489.13388228986321</v>
      </c>
      <c r="E69" s="32">
        <f t="shared" si="10"/>
        <v>7487.5174197192473</v>
      </c>
      <c r="F69" s="31">
        <f t="shared" si="11"/>
        <v>1935.2087682847005</v>
      </c>
      <c r="G69" s="31">
        <f t="shared" si="12"/>
        <v>1935.2087682847005</v>
      </c>
      <c r="H69" s="29">
        <f>SUM(G$3:G69)/COUNT(G$3:G69)</f>
        <v>439.56628055693619</v>
      </c>
      <c r="I69" s="29">
        <f>SUM(F$3:F69)/H69</f>
        <v>7.3490153023820293</v>
      </c>
      <c r="J69" s="30">
        <f t="shared" si="13"/>
        <v>3610088.7581698275</v>
      </c>
      <c r="K69" s="29">
        <f>IFERROR(SQRT(SUM(J$3:J69)/(COUNT(J$3:J69)-1)),"")</f>
        <v>601.68330364956819</v>
      </c>
    </row>
    <row r="70" spans="1:11" x14ac:dyDescent="0.2">
      <c r="A70" s="2">
        <f>[2]ArdiData!A70</f>
        <v>68</v>
      </c>
      <c r="B70" s="32">
        <v>7040.5275765927445</v>
      </c>
      <c r="C70" s="3">
        <f t="shared" si="14"/>
        <v>8099.0599598513891</v>
      </c>
      <c r="D70" s="32">
        <f t="shared" si="15"/>
        <v>330.3540248010662</v>
      </c>
      <c r="E70" s="32">
        <f t="shared" si="10"/>
        <v>8363.69305566605</v>
      </c>
      <c r="F70" s="31">
        <f t="shared" si="11"/>
        <v>-1323.1654790733055</v>
      </c>
      <c r="G70" s="31">
        <f t="shared" si="12"/>
        <v>1323.1654790733055</v>
      </c>
      <c r="H70" s="29">
        <f>SUM(G$3:G70)/COUNT(G$3:G70)</f>
        <v>452.56038641747102</v>
      </c>
      <c r="I70" s="29">
        <f>SUM(F$3:F70)/H70</f>
        <v>4.2142748247334074</v>
      </c>
      <c r="J70" s="30">
        <f t="shared" si="13"/>
        <v>1845117.1406041181</v>
      </c>
      <c r="K70" s="29">
        <f>IFERROR(SQRT(SUM(J$3:J70)/(COUNT(J$3:J70)-1)),"")</f>
        <v>619.80523904616064</v>
      </c>
    </row>
    <row r="71" spans="1:11" x14ac:dyDescent="0.2">
      <c r="A71" s="2">
        <f>[2]ArdiData!A71</f>
        <v>69</v>
      </c>
      <c r="B71" s="32">
        <v>9903.7758241325882</v>
      </c>
      <c r="C71" s="3">
        <f t="shared" si="14"/>
        <v>8724.2863525484827</v>
      </c>
      <c r="D71" s="32">
        <f t="shared" si="15"/>
        <v>507.27744553868263</v>
      </c>
      <c r="E71" s="32">
        <f t="shared" si="10"/>
        <v>8429.4139846524558</v>
      </c>
      <c r="F71" s="31">
        <f t="shared" si="11"/>
        <v>1474.3618394801324</v>
      </c>
      <c r="G71" s="31">
        <f t="shared" si="12"/>
        <v>1474.3618394801324</v>
      </c>
      <c r="H71" s="29">
        <f>SUM(G$3:G71)/COUNT(G$3:G71)</f>
        <v>467.3691031285241</v>
      </c>
      <c r="I71" s="29">
        <f>SUM(F$3:F71)/H71</f>
        <v>7.235342815763727</v>
      </c>
      <c r="J71" s="30">
        <f t="shared" si="13"/>
        <v>2071228.7922492027</v>
      </c>
      <c r="K71" s="29">
        <f>IFERROR(SQRT(SUM(J$3:J71)/(COUNT(J$3:J71)-1)),"")</f>
        <v>639.50636516214115</v>
      </c>
    </row>
    <row r="72" spans="1:11" x14ac:dyDescent="0.2">
      <c r="A72" s="2">
        <f>[2]ArdiData!A72</f>
        <v>70</v>
      </c>
      <c r="B72" s="32">
        <v>7385.6932650971721</v>
      </c>
      <c r="C72" s="3">
        <f t="shared" si="14"/>
        <v>8862.3896914891666</v>
      </c>
      <c r="D72" s="32">
        <f t="shared" si="15"/>
        <v>285.77298157988338</v>
      </c>
      <c r="E72" s="32">
        <f t="shared" si="10"/>
        <v>9231.5637980871652</v>
      </c>
      <c r="F72" s="31">
        <f t="shared" si="11"/>
        <v>-1845.8705329899931</v>
      </c>
      <c r="G72" s="31">
        <f t="shared" si="12"/>
        <v>1845.8705329899931</v>
      </c>
      <c r="H72" s="29">
        <f>SUM(G$3:G72)/COUNT(G$3:G72)</f>
        <v>487.06198069797369</v>
      </c>
      <c r="I72" s="29">
        <f>SUM(F$3:F72)/H72</f>
        <v>3.1529973812371912</v>
      </c>
      <c r="J72" s="30">
        <f t="shared" si="13"/>
        <v>3538371.464477106</v>
      </c>
      <c r="K72" s="29">
        <f>IFERROR(SQRT(SUM(J$3:J72)/(COUNT(J$3:J72)-1)),"")</f>
        <v>674.03416739305192</v>
      </c>
    </row>
    <row r="73" spans="1:11" x14ac:dyDescent="0.2">
      <c r="A73" s="2">
        <f>[2]ArdiData!A73</f>
        <v>71</v>
      </c>
      <c r="B73" s="32">
        <v>9011.9704290236768</v>
      </c>
      <c r="C73" s="3">
        <f t="shared" si="14"/>
        <v>9120.9242242599757</v>
      </c>
      <c r="D73" s="32">
        <f t="shared" si="15"/>
        <v>269.42991229443885</v>
      </c>
      <c r="E73" s="32">
        <f t="shared" si="10"/>
        <v>9148.1626730690496</v>
      </c>
      <c r="F73" s="31">
        <f t="shared" si="11"/>
        <v>-136.19224404537272</v>
      </c>
      <c r="G73" s="31">
        <f t="shared" si="12"/>
        <v>136.19224404537272</v>
      </c>
      <c r="H73" s="29">
        <f>SUM(G$3:G73)/COUNT(G$3:G73)</f>
        <v>482.1201534211765</v>
      </c>
      <c r="I73" s="29">
        <f>SUM(F$3:F73)/H73</f>
        <v>2.9028301257776583</v>
      </c>
      <c r="J73" s="30">
        <f t="shared" si="13"/>
        <v>29370.300654045848</v>
      </c>
      <c r="K73" s="29">
        <f>IFERROR(SQRT(SUM(J$3:J73)/(COUNT(J$3:J73)-1)),"")</f>
        <v>669.51573499879032</v>
      </c>
    </row>
    <row r="74" spans="1:11" x14ac:dyDescent="0.2">
      <c r="A74" s="2">
        <f>[2]ArdiData!A74</f>
        <v>72</v>
      </c>
      <c r="B74" s="32">
        <v>10014.199326672129</v>
      </c>
      <c r="C74" s="3">
        <f t="shared" si="14"/>
        <v>9515.1231745779587</v>
      </c>
      <c r="D74" s="32">
        <f t="shared" si="15"/>
        <v>344.29133510856531</v>
      </c>
      <c r="E74" s="32">
        <f t="shared" si="10"/>
        <v>9390.3541365544152</v>
      </c>
      <c r="F74" s="31">
        <f t="shared" si="11"/>
        <v>623.84519011771408</v>
      </c>
      <c r="G74" s="31">
        <f t="shared" si="12"/>
        <v>623.84519011771408</v>
      </c>
      <c r="H74" s="29">
        <f>SUM(G$3:G74)/COUNT(G$3:G74)</f>
        <v>484.08855670862835</v>
      </c>
      <c r="I74" s="29">
        <f>SUM(F$3:F74)/H74</f>
        <v>4.179727175271994</v>
      </c>
      <c r="J74" s="30">
        <f t="shared" si="13"/>
        <v>346520.33553307143</v>
      </c>
      <c r="K74" s="29">
        <f>IFERROR(SQRT(SUM(J$3:J74)/(COUNT(J$3:J74)-1)),"")</f>
        <v>668.44482842799141</v>
      </c>
    </row>
    <row r="75" spans="1:11" x14ac:dyDescent="0.2">
      <c r="A75" s="2">
        <f>[2]ArdiData!A75</f>
        <v>73</v>
      </c>
      <c r="B75" s="32">
        <v>10910.3731121908</v>
      </c>
      <c r="C75" s="3">
        <f t="shared" si="14"/>
        <v>10069.606230187379</v>
      </c>
      <c r="D75" s="32">
        <f t="shared" si="15"/>
        <v>470.40636740907826</v>
      </c>
      <c r="E75" s="32">
        <f t="shared" si="10"/>
        <v>9859.4145096865232</v>
      </c>
      <c r="F75" s="31">
        <f t="shared" si="11"/>
        <v>1050.9586025042772</v>
      </c>
      <c r="G75" s="31">
        <f t="shared" si="12"/>
        <v>1050.9586025042772</v>
      </c>
      <c r="H75" s="29">
        <f>SUM(G$3:G75)/COUNT(G$3:G75)</f>
        <v>491.85389980171948</v>
      </c>
      <c r="I75" s="29">
        <f>SUM(F$3:F75)/H75</f>
        <v>6.2504672616337391</v>
      </c>
      <c r="J75" s="30">
        <f t="shared" si="13"/>
        <v>1031795.1765479931</v>
      </c>
      <c r="K75" s="29">
        <f>IFERROR(SQRT(SUM(J$3:J75)/(COUNT(J$3:J75)-1)),"")</f>
        <v>674.49474784678841</v>
      </c>
    </row>
    <row r="76" spans="1:11" x14ac:dyDescent="0.2">
      <c r="A76" s="2">
        <f>[2]ArdiData!A76</f>
        <v>74</v>
      </c>
      <c r="B76" s="32">
        <v>8358.5918304447059</v>
      </c>
      <c r="C76" s="3">
        <f t="shared" si="14"/>
        <v>10103.728444166107</v>
      </c>
      <c r="D76" s="32">
        <f t="shared" si="15"/>
        <v>208.63587535086799</v>
      </c>
      <c r="E76" s="32">
        <f t="shared" si="10"/>
        <v>10540.012597596457</v>
      </c>
      <c r="F76" s="31">
        <f t="shared" si="11"/>
        <v>-2181.4207671517506</v>
      </c>
      <c r="G76" s="31">
        <f t="shared" si="12"/>
        <v>2181.4207671517506</v>
      </c>
      <c r="H76" s="29">
        <f>SUM(G$3:G76)/COUNT(G$3:G76)</f>
        <v>514.68588449563879</v>
      </c>
      <c r="I76" s="29">
        <f>SUM(F$3:F76)/H76</f>
        <v>1.734836641072375</v>
      </c>
      <c r="J76" s="30">
        <f t="shared" si="13"/>
        <v>4913342.9490877027</v>
      </c>
      <c r="K76" s="29">
        <f>IFERROR(SQRT(SUM(J$3:J76)/(COUNT(J$3:J76)-1)),"")</f>
        <v>718.34332635563669</v>
      </c>
    </row>
    <row r="77" spans="1:11" x14ac:dyDescent="0.2">
      <c r="A77" s="2">
        <f>[2]ArdiData!A77</f>
        <v>75</v>
      </c>
      <c r="B77" s="32">
        <v>12058.374214587961</v>
      </c>
      <c r="C77" s="3">
        <f t="shared" si="14"/>
        <v>10661.566298531172</v>
      </c>
      <c r="D77" s="32">
        <f t="shared" si="15"/>
        <v>418.15706275938624</v>
      </c>
      <c r="E77" s="32">
        <f t="shared" si="10"/>
        <v>10312.364319516975</v>
      </c>
      <c r="F77" s="31">
        <f t="shared" si="11"/>
        <v>1746.0098950709853</v>
      </c>
      <c r="G77" s="31">
        <f t="shared" si="12"/>
        <v>1746.0098950709853</v>
      </c>
      <c r="H77" s="29">
        <f>SUM(G$3:G77)/COUNT(G$3:G77)</f>
        <v>531.10353796997686</v>
      </c>
      <c r="I77" s="29">
        <f>SUM(F$3:F77)/H77</f>
        <v>4.9687219863444785</v>
      </c>
      <c r="J77" s="30">
        <f t="shared" si="13"/>
        <v>2926920.4152448913</v>
      </c>
      <c r="K77" s="29">
        <f>IFERROR(SQRT(SUM(J$3:J77)/(COUNT(J$3:J77)-1)),"")</f>
        <v>740.67328059241811</v>
      </c>
    </row>
    <row r="78" spans="1:11" x14ac:dyDescent="0.2">
      <c r="A78" s="2">
        <f>[2]ArdiData!A78</f>
        <v>0</v>
      </c>
      <c r="B78" s="28"/>
      <c r="D78" s="32"/>
      <c r="E78" s="32">
        <f t="shared" si="10"/>
        <v>11079.723361290558</v>
      </c>
      <c r="F78" s="28">
        <f>AVERAGE(F3:F77)</f>
        <v>35.185411015156845</v>
      </c>
      <c r="G78" s="28">
        <f t="shared" si="12"/>
        <v>35.185411015156845</v>
      </c>
      <c r="H78" s="29">
        <f>1.25*H77</f>
        <v>663.8794224624711</v>
      </c>
      <c r="I78" s="29"/>
      <c r="J78" s="28"/>
      <c r="K78" s="28"/>
    </row>
  </sheetData>
  <conditionalFormatting sqref="L6:L15">
    <cfRule type="expression" dxfId="1" priority="2">
      <formula>$M5=$M$16</formula>
    </cfRule>
  </conditionalFormatting>
  <conditionalFormatting sqref="M6:V15">
    <cfRule type="cellIs" dxfId="0" priority="1" operator="equal">
      <formula>$W$16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0.ArdiData28Fixed</vt:lpstr>
      <vt:lpstr>Stationary</vt:lpstr>
      <vt:lpstr>Trend</vt:lpstr>
      <vt:lpstr>0.Regression</vt:lpstr>
      <vt:lpstr>TrendAdj</vt:lpstr>
      <vt:lpstr>TrendAndSeasIravaniMine</vt:lpstr>
      <vt:lpstr>TrendAndSeasChopraMine</vt:lpstr>
      <vt:lpstr>TrendAndSeasSocic</vt:lpstr>
      <vt:lpstr>TrendAndSeasChopraBook</vt:lpstr>
      <vt:lpstr>1.Trend&amp;Season</vt:lpstr>
      <vt:lpstr>MultiRefSeas</vt:lpstr>
      <vt:lpstr>TrAdES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2021-06-28T23:21:08Z</dcterms:modified>
</cp:coreProperties>
</file>