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Forecasting\Slides\"/>
    </mc:Choice>
  </mc:AlternateContent>
  <bookViews>
    <workbookView xWindow="0" yWindow="120" windowWidth="15600" windowHeight="11640" activeTab="2"/>
  </bookViews>
  <sheets>
    <sheet name="ArdiData" sheetId="21" r:id="rId1"/>
    <sheet name="Set2ESTR" sheetId="22" r:id="rId2"/>
    <sheet name="ESTAES" sheetId="23" r:id="rId3"/>
  </sheets>
  <externalReferences>
    <externalReference r:id="rId4"/>
  </externalReferences>
  <definedNames>
    <definedName name="solver_adj" localSheetId="2" hidden="1">ESTAES!$P$1:$P$2</definedName>
    <definedName name="solver_adj" localSheetId="1" hidden="1">Set2ESTR!$N$1:$N$2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ng" localSheetId="1" hidden="1">1</definedName>
    <definedName name="solver_est" localSheetId="2" hidden="1">1</definedName>
    <definedName name="solver_est" localSheetId="1" hidden="1">1</definedName>
    <definedName name="solver_itr" localSheetId="2" hidden="1">2147483647</definedName>
    <definedName name="solver_itr" localSheetId="1" hidden="1">2147483647</definedName>
    <definedName name="solver_lhs1" localSheetId="2" hidden="1">ESTAES!$P$1</definedName>
    <definedName name="solver_lhs1" localSheetId="1" hidden="1">Set2ESTR!$N$1</definedName>
    <definedName name="solver_lhs2" localSheetId="2" hidden="1">ESTAES!$P$1</definedName>
    <definedName name="solver_lhs2" localSheetId="1" hidden="1">Set2ESTR!$N$1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0.075</definedName>
    <definedName name="solver_mrt" localSheetId="1" hidden="1">0.075</definedName>
    <definedName name="solver_msl" localSheetId="2" hidden="1">2</definedName>
    <definedName name="solver_msl" localSheetId="1" hidden="1">2</definedName>
    <definedName name="solver_neg" localSheetId="2" hidden="1">1</definedName>
    <definedName name="solver_neg" localSheetId="1" hidden="1">1</definedName>
    <definedName name="solver_nod" localSheetId="2" hidden="1">2147483647</definedName>
    <definedName name="solver_nod" localSheetId="1" hidden="1">2147483647</definedName>
    <definedName name="solver_num" localSheetId="2" hidden="1">0</definedName>
    <definedName name="solver_num" localSheetId="1" hidden="1">0</definedName>
    <definedName name="solver_nwt" localSheetId="2" hidden="1">1</definedName>
    <definedName name="solver_nwt" localSheetId="1" hidden="1">1</definedName>
    <definedName name="solver_opt" localSheetId="2" hidden="1">ESTAES!$O$4</definedName>
    <definedName name="solver_opt" localSheetId="1" hidden="1">Set2ESTR!$M$5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bv" localSheetId="1" hidden="1">1</definedName>
    <definedName name="solver_rel1" localSheetId="2" hidden="1">1</definedName>
    <definedName name="solver_rel1" localSheetId="1" hidden="1">1</definedName>
    <definedName name="solver_rel2" localSheetId="2" hidden="1">3</definedName>
    <definedName name="solver_rel2" localSheetId="1" hidden="1">3</definedName>
    <definedName name="solver_rhs1" localSheetId="2" hidden="1">1</definedName>
    <definedName name="solver_rhs1" localSheetId="1" hidden="1">1</definedName>
    <definedName name="solver_rhs2" localSheetId="2" hidden="1">0</definedName>
    <definedName name="solver_rhs2" localSheetId="1" hidden="1">0</definedName>
    <definedName name="solver_rlx" localSheetId="2" hidden="1">2</definedName>
    <definedName name="solver_rlx" localSheetId="1" hidden="1">2</definedName>
    <definedName name="solver_rsd" localSheetId="2" hidden="1">0</definedName>
    <definedName name="solver_rsd" localSheetId="1" hidden="1">0</definedName>
    <definedName name="solver_scl" localSheetId="2" hidden="1">1</definedName>
    <definedName name="solver_scl" localSheetId="1" hidden="1">1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100</definedName>
    <definedName name="solver_tim" localSheetId="2" hidden="1">2147483647</definedName>
    <definedName name="solver_tim" localSheetId="1" hidden="1">2147483647</definedName>
    <definedName name="solver_tol" localSheetId="2" hidden="1">0.01</definedName>
    <definedName name="solver_tol" localSheetId="1" hidden="1">0.01</definedName>
    <definedName name="solver_typ" localSheetId="2" hidden="1">2</definedName>
    <definedName name="solver_typ" localSheetId="1" hidden="1">2</definedName>
    <definedName name="solver_val" localSheetId="2" hidden="1">0</definedName>
    <definedName name="solver_val" localSheetId="1" hidden="1">0</definedName>
    <definedName name="solver_ver" localSheetId="2" hidden="1">3</definedName>
    <definedName name="solver_ver" localSheetId="1" hidden="1">3</definedName>
  </definedNames>
  <calcPr calcId="152511"/>
</workbook>
</file>

<file path=xl/calcChain.xml><?xml version="1.0" encoding="utf-8"?>
<calcChain xmlns="http://schemas.openxmlformats.org/spreadsheetml/2006/main">
  <c r="N16" i="23" l="1"/>
  <c r="Z29" i="23"/>
  <c r="A23" i="23" l="1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A1" i="23"/>
  <c r="N1" i="22" l="1"/>
  <c r="X16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A1" i="22"/>
  <c r="AE4" i="21" l="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50" i="21"/>
  <c r="AE51" i="21"/>
  <c r="AE52" i="21"/>
  <c r="AE53" i="21"/>
  <c r="AE54" i="21"/>
  <c r="AE55" i="21"/>
  <c r="AE56" i="21"/>
  <c r="AE57" i="21"/>
  <c r="AE58" i="21"/>
  <c r="AE59" i="21"/>
  <c r="AE60" i="21"/>
  <c r="AE61" i="21"/>
  <c r="AE62" i="21"/>
  <c r="AE63" i="21"/>
  <c r="AE64" i="21"/>
  <c r="AE65" i="21"/>
  <c r="AE66" i="21"/>
  <c r="AE67" i="21"/>
  <c r="AE68" i="21"/>
  <c r="AE69" i="21"/>
  <c r="AE70" i="21"/>
  <c r="AE71" i="21"/>
  <c r="AE72" i="21"/>
  <c r="AE73" i="21"/>
  <c r="AE74" i="21"/>
  <c r="AE75" i="21"/>
  <c r="AE76" i="21"/>
  <c r="AE77" i="21"/>
  <c r="AE3" i="21"/>
  <c r="H2" i="21" l="1"/>
  <c r="AH1" i="21"/>
  <c r="AG1" i="21"/>
  <c r="AB53" i="21" l="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I2" i="21"/>
  <c r="AB52" i="21"/>
  <c r="AB51" i="21"/>
  <c r="AB50" i="21"/>
  <c r="AB49" i="21"/>
  <c r="AB48" i="21"/>
  <c r="AB47" i="21"/>
  <c r="AB46" i="21"/>
  <c r="AB45" i="21"/>
  <c r="AB44" i="21"/>
  <c r="AB43" i="21"/>
  <c r="AB42" i="21"/>
  <c r="AB41" i="21"/>
  <c r="AB40" i="21"/>
  <c r="AB39" i="21"/>
  <c r="AB38" i="21"/>
  <c r="AB37" i="21"/>
  <c r="AB36" i="21"/>
  <c r="AB35" i="21"/>
  <c r="AB34" i="21"/>
  <c r="AB33" i="21"/>
  <c r="AB32" i="21"/>
  <c r="AB31" i="21"/>
  <c r="AB30" i="21"/>
  <c r="AB29" i="21"/>
  <c r="AB28" i="21"/>
  <c r="AB27" i="21"/>
  <c r="AB26" i="21"/>
  <c r="AB25" i="21"/>
  <c r="AB24" i="21"/>
  <c r="AB23" i="21"/>
  <c r="AB22" i="21"/>
  <c r="AB21" i="21"/>
  <c r="AB20" i="21"/>
  <c r="AB19" i="21"/>
  <c r="AB18" i="21"/>
  <c r="AB17" i="21"/>
  <c r="AB16" i="21"/>
  <c r="AB15" i="21"/>
  <c r="AB14" i="21"/>
  <c r="AB13" i="21"/>
  <c r="AB12" i="21"/>
  <c r="AB11" i="21"/>
  <c r="AB10" i="21"/>
  <c r="AB9" i="21"/>
  <c r="AB8" i="21"/>
  <c r="AB7" i="21"/>
  <c r="AB6" i="21"/>
  <c r="AB5" i="21"/>
  <c r="AB4" i="21"/>
  <c r="AB3" i="21"/>
  <c r="AD60" i="21" l="1"/>
  <c r="AF60" i="21" s="1"/>
  <c r="D60" i="21" s="1"/>
  <c r="AD76" i="21"/>
  <c r="AF76" i="21" s="1"/>
  <c r="D76" i="21" s="1"/>
  <c r="AD72" i="21"/>
  <c r="AF72" i="21" s="1"/>
  <c r="D72" i="21" s="1"/>
  <c r="AD68" i="21"/>
  <c r="AF68" i="21" s="1"/>
  <c r="D68" i="21" s="1"/>
  <c r="AD56" i="21"/>
  <c r="AF56" i="21" s="1"/>
  <c r="D56" i="21" s="1"/>
  <c r="AD74" i="21"/>
  <c r="AF74" i="21" s="1"/>
  <c r="D74" i="21" s="1"/>
  <c r="AD70" i="21"/>
  <c r="AF70" i="21" s="1"/>
  <c r="D70" i="21" s="1"/>
  <c r="AD66" i="21"/>
  <c r="AF66" i="21" s="1"/>
  <c r="D66" i="21" s="1"/>
  <c r="AD64" i="21"/>
  <c r="AF64" i="21" s="1"/>
  <c r="D64" i="21" s="1"/>
  <c r="AD62" i="21"/>
  <c r="AF62" i="21" s="1"/>
  <c r="D62" i="21" s="1"/>
  <c r="AD54" i="21"/>
  <c r="AF54" i="21" s="1"/>
  <c r="D54" i="21" s="1"/>
  <c r="AD58" i="21"/>
  <c r="AF58" i="21" s="1"/>
  <c r="D58" i="21" s="1"/>
  <c r="AD77" i="21"/>
  <c r="AF77" i="21" s="1"/>
  <c r="D77" i="21" s="1"/>
  <c r="AD75" i="21"/>
  <c r="AF75" i="21" s="1"/>
  <c r="D75" i="21" s="1"/>
  <c r="AD73" i="21"/>
  <c r="AF73" i="21" s="1"/>
  <c r="D73" i="21" s="1"/>
  <c r="AD71" i="21"/>
  <c r="AF71" i="21" s="1"/>
  <c r="D71" i="21" s="1"/>
  <c r="AD69" i="21"/>
  <c r="AF69" i="21" s="1"/>
  <c r="D69" i="21" s="1"/>
  <c r="AD67" i="21"/>
  <c r="AF67" i="21" s="1"/>
  <c r="D67" i="21" s="1"/>
  <c r="AD65" i="21"/>
  <c r="AF65" i="21" s="1"/>
  <c r="D65" i="21" s="1"/>
  <c r="AD63" i="21"/>
  <c r="AF63" i="21" s="1"/>
  <c r="D63" i="21" s="1"/>
  <c r="AD61" i="21"/>
  <c r="AF61" i="21" s="1"/>
  <c r="D61" i="21" s="1"/>
  <c r="AD59" i="21"/>
  <c r="AF59" i="21" s="1"/>
  <c r="D59" i="21" s="1"/>
  <c r="AD57" i="21"/>
  <c r="AF57" i="21" s="1"/>
  <c r="D57" i="21" s="1"/>
  <c r="AD55" i="21"/>
  <c r="AF55" i="21" s="1"/>
  <c r="D55" i="21" s="1"/>
  <c r="AD53" i="21"/>
  <c r="AF53" i="21" s="1"/>
  <c r="D53" i="21" s="1"/>
  <c r="G3" i="21"/>
  <c r="H3" i="21" s="1"/>
  <c r="AD49" i="21"/>
  <c r="AF49" i="21" s="1"/>
  <c r="D49" i="21" s="1"/>
  <c r="AD25" i="21"/>
  <c r="AF25" i="21" s="1"/>
  <c r="D25" i="21" s="1"/>
  <c r="AD32" i="21"/>
  <c r="AF32" i="21" s="1"/>
  <c r="D32" i="21" s="1"/>
  <c r="AD29" i="21"/>
  <c r="AF29" i="21" s="1"/>
  <c r="D29" i="21" s="1"/>
  <c r="AD33" i="21"/>
  <c r="AF33" i="21" s="1"/>
  <c r="D33" i="21" s="1"/>
  <c r="AD40" i="21"/>
  <c r="AF40" i="21" s="1"/>
  <c r="D40" i="21" s="1"/>
  <c r="AD24" i="21"/>
  <c r="AF24" i="21" s="1"/>
  <c r="D24" i="21" s="1"/>
  <c r="AD13" i="21"/>
  <c r="AF13" i="21" s="1"/>
  <c r="D13" i="21" s="1"/>
  <c r="AD41" i="21"/>
  <c r="AF41" i="21" s="1"/>
  <c r="D41" i="21" s="1"/>
  <c r="AD37" i="21"/>
  <c r="AF37" i="21" s="1"/>
  <c r="D37" i="21" s="1"/>
  <c r="AD9" i="21"/>
  <c r="AF9" i="21" s="1"/>
  <c r="D9" i="21" s="1"/>
  <c r="AD7" i="21"/>
  <c r="AF7" i="21" s="1"/>
  <c r="D7" i="21" s="1"/>
  <c r="AD45" i="21"/>
  <c r="AF45" i="21" s="1"/>
  <c r="D45" i="21" s="1"/>
  <c r="AD17" i="21"/>
  <c r="AF17" i="21" s="1"/>
  <c r="D17" i="21" s="1"/>
  <c r="AD21" i="21"/>
  <c r="AF21" i="21" s="1"/>
  <c r="D21" i="21" s="1"/>
  <c r="AD50" i="21"/>
  <c r="AF50" i="21" s="1"/>
  <c r="D50" i="21" s="1"/>
  <c r="AD42" i="21"/>
  <c r="AF42" i="21" s="1"/>
  <c r="D42" i="21" s="1"/>
  <c r="AD34" i="21"/>
  <c r="AF34" i="21" s="1"/>
  <c r="D34" i="21" s="1"/>
  <c r="AD26" i="21"/>
  <c r="AF26" i="21" s="1"/>
  <c r="D26" i="21" s="1"/>
  <c r="AD18" i="21"/>
  <c r="AF18" i="21" s="1"/>
  <c r="D18" i="21" s="1"/>
  <c r="AD10" i="21"/>
  <c r="AF10" i="21" s="1"/>
  <c r="D10" i="21" s="1"/>
  <c r="AD5" i="21"/>
  <c r="AF5" i="21" s="1"/>
  <c r="D5" i="21" s="1"/>
  <c r="AD52" i="21"/>
  <c r="AF52" i="21" s="1"/>
  <c r="D52" i="21" s="1"/>
  <c r="AD20" i="21"/>
  <c r="AF20" i="21" s="1"/>
  <c r="D20" i="21" s="1"/>
  <c r="AD51" i="21"/>
  <c r="AF51" i="21" s="1"/>
  <c r="D51" i="21" s="1"/>
  <c r="AD43" i="21"/>
  <c r="AF43" i="21" s="1"/>
  <c r="D43" i="21" s="1"/>
  <c r="AD35" i="21"/>
  <c r="AF35" i="21" s="1"/>
  <c r="D35" i="21" s="1"/>
  <c r="AD27" i="21"/>
  <c r="AF27" i="21" s="1"/>
  <c r="D27" i="21" s="1"/>
  <c r="AD19" i="21"/>
  <c r="AF19" i="21" s="1"/>
  <c r="D19" i="21" s="1"/>
  <c r="AD11" i="21"/>
  <c r="AF11" i="21" s="1"/>
  <c r="D11" i="21" s="1"/>
  <c r="AD4" i="21"/>
  <c r="AF4" i="21" s="1"/>
  <c r="D4" i="21" s="1"/>
  <c r="AD44" i="21"/>
  <c r="AF44" i="21" s="1"/>
  <c r="D44" i="21" s="1"/>
  <c r="AD36" i="21"/>
  <c r="AF36" i="21" s="1"/>
  <c r="D36" i="21" s="1"/>
  <c r="AD28" i="21"/>
  <c r="AF28" i="21" s="1"/>
  <c r="D28" i="21" s="1"/>
  <c r="AD12" i="21"/>
  <c r="AF12" i="21" s="1"/>
  <c r="D12" i="21" s="1"/>
  <c r="AD3" i="21"/>
  <c r="AF3" i="21" s="1"/>
  <c r="AD46" i="21"/>
  <c r="AF46" i="21" s="1"/>
  <c r="D46" i="21" s="1"/>
  <c r="AD38" i="21"/>
  <c r="AF38" i="21" s="1"/>
  <c r="D38" i="21" s="1"/>
  <c r="AD30" i="21"/>
  <c r="AF30" i="21" s="1"/>
  <c r="D30" i="21" s="1"/>
  <c r="AD22" i="21"/>
  <c r="AF22" i="21" s="1"/>
  <c r="D22" i="21" s="1"/>
  <c r="AD14" i="21"/>
  <c r="AF14" i="21" s="1"/>
  <c r="D14" i="21" s="1"/>
  <c r="AD47" i="21"/>
  <c r="AF47" i="21" s="1"/>
  <c r="D47" i="21" s="1"/>
  <c r="AD39" i="21"/>
  <c r="AF39" i="21" s="1"/>
  <c r="D39" i="21" s="1"/>
  <c r="AD31" i="21"/>
  <c r="AF31" i="21" s="1"/>
  <c r="D31" i="21" s="1"/>
  <c r="AD23" i="21"/>
  <c r="AF23" i="21" s="1"/>
  <c r="D23" i="21" s="1"/>
  <c r="AD15" i="21"/>
  <c r="AF15" i="21" s="1"/>
  <c r="D15" i="21" s="1"/>
  <c r="AD8" i="21"/>
  <c r="AF8" i="21" s="1"/>
  <c r="D8" i="21" s="1"/>
  <c r="AD48" i="21"/>
  <c r="AF48" i="21" s="1"/>
  <c r="D48" i="21" s="1"/>
  <c r="AD6" i="21"/>
  <c r="AF6" i="21" s="1"/>
  <c r="D6" i="21" s="1"/>
  <c r="AD16" i="21"/>
  <c r="AF16" i="21" s="1"/>
  <c r="D16" i="21" s="1"/>
  <c r="C4" i="21" l="1"/>
  <c r="C8" i="21"/>
  <c r="C12" i="21"/>
  <c r="C16" i="21"/>
  <c r="C20" i="21"/>
  <c r="C24" i="21"/>
  <c r="C28" i="21"/>
  <c r="C32" i="21"/>
  <c r="C36" i="21"/>
  <c r="C40" i="21"/>
  <c r="C44" i="21"/>
  <c r="C48" i="21"/>
  <c r="C52" i="21"/>
  <c r="C56" i="21"/>
  <c r="C60" i="21"/>
  <c r="C64" i="21"/>
  <c r="C68" i="21"/>
  <c r="C72" i="21"/>
  <c r="C76" i="21"/>
  <c r="C5" i="21"/>
  <c r="C9" i="21"/>
  <c r="C13" i="21"/>
  <c r="C17" i="21"/>
  <c r="C21" i="21"/>
  <c r="C25" i="21"/>
  <c r="C29" i="21"/>
  <c r="C33" i="21"/>
  <c r="C37" i="21"/>
  <c r="C41" i="21"/>
  <c r="C45" i="21"/>
  <c r="C49" i="21"/>
  <c r="C53" i="21"/>
  <c r="C57" i="21"/>
  <c r="C61" i="21"/>
  <c r="C65" i="21"/>
  <c r="C69" i="21"/>
  <c r="C73" i="21"/>
  <c r="C77" i="21"/>
  <c r="C6" i="21"/>
  <c r="C10" i="21"/>
  <c r="C14" i="21"/>
  <c r="C18" i="21"/>
  <c r="C22" i="21"/>
  <c r="C26" i="21"/>
  <c r="C30" i="21"/>
  <c r="C34" i="21"/>
  <c r="C38" i="21"/>
  <c r="C42" i="21"/>
  <c r="C46" i="21"/>
  <c r="C50" i="21"/>
  <c r="C54" i="21"/>
  <c r="C58" i="21"/>
  <c r="C62" i="21"/>
  <c r="C66" i="21"/>
  <c r="C70" i="21"/>
  <c r="C74" i="21"/>
  <c r="C7" i="21"/>
  <c r="C11" i="21"/>
  <c r="C15" i="21"/>
  <c r="C19" i="21"/>
  <c r="C23" i="21"/>
  <c r="C27" i="21"/>
  <c r="C31" i="21"/>
  <c r="C35" i="21"/>
  <c r="C39" i="21"/>
  <c r="C43" i="21"/>
  <c r="C47" i="21"/>
  <c r="C51" i="21"/>
  <c r="C55" i="21"/>
  <c r="C59" i="21"/>
  <c r="C63" i="21"/>
  <c r="C67" i="21"/>
  <c r="C71" i="21"/>
  <c r="C75" i="21"/>
  <c r="D3" i="21"/>
  <c r="C3" i="21"/>
  <c r="B77" i="21"/>
  <c r="B75" i="21"/>
  <c r="B59" i="21"/>
  <c r="B5" i="21"/>
  <c r="B72" i="21"/>
  <c r="B71" i="21"/>
  <c r="B15" i="21"/>
  <c r="B41" i="21"/>
  <c r="B76" i="21"/>
  <c r="B32" i="21"/>
  <c r="B28" i="21"/>
  <c r="B74" i="21"/>
  <c r="B17" i="21"/>
  <c r="B8" i="21"/>
  <c r="B46" i="21"/>
  <c r="B60" i="21"/>
  <c r="B57" i="21"/>
  <c r="B23" i="21"/>
  <c r="B54" i="21"/>
  <c r="B44" i="21"/>
  <c r="B33" i="21"/>
  <c r="B31" i="21"/>
  <c r="B70" i="21"/>
  <c r="B36" i="21"/>
  <c r="B47" i="21"/>
  <c r="B49" i="21"/>
  <c r="B51" i="21"/>
  <c r="B62" i="21"/>
  <c r="B61" i="21"/>
  <c r="B48" i="21"/>
  <c r="B38" i="21"/>
  <c r="B9" i="21"/>
  <c r="B69" i="21"/>
  <c r="B39" i="21"/>
  <c r="B64" i="21"/>
  <c r="B30" i="21"/>
  <c r="B50" i="21"/>
  <c r="B37" i="21"/>
  <c r="B16" i="21"/>
  <c r="B20" i="21"/>
  <c r="B13" i="21"/>
  <c r="B43" i="21"/>
  <c r="B65" i="21"/>
  <c r="B22" i="21"/>
  <c r="B42" i="21"/>
  <c r="B12" i="21"/>
  <c r="B11" i="21"/>
  <c r="B40" i="21"/>
  <c r="B55" i="21"/>
  <c r="B53" i="21"/>
  <c r="B10" i="21"/>
  <c r="B34" i="21"/>
  <c r="B29" i="21"/>
  <c r="B68" i="21"/>
  <c r="B4" i="21"/>
  <c r="B24" i="21"/>
  <c r="B67" i="21"/>
  <c r="B27" i="21"/>
  <c r="B35" i="21"/>
  <c r="B56" i="21"/>
  <c r="B63" i="21"/>
  <c r="B58" i="21"/>
  <c r="B26" i="21"/>
  <c r="B25" i="21"/>
  <c r="B18" i="21"/>
  <c r="B45" i="21"/>
  <c r="B19" i="21"/>
  <c r="B7" i="21"/>
  <c r="B66" i="21"/>
  <c r="B73" i="21"/>
  <c r="B14" i="21"/>
  <c r="B21" i="21"/>
  <c r="B52" i="21"/>
  <c r="B6" i="21"/>
  <c r="B3" i="21"/>
  <c r="G4" i="21"/>
  <c r="H4" i="21" s="1"/>
  <c r="B10" i="23" l="1"/>
  <c r="B21" i="23"/>
  <c r="B16" i="23"/>
  <c r="B15" i="23"/>
  <c r="B22" i="23"/>
  <c r="B6" i="23"/>
  <c r="B17" i="23"/>
  <c r="B12" i="23"/>
  <c r="B19" i="23"/>
  <c r="B11" i="23"/>
  <c r="B18" i="23"/>
  <c r="B13" i="23"/>
  <c r="B8" i="23"/>
  <c r="B3" i="23"/>
  <c r="C3" i="23" s="1"/>
  <c r="B5" i="23"/>
  <c r="B23" i="23"/>
  <c r="B7" i="23"/>
  <c r="B14" i="23"/>
  <c r="B9" i="23"/>
  <c r="B20" i="23"/>
  <c r="B4" i="23"/>
  <c r="B12" i="22"/>
  <c r="B77" i="22"/>
  <c r="B3" i="22"/>
  <c r="B67" i="22"/>
  <c r="B51" i="22"/>
  <c r="B35" i="22"/>
  <c r="B19" i="22"/>
  <c r="B74" i="22"/>
  <c r="B58" i="22"/>
  <c r="B42" i="22"/>
  <c r="B26" i="22"/>
  <c r="B10" i="22"/>
  <c r="B69" i="22"/>
  <c r="B53" i="22"/>
  <c r="B37" i="22"/>
  <c r="B21" i="22"/>
  <c r="B5" i="22"/>
  <c r="B64" i="22"/>
  <c r="B48" i="22"/>
  <c r="B32" i="22"/>
  <c r="B16" i="22"/>
  <c r="B63" i="22"/>
  <c r="B47" i="22"/>
  <c r="B31" i="22"/>
  <c r="B15" i="22"/>
  <c r="B70" i="22"/>
  <c r="B54" i="22"/>
  <c r="B38" i="22"/>
  <c r="B22" i="22"/>
  <c r="B6" i="22"/>
  <c r="B65" i="22"/>
  <c r="B49" i="22"/>
  <c r="B33" i="22"/>
  <c r="B17" i="22"/>
  <c r="B76" i="22"/>
  <c r="B60" i="22"/>
  <c r="B44" i="22"/>
  <c r="B28" i="22"/>
  <c r="B75" i="22"/>
  <c r="B59" i="22"/>
  <c r="B43" i="22"/>
  <c r="B27" i="22"/>
  <c r="B11" i="22"/>
  <c r="B66" i="22"/>
  <c r="B50" i="22"/>
  <c r="B34" i="22"/>
  <c r="B18" i="22"/>
  <c r="B61" i="22"/>
  <c r="B45" i="22"/>
  <c r="B29" i="22"/>
  <c r="B13" i="22"/>
  <c r="B72" i="22"/>
  <c r="B56" i="22"/>
  <c r="B40" i="22"/>
  <c r="B24" i="22"/>
  <c r="B8" i="22"/>
  <c r="B71" i="22"/>
  <c r="B55" i="22"/>
  <c r="B39" i="22"/>
  <c r="B23" i="22"/>
  <c r="B7" i="22"/>
  <c r="B62" i="22"/>
  <c r="B46" i="22"/>
  <c r="B30" i="22"/>
  <c r="B14" i="22"/>
  <c r="B73" i="22"/>
  <c r="B57" i="22"/>
  <c r="B41" i="22"/>
  <c r="B25" i="22"/>
  <c r="B9" i="22"/>
  <c r="B68" i="22"/>
  <c r="B52" i="22"/>
  <c r="B36" i="22"/>
  <c r="B20" i="22"/>
  <c r="B4" i="22"/>
  <c r="R5" i="21"/>
  <c r="R6" i="21"/>
  <c r="Q6" i="21"/>
  <c r="P6" i="21"/>
  <c r="Q5" i="21"/>
  <c r="P5" i="21"/>
  <c r="R2" i="21"/>
  <c r="R3" i="21"/>
  <c r="Q3" i="21"/>
  <c r="P3" i="21"/>
  <c r="Q2" i="21"/>
  <c r="P2" i="21"/>
  <c r="J2" i="21"/>
  <c r="I3" i="21"/>
  <c r="J3" i="21"/>
  <c r="J4" i="21"/>
  <c r="G5" i="21"/>
  <c r="H5" i="21" s="1"/>
  <c r="I4" i="21"/>
  <c r="H3" i="23" l="1"/>
  <c r="H4" i="23" s="1"/>
  <c r="G3" i="23"/>
  <c r="C4" i="23" s="1"/>
  <c r="C5" i="23" s="1"/>
  <c r="C6" i="23" s="1"/>
  <c r="C7" i="23" s="1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C21" i="23" s="1"/>
  <c r="C22" i="23" s="1"/>
  <c r="C23" i="23" s="1"/>
  <c r="D2" i="22"/>
  <c r="E2" i="22"/>
  <c r="R7" i="21"/>
  <c r="R8" i="21" s="1"/>
  <c r="R4" i="21"/>
  <c r="K2" i="21"/>
  <c r="P7" i="21"/>
  <c r="P8" i="21" s="1"/>
  <c r="P4" i="21"/>
  <c r="K4" i="21"/>
  <c r="K3" i="21"/>
  <c r="Q7" i="21"/>
  <c r="Q8" i="21" s="1"/>
  <c r="Q4" i="21"/>
  <c r="H5" i="23" l="1"/>
  <c r="H6" i="23" s="1"/>
  <c r="H7" i="23" s="1"/>
  <c r="H8" i="23" s="1"/>
  <c r="H9" i="23" s="1"/>
  <c r="H10" i="23" s="1"/>
  <c r="H11" i="23" s="1"/>
  <c r="H12" i="23" s="1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D4" i="23"/>
  <c r="E4" i="23" s="1"/>
  <c r="F4" i="23" s="1"/>
  <c r="I3" i="23"/>
  <c r="G4" i="23" s="1"/>
  <c r="D5" i="23"/>
  <c r="E5" i="23" s="1"/>
  <c r="F3" i="22"/>
  <c r="J5" i="21"/>
  <c r="G6" i="21"/>
  <c r="H6" i="21" s="1"/>
  <c r="I5" i="21"/>
  <c r="F5" i="23" l="1"/>
  <c r="J3" i="23"/>
  <c r="K3" i="23" s="1"/>
  <c r="L3" i="23" s="1"/>
  <c r="M3" i="23" s="1"/>
  <c r="D6" i="23"/>
  <c r="E6" i="23" s="1"/>
  <c r="D3" i="22"/>
  <c r="E3" i="22" s="1"/>
  <c r="F4" i="22" s="1"/>
  <c r="G3" i="22"/>
  <c r="K5" i="21"/>
  <c r="I4" i="23" l="1"/>
  <c r="G5" i="23" s="1"/>
  <c r="F6" i="23"/>
  <c r="D7" i="23"/>
  <c r="E7" i="23" s="1"/>
  <c r="F7" i="23" s="1"/>
  <c r="H3" i="22"/>
  <c r="D4" i="22"/>
  <c r="E4" i="22" s="1"/>
  <c r="F5" i="22" s="1"/>
  <c r="G4" i="22"/>
  <c r="H4" i="22" s="1"/>
  <c r="G7" i="21"/>
  <c r="H7" i="21" s="1"/>
  <c r="J6" i="21"/>
  <c r="I6" i="21"/>
  <c r="J4" i="23" l="1"/>
  <c r="K4" i="23" s="1"/>
  <c r="L4" i="23" s="1"/>
  <c r="M4" i="23" s="1"/>
  <c r="I5" i="23"/>
  <c r="G6" i="23" s="1"/>
  <c r="D8" i="23"/>
  <c r="E8" i="23" s="1"/>
  <c r="F8" i="23" s="1"/>
  <c r="I4" i="22"/>
  <c r="J4" i="22" s="1"/>
  <c r="D5" i="22"/>
  <c r="E5" i="22" s="1"/>
  <c r="F6" i="22" s="1"/>
  <c r="G5" i="22"/>
  <c r="H5" i="22" s="1"/>
  <c r="I3" i="22"/>
  <c r="J3" i="22" s="1"/>
  <c r="K6" i="21"/>
  <c r="I7" i="21"/>
  <c r="J5" i="23" l="1"/>
  <c r="K5" i="23" s="1"/>
  <c r="I6" i="23"/>
  <c r="G7" i="23" s="1"/>
  <c r="D9" i="23"/>
  <c r="E9" i="23" s="1"/>
  <c r="F9" i="23" s="1"/>
  <c r="D6" i="22"/>
  <c r="E6" i="22" s="1"/>
  <c r="F7" i="22" s="1"/>
  <c r="G6" i="22"/>
  <c r="H6" i="22" s="1"/>
  <c r="I5" i="22"/>
  <c r="J5" i="22" s="1"/>
  <c r="G8" i="21"/>
  <c r="H8" i="21" s="1"/>
  <c r="J7" i="21"/>
  <c r="J6" i="23" l="1"/>
  <c r="K6" i="23" s="1"/>
  <c r="L6" i="23" s="1"/>
  <c r="M6" i="23" s="1"/>
  <c r="I7" i="23"/>
  <c r="G8" i="23" s="1"/>
  <c r="L5" i="23"/>
  <c r="M5" i="23" s="1"/>
  <c r="D10" i="23"/>
  <c r="E10" i="23" s="1"/>
  <c r="D7" i="22"/>
  <c r="E7" i="22" s="1"/>
  <c r="F8" i="22" s="1"/>
  <c r="G7" i="22"/>
  <c r="H7" i="22" s="1"/>
  <c r="I7" i="22" s="1"/>
  <c r="J7" i="22" s="1"/>
  <c r="I6" i="22"/>
  <c r="J6" i="22" s="1"/>
  <c r="K7" i="21"/>
  <c r="I8" i="21"/>
  <c r="J7" i="23" l="1"/>
  <c r="K7" i="23" s="1"/>
  <c r="I8" i="23"/>
  <c r="G9" i="23" s="1"/>
  <c r="D11" i="23"/>
  <c r="E11" i="23" s="1"/>
  <c r="F11" i="23" s="1"/>
  <c r="F10" i="23"/>
  <c r="D8" i="22"/>
  <c r="E8" i="22" s="1"/>
  <c r="F9" i="22" s="1"/>
  <c r="G8" i="22"/>
  <c r="H8" i="22" s="1"/>
  <c r="J8" i="21"/>
  <c r="G9" i="21"/>
  <c r="H9" i="21" s="1"/>
  <c r="J8" i="23" l="1"/>
  <c r="K8" i="23" s="1"/>
  <c r="L8" i="23" s="1"/>
  <c r="M8" i="23" s="1"/>
  <c r="I9" i="23"/>
  <c r="G10" i="23" s="1"/>
  <c r="L7" i="23"/>
  <c r="M7" i="23" s="1"/>
  <c r="D12" i="23"/>
  <c r="E12" i="23" s="1"/>
  <c r="F12" i="23" s="1"/>
  <c r="I8" i="22"/>
  <c r="J8" i="22" s="1"/>
  <c r="D9" i="22"/>
  <c r="E9" i="22" s="1"/>
  <c r="F10" i="22" s="1"/>
  <c r="G9" i="22"/>
  <c r="H9" i="22" s="1"/>
  <c r="I9" i="22" s="1"/>
  <c r="J9" i="22" s="1"/>
  <c r="K8" i="21"/>
  <c r="J9" i="21"/>
  <c r="J9" i="23" l="1"/>
  <c r="K9" i="23" s="1"/>
  <c r="I10" i="23"/>
  <c r="G11" i="23" s="1"/>
  <c r="D13" i="23"/>
  <c r="E13" i="23" s="1"/>
  <c r="F13" i="23" s="1"/>
  <c r="D10" i="22"/>
  <c r="E10" i="22" s="1"/>
  <c r="F11" i="22" s="1"/>
  <c r="G10" i="22"/>
  <c r="H10" i="22" s="1"/>
  <c r="I10" i="22" s="1"/>
  <c r="J10" i="22" s="1"/>
  <c r="L2" i="21"/>
  <c r="M2" i="21"/>
  <c r="L9" i="21"/>
  <c r="K9" i="21"/>
  <c r="M9" i="21" s="1"/>
  <c r="L3" i="21"/>
  <c r="L4" i="21"/>
  <c r="M3" i="21"/>
  <c r="M4" i="21"/>
  <c r="L5" i="21"/>
  <c r="M5" i="21"/>
  <c r="L6" i="21"/>
  <c r="M6" i="21"/>
  <c r="L7" i="21"/>
  <c r="M7" i="21"/>
  <c r="I9" i="21"/>
  <c r="L8" i="21"/>
  <c r="M8" i="21"/>
  <c r="J10" i="23" l="1"/>
  <c r="K10" i="23" s="1"/>
  <c r="L10" i="23" s="1"/>
  <c r="M10" i="23" s="1"/>
  <c r="I11" i="23"/>
  <c r="G12" i="23" s="1"/>
  <c r="L9" i="23"/>
  <c r="M9" i="23" s="1"/>
  <c r="D14" i="23"/>
  <c r="E14" i="23" s="1"/>
  <c r="F14" i="23" s="1"/>
  <c r="D11" i="22"/>
  <c r="G11" i="22"/>
  <c r="H11" i="22" s="1"/>
  <c r="I11" i="22" s="1"/>
  <c r="J11" i="22" s="1"/>
  <c r="J11" i="23" l="1"/>
  <c r="K11" i="23" s="1"/>
  <c r="L11" i="23" s="1"/>
  <c r="M11" i="23" s="1"/>
  <c r="I12" i="23"/>
  <c r="G13" i="23" s="1"/>
  <c r="D15" i="23"/>
  <c r="E15" i="23" s="1"/>
  <c r="E11" i="22"/>
  <c r="F12" i="22" s="1"/>
  <c r="J12" i="23" l="1"/>
  <c r="K12" i="23" s="1"/>
  <c r="L12" i="23" s="1"/>
  <c r="M12" i="23" s="1"/>
  <c r="I13" i="23"/>
  <c r="G14" i="23" s="1"/>
  <c r="F15" i="23"/>
  <c r="D16" i="23"/>
  <c r="E16" i="23" s="1"/>
  <c r="F16" i="23" s="1"/>
  <c r="G12" i="22"/>
  <c r="H12" i="22" s="1"/>
  <c r="I12" i="22" s="1"/>
  <c r="J12" i="22" s="1"/>
  <c r="D12" i="22"/>
  <c r="E12" i="22" s="1"/>
  <c r="F13" i="22" s="1"/>
  <c r="J13" i="23" l="1"/>
  <c r="K13" i="23" s="1"/>
  <c r="L13" i="23" s="1"/>
  <c r="M13" i="23" s="1"/>
  <c r="I14" i="23"/>
  <c r="G15" i="23" s="1"/>
  <c r="D17" i="23"/>
  <c r="E17" i="23" s="1"/>
  <c r="F17" i="23" s="1"/>
  <c r="G13" i="22"/>
  <c r="H13" i="22" s="1"/>
  <c r="I13" i="22" s="1"/>
  <c r="J13" i="22" s="1"/>
  <c r="D13" i="22"/>
  <c r="E13" i="22" s="1"/>
  <c r="F14" i="22" s="1"/>
  <c r="J14" i="23" l="1"/>
  <c r="K14" i="23" s="1"/>
  <c r="L14" i="23" s="1"/>
  <c r="M14" i="23" s="1"/>
  <c r="I15" i="23"/>
  <c r="G16" i="23" s="1"/>
  <c r="D18" i="23"/>
  <c r="E18" i="23" s="1"/>
  <c r="D14" i="22"/>
  <c r="E14" i="22" s="1"/>
  <c r="F15" i="22" s="1"/>
  <c r="G14" i="22"/>
  <c r="H14" i="22" s="1"/>
  <c r="I14" i="22" s="1"/>
  <c r="J14" i="22" s="1"/>
  <c r="J15" i="23" l="1"/>
  <c r="K15" i="23" s="1"/>
  <c r="L15" i="23" s="1"/>
  <c r="M15" i="23" s="1"/>
  <c r="I16" i="23"/>
  <c r="G17" i="23" s="1"/>
  <c r="D19" i="23"/>
  <c r="E19" i="23" s="1"/>
  <c r="F19" i="23" s="1"/>
  <c r="F18" i="23"/>
  <c r="D15" i="22"/>
  <c r="E15" i="22" s="1"/>
  <c r="F16" i="22" s="1"/>
  <c r="D16" i="22" s="1"/>
  <c r="G15" i="22"/>
  <c r="H15" i="22" s="1"/>
  <c r="I15" i="22" s="1"/>
  <c r="J15" i="22" s="1"/>
  <c r="J16" i="23" l="1"/>
  <c r="K16" i="23" s="1"/>
  <c r="I17" i="23"/>
  <c r="G18" i="23" s="1"/>
  <c r="D20" i="23"/>
  <c r="E20" i="23" s="1"/>
  <c r="G16" i="22"/>
  <c r="H16" i="22" s="1"/>
  <c r="I16" i="22" s="1"/>
  <c r="J16" i="22" s="1"/>
  <c r="E16" i="22"/>
  <c r="F17" i="22" s="1"/>
  <c r="J17" i="23" l="1"/>
  <c r="K17" i="23" s="1"/>
  <c r="L17" i="23" s="1"/>
  <c r="M17" i="23" s="1"/>
  <c r="I18" i="23"/>
  <c r="G19" i="23" s="1"/>
  <c r="L16" i="23"/>
  <c r="M16" i="23" s="1"/>
  <c r="F20" i="23"/>
  <c r="D21" i="23"/>
  <c r="E21" i="23" s="1"/>
  <c r="F21" i="23" s="1"/>
  <c r="D17" i="22"/>
  <c r="G17" i="22"/>
  <c r="J18" i="23" l="1"/>
  <c r="K18" i="23" s="1"/>
  <c r="I19" i="23"/>
  <c r="G20" i="23" s="1"/>
  <c r="D23" i="23"/>
  <c r="E23" i="23" s="1"/>
  <c r="D22" i="23"/>
  <c r="E22" i="23" s="1"/>
  <c r="F22" i="23" s="1"/>
  <c r="E17" i="22"/>
  <c r="F18" i="22" s="1"/>
  <c r="H17" i="22"/>
  <c r="I17" i="22" s="1"/>
  <c r="J17" i="22" s="1"/>
  <c r="J19" i="23" l="1"/>
  <c r="K19" i="23" s="1"/>
  <c r="L19" i="23" s="1"/>
  <c r="M19" i="23" s="1"/>
  <c r="I20" i="23"/>
  <c r="G21" i="23" s="1"/>
  <c r="L18" i="23"/>
  <c r="M18" i="23" s="1"/>
  <c r="F23" i="23"/>
  <c r="O4" i="23" s="1"/>
  <c r="D18" i="22"/>
  <c r="G18" i="22"/>
  <c r="J20" i="23" l="1"/>
  <c r="K20" i="23" s="1"/>
  <c r="L20" i="23" s="1"/>
  <c r="M20" i="23" s="1"/>
  <c r="I21" i="23"/>
  <c r="G22" i="23" s="1"/>
  <c r="E18" i="22"/>
  <c r="F19" i="22" s="1"/>
  <c r="H18" i="22"/>
  <c r="I18" i="22" s="1"/>
  <c r="J18" i="22" s="1"/>
  <c r="J21" i="23" l="1"/>
  <c r="K21" i="23" s="1"/>
  <c r="L21" i="23" s="1"/>
  <c r="M21" i="23" s="1"/>
  <c r="I22" i="23"/>
  <c r="G23" i="23" s="1"/>
  <c r="D19" i="22"/>
  <c r="G19" i="22"/>
  <c r="J22" i="23" l="1"/>
  <c r="I23" i="23"/>
  <c r="J23" i="23" s="1"/>
  <c r="K23" i="23" s="1"/>
  <c r="E19" i="22"/>
  <c r="F20" i="22" s="1"/>
  <c r="H19" i="22"/>
  <c r="I19" i="22" s="1"/>
  <c r="J19" i="22" s="1"/>
  <c r="K22" i="23" l="1"/>
  <c r="L22" i="23" s="1"/>
  <c r="M22" i="23" s="1"/>
  <c r="D20" i="22"/>
  <c r="G20" i="22"/>
  <c r="L23" i="23" l="1"/>
  <c r="E20" i="22"/>
  <c r="F21" i="22" s="1"/>
  <c r="H20" i="22"/>
  <c r="I20" i="22" s="1"/>
  <c r="J20" i="22" s="1"/>
  <c r="N17" i="23" l="1"/>
  <c r="M23" i="23"/>
  <c r="D21" i="22"/>
  <c r="G21" i="22"/>
  <c r="E21" i="22" l="1"/>
  <c r="F22" i="22" s="1"/>
  <c r="H21" i="22"/>
  <c r="I21" i="22" s="1"/>
  <c r="J21" i="22" s="1"/>
  <c r="D22" i="22" l="1"/>
  <c r="G22" i="22"/>
  <c r="E22" i="22" l="1"/>
  <c r="F23" i="22" s="1"/>
  <c r="H22" i="22"/>
  <c r="I22" i="22" s="1"/>
  <c r="J22" i="22" s="1"/>
  <c r="D23" i="22" l="1"/>
  <c r="G23" i="22"/>
  <c r="E23" i="22" l="1"/>
  <c r="F24" i="22" s="1"/>
  <c r="H23" i="22"/>
  <c r="I23" i="22" s="1"/>
  <c r="J23" i="22" s="1"/>
  <c r="D24" i="22" l="1"/>
  <c r="G24" i="22"/>
  <c r="E24" i="22" l="1"/>
  <c r="F25" i="22" s="1"/>
  <c r="H24" i="22"/>
  <c r="I24" i="22" s="1"/>
  <c r="J24" i="22" s="1"/>
  <c r="D25" i="22" l="1"/>
  <c r="G25" i="22"/>
  <c r="E25" i="22" l="1"/>
  <c r="F26" i="22" s="1"/>
  <c r="H25" i="22"/>
  <c r="I25" i="22" s="1"/>
  <c r="J25" i="22" s="1"/>
  <c r="D26" i="22" l="1"/>
  <c r="G26" i="22"/>
  <c r="E26" i="22" l="1"/>
  <c r="F27" i="22" s="1"/>
  <c r="H26" i="22"/>
  <c r="I26" i="22" s="1"/>
  <c r="J26" i="22" s="1"/>
  <c r="D27" i="22" l="1"/>
  <c r="G27" i="22"/>
  <c r="E27" i="22" l="1"/>
  <c r="F28" i="22" s="1"/>
  <c r="H27" i="22"/>
  <c r="I27" i="22" s="1"/>
  <c r="J27" i="22" s="1"/>
  <c r="D28" i="22" l="1"/>
  <c r="G28" i="22"/>
  <c r="E28" i="22" l="1"/>
  <c r="F29" i="22" s="1"/>
  <c r="H28" i="22"/>
  <c r="I28" i="22" s="1"/>
  <c r="J28" i="22" s="1"/>
  <c r="D29" i="22" l="1"/>
  <c r="G29" i="22"/>
  <c r="E29" i="22" l="1"/>
  <c r="F30" i="22" s="1"/>
  <c r="H29" i="22"/>
  <c r="I29" i="22" s="1"/>
  <c r="J29" i="22" s="1"/>
  <c r="D30" i="22" l="1"/>
  <c r="G30" i="22"/>
  <c r="E30" i="22" l="1"/>
  <c r="F31" i="22" s="1"/>
  <c r="H30" i="22"/>
  <c r="I30" i="22" s="1"/>
  <c r="J30" i="22" s="1"/>
  <c r="D31" i="22" l="1"/>
  <c r="G31" i="22"/>
  <c r="E31" i="22" l="1"/>
  <c r="F32" i="22" s="1"/>
  <c r="H31" i="22"/>
  <c r="I31" i="22" s="1"/>
  <c r="J31" i="22" s="1"/>
  <c r="D32" i="22" l="1"/>
  <c r="G32" i="22"/>
  <c r="E32" i="22" l="1"/>
  <c r="F33" i="22" s="1"/>
  <c r="H32" i="22"/>
  <c r="I32" i="22" s="1"/>
  <c r="J32" i="22" s="1"/>
  <c r="D33" i="22" l="1"/>
  <c r="G33" i="22"/>
  <c r="E33" i="22" l="1"/>
  <c r="F34" i="22" s="1"/>
  <c r="H33" i="22"/>
  <c r="I33" i="22" s="1"/>
  <c r="J33" i="22" s="1"/>
  <c r="D34" i="22" l="1"/>
  <c r="G34" i="22"/>
  <c r="E34" i="22" l="1"/>
  <c r="F35" i="22" s="1"/>
  <c r="H34" i="22"/>
  <c r="I34" i="22" s="1"/>
  <c r="J34" i="22" s="1"/>
  <c r="D35" i="22" l="1"/>
  <c r="G35" i="22"/>
  <c r="E35" i="22" l="1"/>
  <c r="F36" i="22" s="1"/>
  <c r="H35" i="22"/>
  <c r="I35" i="22" s="1"/>
  <c r="J35" i="22" s="1"/>
  <c r="D36" i="22" l="1"/>
  <c r="G36" i="22"/>
  <c r="E36" i="22" l="1"/>
  <c r="F37" i="22" s="1"/>
  <c r="H36" i="22"/>
  <c r="I36" i="22" s="1"/>
  <c r="J36" i="22" s="1"/>
  <c r="D37" i="22" l="1"/>
  <c r="G37" i="22"/>
  <c r="E37" i="22" l="1"/>
  <c r="F38" i="22" s="1"/>
  <c r="H37" i="22"/>
  <c r="I37" i="22" s="1"/>
  <c r="J37" i="22" s="1"/>
  <c r="D38" i="22" l="1"/>
  <c r="G38" i="22"/>
  <c r="E38" i="22" l="1"/>
  <c r="F39" i="22" s="1"/>
  <c r="H38" i="22"/>
  <c r="I38" i="22" s="1"/>
  <c r="J38" i="22" s="1"/>
  <c r="D39" i="22" l="1"/>
  <c r="G39" i="22"/>
  <c r="E39" i="22" l="1"/>
  <c r="F40" i="22" s="1"/>
  <c r="H39" i="22"/>
  <c r="I39" i="22" s="1"/>
  <c r="J39" i="22" s="1"/>
  <c r="D40" i="22" l="1"/>
  <c r="G40" i="22"/>
  <c r="E40" i="22" l="1"/>
  <c r="F41" i="22" s="1"/>
  <c r="H40" i="22"/>
  <c r="I40" i="22" s="1"/>
  <c r="J40" i="22" s="1"/>
  <c r="D41" i="22" l="1"/>
  <c r="G41" i="22"/>
  <c r="E41" i="22" l="1"/>
  <c r="F42" i="22" s="1"/>
  <c r="H41" i="22"/>
  <c r="I41" i="22" s="1"/>
  <c r="J41" i="22" s="1"/>
  <c r="D42" i="22" l="1"/>
  <c r="G42" i="22"/>
  <c r="E42" i="22" l="1"/>
  <c r="F43" i="22" s="1"/>
  <c r="H42" i="22"/>
  <c r="D43" i="22" l="1"/>
  <c r="G43" i="22"/>
  <c r="I42" i="22"/>
  <c r="J42" i="22" s="1"/>
  <c r="E43" i="22" l="1"/>
  <c r="F44" i="22" s="1"/>
  <c r="H43" i="22"/>
  <c r="D44" i="22" l="1"/>
  <c r="G44" i="22"/>
  <c r="I43" i="22"/>
  <c r="J43" i="22" s="1"/>
  <c r="E44" i="22" l="1"/>
  <c r="F45" i="22" s="1"/>
  <c r="H44" i="22"/>
  <c r="D45" i="22" l="1"/>
  <c r="G45" i="22"/>
  <c r="I44" i="22"/>
  <c r="J44" i="22" s="1"/>
  <c r="E45" i="22" l="1"/>
  <c r="F46" i="22" s="1"/>
  <c r="H45" i="22"/>
  <c r="D46" i="22" l="1"/>
  <c r="G46" i="22"/>
  <c r="I45" i="22"/>
  <c r="J45" i="22" s="1"/>
  <c r="E46" i="22" l="1"/>
  <c r="F47" i="22" s="1"/>
  <c r="H46" i="22"/>
  <c r="D47" i="22" l="1"/>
  <c r="G47" i="22"/>
  <c r="I46" i="22"/>
  <c r="J46" i="22" s="1"/>
  <c r="E47" i="22" l="1"/>
  <c r="F48" i="22" s="1"/>
  <c r="H47" i="22"/>
  <c r="I47" i="22" s="1"/>
  <c r="J47" i="22" s="1"/>
  <c r="D48" i="22" l="1"/>
  <c r="G48" i="22"/>
  <c r="E48" i="22" l="1"/>
  <c r="F49" i="22" s="1"/>
  <c r="H48" i="22"/>
  <c r="I48" i="22" s="1"/>
  <c r="J48" i="22" s="1"/>
  <c r="D49" i="22" l="1"/>
  <c r="G49" i="22"/>
  <c r="E49" i="22" l="1"/>
  <c r="F50" i="22" s="1"/>
  <c r="H49" i="22"/>
  <c r="I49" i="22" s="1"/>
  <c r="J49" i="22" s="1"/>
  <c r="D50" i="22" l="1"/>
  <c r="G50" i="22"/>
  <c r="E50" i="22" l="1"/>
  <c r="F51" i="22" s="1"/>
  <c r="H50" i="22"/>
  <c r="I50" i="22" s="1"/>
  <c r="J50" i="22" s="1"/>
  <c r="D51" i="22" l="1"/>
  <c r="G51" i="22"/>
  <c r="E51" i="22" l="1"/>
  <c r="F52" i="22" s="1"/>
  <c r="H51" i="22"/>
  <c r="I51" i="22" s="1"/>
  <c r="J51" i="22" s="1"/>
  <c r="D52" i="22" l="1"/>
  <c r="G52" i="22"/>
  <c r="E52" i="22" l="1"/>
  <c r="F53" i="22" s="1"/>
  <c r="H52" i="22"/>
  <c r="I52" i="22" s="1"/>
  <c r="J52" i="22" s="1"/>
  <c r="D53" i="22" l="1"/>
  <c r="G53" i="22"/>
  <c r="E53" i="22" l="1"/>
  <c r="F54" i="22" s="1"/>
  <c r="H53" i="22"/>
  <c r="I53" i="22" s="1"/>
  <c r="J53" i="22" s="1"/>
  <c r="D54" i="22" l="1"/>
  <c r="G54" i="22"/>
  <c r="E54" i="22" l="1"/>
  <c r="F55" i="22" s="1"/>
  <c r="H54" i="22"/>
  <c r="I54" i="22" s="1"/>
  <c r="J54" i="22" s="1"/>
  <c r="D55" i="22" l="1"/>
  <c r="G55" i="22"/>
  <c r="E55" i="22" l="1"/>
  <c r="F56" i="22" s="1"/>
  <c r="H55" i="22"/>
  <c r="I55" i="22" s="1"/>
  <c r="J55" i="22" s="1"/>
  <c r="D56" i="22" l="1"/>
  <c r="G56" i="22"/>
  <c r="E56" i="22" l="1"/>
  <c r="F57" i="22" s="1"/>
  <c r="H56" i="22"/>
  <c r="I56" i="22" s="1"/>
  <c r="J56" i="22" s="1"/>
  <c r="D57" i="22" l="1"/>
  <c r="G57" i="22"/>
  <c r="E57" i="22" l="1"/>
  <c r="F58" i="22" s="1"/>
  <c r="H57" i="22"/>
  <c r="I57" i="22" s="1"/>
  <c r="J57" i="22" s="1"/>
  <c r="D58" i="22" l="1"/>
  <c r="G58" i="22"/>
  <c r="E58" i="22" l="1"/>
  <c r="F59" i="22" s="1"/>
  <c r="H58" i="22"/>
  <c r="I58" i="22" s="1"/>
  <c r="J58" i="22" s="1"/>
  <c r="D59" i="22" l="1"/>
  <c r="G59" i="22"/>
  <c r="E59" i="22" l="1"/>
  <c r="F60" i="22" s="1"/>
  <c r="H59" i="22"/>
  <c r="I59" i="22" s="1"/>
  <c r="J59" i="22" s="1"/>
  <c r="D60" i="22" l="1"/>
  <c r="G60" i="22"/>
  <c r="H60" i="22" l="1"/>
  <c r="I60" i="22" s="1"/>
  <c r="J60" i="22" s="1"/>
  <c r="E60" i="22"/>
  <c r="F61" i="22" s="1"/>
  <c r="D61" i="22" l="1"/>
  <c r="G61" i="22"/>
  <c r="E61" i="22" l="1"/>
  <c r="F62" i="22" s="1"/>
  <c r="H61" i="22"/>
  <c r="I61" i="22" s="1"/>
  <c r="J61" i="22" s="1"/>
  <c r="D62" i="22" l="1"/>
  <c r="G62" i="22"/>
  <c r="E62" i="22" l="1"/>
  <c r="F63" i="22" s="1"/>
  <c r="H62" i="22"/>
  <c r="I62" i="22" s="1"/>
  <c r="J62" i="22" s="1"/>
  <c r="D63" i="22" l="1"/>
  <c r="G63" i="22"/>
  <c r="E63" i="22" l="1"/>
  <c r="F64" i="22" s="1"/>
  <c r="H63" i="22"/>
  <c r="I63" i="22" s="1"/>
  <c r="J63" i="22" s="1"/>
  <c r="D64" i="22" l="1"/>
  <c r="G64" i="22"/>
  <c r="E64" i="22" l="1"/>
  <c r="F65" i="22" s="1"/>
  <c r="H64" i="22"/>
  <c r="I64" i="22" s="1"/>
  <c r="J64" i="22" s="1"/>
  <c r="D65" i="22" l="1"/>
  <c r="G65" i="22"/>
  <c r="E65" i="22" l="1"/>
  <c r="F66" i="22" s="1"/>
  <c r="H65" i="22"/>
  <c r="I65" i="22" s="1"/>
  <c r="J65" i="22" s="1"/>
  <c r="D66" i="22" l="1"/>
  <c r="G66" i="22"/>
  <c r="E66" i="22" l="1"/>
  <c r="F67" i="22" s="1"/>
  <c r="H66" i="22"/>
  <c r="I66" i="22" s="1"/>
  <c r="J66" i="22" s="1"/>
  <c r="D67" i="22" l="1"/>
  <c r="G67" i="22"/>
  <c r="E67" i="22" l="1"/>
  <c r="F68" i="22" s="1"/>
  <c r="H67" i="22"/>
  <c r="I67" i="22" s="1"/>
  <c r="J67" i="22" s="1"/>
  <c r="D68" i="22" l="1"/>
  <c r="G68" i="22"/>
  <c r="E68" i="22" l="1"/>
  <c r="F69" i="22" s="1"/>
  <c r="H68" i="22"/>
  <c r="I68" i="22" s="1"/>
  <c r="J68" i="22" s="1"/>
  <c r="D69" i="22" l="1"/>
  <c r="G69" i="22"/>
  <c r="E69" i="22" l="1"/>
  <c r="F70" i="22" s="1"/>
  <c r="H69" i="22"/>
  <c r="I69" i="22" s="1"/>
  <c r="J69" i="22" s="1"/>
  <c r="D70" i="22" l="1"/>
  <c r="G70" i="22"/>
  <c r="E70" i="22" l="1"/>
  <c r="F71" i="22" s="1"/>
  <c r="H70" i="22"/>
  <c r="I70" i="22" s="1"/>
  <c r="J70" i="22" s="1"/>
  <c r="D71" i="22" l="1"/>
  <c r="G71" i="22"/>
  <c r="E71" i="22" l="1"/>
  <c r="F72" i="22" s="1"/>
  <c r="H71" i="22"/>
  <c r="I71" i="22" s="1"/>
  <c r="J71" i="22" s="1"/>
  <c r="D72" i="22" l="1"/>
  <c r="G72" i="22"/>
  <c r="E72" i="22" l="1"/>
  <c r="F73" i="22" s="1"/>
  <c r="H72" i="22"/>
  <c r="I72" i="22" s="1"/>
  <c r="J72" i="22" s="1"/>
  <c r="D73" i="22" l="1"/>
  <c r="G73" i="22"/>
  <c r="E73" i="22" l="1"/>
  <c r="F74" i="22" s="1"/>
  <c r="H73" i="22"/>
  <c r="I73" i="22" s="1"/>
  <c r="J73" i="22" s="1"/>
  <c r="D74" i="22" l="1"/>
  <c r="G74" i="22"/>
  <c r="E74" i="22" l="1"/>
  <c r="F75" i="22" s="1"/>
  <c r="H74" i="22"/>
  <c r="I74" i="22" s="1"/>
  <c r="J74" i="22" s="1"/>
  <c r="D75" i="22" l="1"/>
  <c r="G75" i="22"/>
  <c r="E75" i="22" l="1"/>
  <c r="F76" i="22" s="1"/>
  <c r="H75" i="22"/>
  <c r="I75" i="22" s="1"/>
  <c r="J75" i="22" s="1"/>
  <c r="D76" i="22" l="1"/>
  <c r="G76" i="22"/>
  <c r="E76" i="22" l="1"/>
  <c r="F77" i="22" s="1"/>
  <c r="H76" i="22"/>
  <c r="I76" i="22" s="1"/>
  <c r="J76" i="22" s="1"/>
  <c r="D77" i="22" l="1"/>
  <c r="G77" i="22"/>
  <c r="G78" i="22" l="1"/>
  <c r="K77" i="22" s="1"/>
  <c r="E77" i="22"/>
  <c r="F78" i="22" s="1"/>
  <c r="H77" i="22"/>
  <c r="H78" i="22" l="1"/>
  <c r="K3" i="22"/>
  <c r="K5" i="22"/>
  <c r="K4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I77" i="22"/>
  <c r="O1" i="22" s="1"/>
  <c r="M5" i="22" l="1"/>
  <c r="I78" i="22"/>
  <c r="J77" i="22"/>
  <c r="L3" i="22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N5" i="23" l="1"/>
  <c r="Q1" i="23"/>
</calcChain>
</file>

<file path=xl/sharedStrings.xml><?xml version="1.0" encoding="utf-8"?>
<sst xmlns="http://schemas.openxmlformats.org/spreadsheetml/2006/main" count="45" uniqueCount="35">
  <si>
    <t>Mean</t>
  </si>
  <si>
    <t>Min</t>
  </si>
  <si>
    <t>StdDev</t>
  </si>
  <si>
    <t>CV</t>
  </si>
  <si>
    <t>Max</t>
  </si>
  <si>
    <t>Range</t>
  </si>
  <si>
    <t>E</t>
  </si>
  <si>
    <t>MAD</t>
  </si>
  <si>
    <t>Do Not Write on these four columns A-D</t>
  </si>
  <si>
    <t xml:space="preserve">Not Trend </t>
  </si>
  <si>
    <t>Trend</t>
  </si>
  <si>
    <t>Actual</t>
  </si>
  <si>
    <t>Range/5Mean</t>
  </si>
  <si>
    <t>|E|</t>
  </si>
  <si>
    <t>T&amp;RanS</t>
  </si>
  <si>
    <t>Seas</t>
  </si>
  <si>
    <t>Per.</t>
  </si>
  <si>
    <t>Std.S</t>
  </si>
  <si>
    <t>Trend&amp;S</t>
  </si>
  <si>
    <t>These data were generated using the procedure in columns AB to AI</t>
  </si>
  <si>
    <t>Random</t>
  </si>
  <si>
    <t>(E-MeanE)^2</t>
  </si>
  <si>
    <t>ES-Level</t>
  </si>
  <si>
    <t>ES-Forc</t>
  </si>
  <si>
    <t>Trens</t>
  </si>
  <si>
    <t>alpha=</t>
  </si>
  <si>
    <t>Beta=</t>
  </si>
  <si>
    <t>Tracking Signal</t>
  </si>
  <si>
    <t>ES</t>
  </si>
  <si>
    <t>At</t>
  </si>
  <si>
    <t>TS</t>
  </si>
  <si>
    <t>Level</t>
  </si>
  <si>
    <t>TAES</t>
  </si>
  <si>
    <t>.8,.8</t>
  </si>
  <si>
    <t>B3/10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</si>
</sst>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2" fillId="0" borderId="0"/>
  </cellStyleXfs>
  <cellXfs count="60">
    <xf numFmtId="0" fontId="0" fillId="0" borderId="0" xfId="0"/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166" fontId="9" fillId="8" borderId="0" xfId="0" applyNumberFormat="1" applyFont="1" applyFill="1"/>
    <xf numFmtId="164" fontId="9" fillId="8" borderId="0" xfId="0" applyNumberFormat="1" applyFont="1" applyFill="1"/>
    <xf numFmtId="0" fontId="5" fillId="0" borderId="0" xfId="0" applyFont="1" applyAlignment="1">
      <alignment horizontal="left"/>
    </xf>
    <xf numFmtId="0" fontId="2" fillId="0" borderId="0" xfId="3"/>
    <xf numFmtId="0" fontId="2" fillId="0" borderId="0" xfId="3" applyAlignment="1">
      <alignment horizontal="left"/>
    </xf>
    <xf numFmtId="0" fontId="2" fillId="0" borderId="0" xfId="3" applyFont="1"/>
    <xf numFmtId="0" fontId="7" fillId="0" borderId="0" xfId="3" applyFont="1"/>
    <xf numFmtId="0" fontId="2" fillId="4" borderId="0" xfId="3" applyFill="1"/>
    <xf numFmtId="0" fontId="2" fillId="4" borderId="0" xfId="3" applyFont="1" applyFill="1"/>
    <xf numFmtId="0" fontId="2" fillId="6" borderId="0" xfId="3" applyFont="1" applyFill="1" applyAlignment="1">
      <alignment horizontal="center"/>
    </xf>
    <xf numFmtId="0" fontId="2" fillId="3" borderId="0" xfId="3" applyFont="1" applyFill="1" applyAlignment="1">
      <alignment horizontal="center"/>
    </xf>
    <xf numFmtId="0" fontId="2" fillId="0" borderId="0" xfId="3" applyAlignment="1">
      <alignment horizontal="center"/>
    </xf>
    <xf numFmtId="0" fontId="2" fillId="2" borderId="0" xfId="3" applyFill="1" applyAlignment="1">
      <alignment horizontal="center"/>
    </xf>
    <xf numFmtId="0" fontId="2" fillId="2" borderId="0" xfId="3" applyFill="1"/>
    <xf numFmtId="0" fontId="2" fillId="0" borderId="1" xfId="3" applyFont="1" applyBorder="1"/>
    <xf numFmtId="164" fontId="2" fillId="6" borderId="2" xfId="3" applyNumberFormat="1" applyFill="1" applyBorder="1" applyAlignment="1">
      <alignment horizontal="left"/>
    </xf>
    <xf numFmtId="164" fontId="2" fillId="3" borderId="2" xfId="3" applyNumberFormat="1" applyFill="1" applyBorder="1" applyAlignment="1">
      <alignment horizontal="left"/>
    </xf>
    <xf numFmtId="0" fontId="5" fillId="0" borderId="0" xfId="4"/>
    <xf numFmtId="0" fontId="2" fillId="0" borderId="3" xfId="3" applyFont="1" applyBorder="1"/>
    <xf numFmtId="0" fontId="2" fillId="0" borderId="0" xfId="5"/>
    <xf numFmtId="165" fontId="2" fillId="6" borderId="0" xfId="3" applyNumberFormat="1" applyFont="1" applyFill="1" applyBorder="1" applyAlignment="1">
      <alignment horizontal="left"/>
    </xf>
    <xf numFmtId="165" fontId="2" fillId="3" borderId="0" xfId="3" applyNumberFormat="1" applyFont="1" applyFill="1" applyBorder="1" applyAlignment="1">
      <alignment horizontal="left"/>
    </xf>
    <xf numFmtId="0" fontId="2" fillId="6" borderId="0" xfId="3" applyFill="1" applyBorder="1" applyAlignment="1">
      <alignment horizontal="left"/>
    </xf>
    <xf numFmtId="0" fontId="2" fillId="3" borderId="0" xfId="3" applyFill="1" applyBorder="1" applyAlignment="1">
      <alignment horizontal="left"/>
    </xf>
    <xf numFmtId="0" fontId="2" fillId="0" borderId="4" xfId="3" applyFont="1" applyBorder="1"/>
    <xf numFmtId="2" fontId="2" fillId="6" borderId="5" xfId="3" applyNumberFormat="1" applyFill="1" applyBorder="1" applyAlignment="1">
      <alignment horizontal="left"/>
    </xf>
    <xf numFmtId="2" fontId="2" fillId="3" borderId="5" xfId="3" applyNumberFormat="1" applyFill="1" applyBorder="1" applyAlignment="1">
      <alignment horizontal="left"/>
    </xf>
    <xf numFmtId="0" fontId="1" fillId="0" borderId="0" xfId="3" applyFont="1" applyAlignment="1">
      <alignment horizontal="left"/>
    </xf>
    <xf numFmtId="0" fontId="2" fillId="6" borderId="0" xfId="3" applyFill="1" applyAlignment="1">
      <alignment horizontal="center"/>
    </xf>
    <xf numFmtId="0" fontId="2" fillId="3" borderId="0" xfId="3" applyFill="1" applyAlignment="1">
      <alignment horizontal="center"/>
    </xf>
    <xf numFmtId="0" fontId="2" fillId="7" borderId="0" xfId="3" applyFill="1" applyAlignment="1">
      <alignment horizontal="center"/>
    </xf>
    <xf numFmtId="0" fontId="1" fillId="7" borderId="0" xfId="3" applyFont="1" applyFill="1" applyAlignment="1">
      <alignment horizontal="center"/>
    </xf>
    <xf numFmtId="164" fontId="2" fillId="7" borderId="2" xfId="3" applyNumberFormat="1" applyFill="1" applyBorder="1" applyAlignment="1">
      <alignment horizontal="left"/>
    </xf>
    <xf numFmtId="165" fontId="2" fillId="7" borderId="0" xfId="3" applyNumberFormat="1" applyFont="1" applyFill="1" applyBorder="1" applyAlignment="1">
      <alignment horizontal="left"/>
    </xf>
    <xf numFmtId="0" fontId="2" fillId="7" borderId="0" xfId="3" applyFill="1" applyBorder="1" applyAlignment="1">
      <alignment horizontal="left"/>
    </xf>
    <xf numFmtId="2" fontId="2" fillId="7" borderId="5" xfId="3" applyNumberFormat="1" applyFill="1" applyBorder="1" applyAlignment="1">
      <alignment horizontal="left"/>
    </xf>
    <xf numFmtId="0" fontId="8" fillId="2" borderId="0" xfId="3" applyFont="1" applyFill="1"/>
    <xf numFmtId="0" fontId="2" fillId="2" borderId="0" xfId="3" applyFont="1" applyFill="1" applyAlignment="1">
      <alignment horizontal="right"/>
    </xf>
    <xf numFmtId="0" fontId="2" fillId="2" borderId="0" xfId="3" applyFill="1" applyAlignment="1">
      <alignment horizontal="left"/>
    </xf>
    <xf numFmtId="1" fontId="6" fillId="0" borderId="2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9" borderId="0" xfId="0" applyNumberFormat="1" applyFill="1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" fontId="0" fillId="0" borderId="0" xfId="0" applyNumberFormat="1"/>
    <xf numFmtId="164" fontId="0" fillId="0" borderId="0" xfId="0" applyNumberFormat="1" applyBorder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5" fillId="0" borderId="0" xfId="0" applyFont="1"/>
    <xf numFmtId="1" fontId="9" fillId="10" borderId="0" xfId="0" applyNumberFormat="1" applyFont="1" applyFill="1" applyBorder="1" applyAlignment="1">
      <alignment horizontal="center"/>
    </xf>
  </cellXfs>
  <cellStyles count="6">
    <cellStyle name="Normal" xfId="0" builtinId="0"/>
    <cellStyle name="Normal 2" xfId="1"/>
    <cellStyle name="Normal 2 2" xfId="3"/>
    <cellStyle name="Normal 3" xfId="2"/>
    <cellStyle name="Normal 3 2" xfId="5"/>
    <cellStyle name="Normal 4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ArdiData!$D$2</c:f>
              <c:strCache>
                <c:ptCount val="1"/>
                <c:pt idx="0">
                  <c:v>Trend&amp;S</c:v>
                </c:pt>
              </c:strCache>
            </c:strRef>
          </c:tx>
          <c:xVal>
            <c:numRef>
              <c:f>ArdiData!$A$3:$A$77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ArdiData!$D$3:$D$77</c:f>
              <c:numCache>
                <c:formatCode>General</c:formatCode>
                <c:ptCount val="75"/>
                <c:pt idx="0">
                  <c:v>971</c:v>
                </c:pt>
                <c:pt idx="1">
                  <c:v>1336</c:v>
                </c:pt>
                <c:pt idx="2">
                  <c:v>1521</c:v>
                </c:pt>
                <c:pt idx="3">
                  <c:v>1815</c:v>
                </c:pt>
                <c:pt idx="4">
                  <c:v>2124</c:v>
                </c:pt>
                <c:pt idx="5">
                  <c:v>1604</c:v>
                </c:pt>
                <c:pt idx="6">
                  <c:v>2114</c:v>
                </c:pt>
                <c:pt idx="7">
                  <c:v>2254</c:v>
                </c:pt>
                <c:pt idx="8">
                  <c:v>2644</c:v>
                </c:pt>
                <c:pt idx="9">
                  <c:v>2498</c:v>
                </c:pt>
                <c:pt idx="10">
                  <c:v>2252</c:v>
                </c:pt>
                <c:pt idx="11">
                  <c:v>2646</c:v>
                </c:pt>
                <c:pt idx="12">
                  <c:v>2868</c:v>
                </c:pt>
                <c:pt idx="13">
                  <c:v>3635</c:v>
                </c:pt>
                <c:pt idx="14">
                  <c:v>3702</c:v>
                </c:pt>
                <c:pt idx="15">
                  <c:v>3240</c:v>
                </c:pt>
                <c:pt idx="16">
                  <c:v>3230</c:v>
                </c:pt>
                <c:pt idx="17">
                  <c:v>4034</c:v>
                </c:pt>
                <c:pt idx="18">
                  <c:v>4140</c:v>
                </c:pt>
                <c:pt idx="19">
                  <c:v>5158</c:v>
                </c:pt>
                <c:pt idx="20">
                  <c:v>2998</c:v>
                </c:pt>
                <c:pt idx="21">
                  <c:v>3415</c:v>
                </c:pt>
                <c:pt idx="22">
                  <c:v>4777</c:v>
                </c:pt>
                <c:pt idx="23">
                  <c:v>4976</c:v>
                </c:pt>
                <c:pt idx="24">
                  <c:v>5365</c:v>
                </c:pt>
                <c:pt idx="25">
                  <c:v>4166</c:v>
                </c:pt>
                <c:pt idx="26">
                  <c:v>5159</c:v>
                </c:pt>
                <c:pt idx="27">
                  <c:v>5818</c:v>
                </c:pt>
                <c:pt idx="28">
                  <c:v>5989</c:v>
                </c:pt>
                <c:pt idx="29">
                  <c:v>6251</c:v>
                </c:pt>
                <c:pt idx="30">
                  <c:v>4706</c:v>
                </c:pt>
                <c:pt idx="31">
                  <c:v>6472</c:v>
                </c:pt>
                <c:pt idx="32">
                  <c:v>5921</c:v>
                </c:pt>
                <c:pt idx="33">
                  <c:v>7822</c:v>
                </c:pt>
                <c:pt idx="34">
                  <c:v>7683</c:v>
                </c:pt>
                <c:pt idx="35">
                  <c:v>4456</c:v>
                </c:pt>
                <c:pt idx="36">
                  <c:v>5861</c:v>
                </c:pt>
                <c:pt idx="37">
                  <c:v>6641</c:v>
                </c:pt>
                <c:pt idx="38">
                  <c:v>8175</c:v>
                </c:pt>
                <c:pt idx="39">
                  <c:v>8298</c:v>
                </c:pt>
                <c:pt idx="40">
                  <c:v>5831</c:v>
                </c:pt>
                <c:pt idx="41">
                  <c:v>6727</c:v>
                </c:pt>
                <c:pt idx="42">
                  <c:v>7798</c:v>
                </c:pt>
                <c:pt idx="43">
                  <c:v>9322</c:v>
                </c:pt>
                <c:pt idx="44">
                  <c:v>9768</c:v>
                </c:pt>
                <c:pt idx="45">
                  <c:v>4861</c:v>
                </c:pt>
                <c:pt idx="46">
                  <c:v>7112</c:v>
                </c:pt>
                <c:pt idx="47">
                  <c:v>8734</c:v>
                </c:pt>
                <c:pt idx="48">
                  <c:v>10625</c:v>
                </c:pt>
                <c:pt idx="49">
                  <c:v>11238</c:v>
                </c:pt>
                <c:pt idx="50">
                  <c:v>7221</c:v>
                </c:pt>
                <c:pt idx="51">
                  <c:v>8533</c:v>
                </c:pt>
                <c:pt idx="52">
                  <c:v>9720</c:v>
                </c:pt>
                <c:pt idx="53">
                  <c:v>8652</c:v>
                </c:pt>
                <c:pt idx="54">
                  <c:v>12023</c:v>
                </c:pt>
                <c:pt idx="55">
                  <c:v>5966</c:v>
                </c:pt>
                <c:pt idx="56">
                  <c:v>6735</c:v>
                </c:pt>
                <c:pt idx="57">
                  <c:v>9770</c:v>
                </c:pt>
                <c:pt idx="58">
                  <c:v>11692</c:v>
                </c:pt>
                <c:pt idx="59">
                  <c:v>12040</c:v>
                </c:pt>
                <c:pt idx="60">
                  <c:v>9941</c:v>
                </c:pt>
                <c:pt idx="61">
                  <c:v>9663</c:v>
                </c:pt>
                <c:pt idx="62">
                  <c:v>10636</c:v>
                </c:pt>
                <c:pt idx="63">
                  <c:v>9821</c:v>
                </c:pt>
                <c:pt idx="64">
                  <c:v>12334</c:v>
                </c:pt>
                <c:pt idx="65">
                  <c:v>10073</c:v>
                </c:pt>
                <c:pt idx="66">
                  <c:v>10565</c:v>
                </c:pt>
                <c:pt idx="67">
                  <c:v>10533</c:v>
                </c:pt>
                <c:pt idx="68">
                  <c:v>14212</c:v>
                </c:pt>
                <c:pt idx="69">
                  <c:v>12191</c:v>
                </c:pt>
                <c:pt idx="70">
                  <c:v>9541</c:v>
                </c:pt>
                <c:pt idx="71">
                  <c:v>11998</c:v>
                </c:pt>
                <c:pt idx="72">
                  <c:v>10597</c:v>
                </c:pt>
                <c:pt idx="73">
                  <c:v>13375</c:v>
                </c:pt>
                <c:pt idx="74">
                  <c:v>14825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320104"/>
        <c:axId val="385320496"/>
      </c:scatterChart>
      <c:valAx>
        <c:axId val="385320104"/>
        <c:scaling>
          <c:orientation val="minMax"/>
          <c:max val="75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385320496"/>
        <c:crosses val="autoZero"/>
        <c:crossBetween val="midCat"/>
      </c:valAx>
      <c:valAx>
        <c:axId val="38532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5320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Set2ESTR!$O$1</c:f>
          <c:strCache>
            <c:ptCount val="1"/>
            <c:pt idx="0">
              <c:v> F(next) ~ N ( 11080, 664)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Set2ESTR!$C$1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Set2ESTR!$A$3:$A$77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Set2ESTR!$C$3:$C$77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Set2ESTR!$F$1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Set2ESTR!$A$3:$A$77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Set2ESTR!$F$3:$F$78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321280"/>
        <c:axId val="385321672"/>
      </c:scatterChart>
      <c:valAx>
        <c:axId val="3853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5321672"/>
        <c:crosses val="autoZero"/>
        <c:crossBetween val="midCat"/>
      </c:valAx>
      <c:valAx>
        <c:axId val="385321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8532128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Set2ESTR!$J$1:$J$2</c:f>
          <c:strCache>
            <c:ptCount val="2"/>
            <c:pt idx="0">
              <c:v>Tracking Signal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Set2ESTR!$J$3:$J$77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687776"/>
        <c:axId val="621688168"/>
      </c:scatterChart>
      <c:valAx>
        <c:axId val="62168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88168"/>
        <c:crosses val="autoZero"/>
        <c:crossBetween val="midCat"/>
      </c:valAx>
      <c:valAx>
        <c:axId val="62168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8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ESTAES!$Q$1</c:f>
          <c:strCache>
            <c:ptCount val="1"/>
            <c:pt idx="0">
              <c:v> F(next) ~ N ( 0, 0)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ESTAES!$B$1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ESTAES!$A$3:$A$23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ESTAES!$B$3:$B$23</c:f>
              <c:numCache>
                <c:formatCode>0</c:formatCode>
                <c:ptCount val="21"/>
                <c:pt idx="0">
                  <c:v>116</c:v>
                </c:pt>
                <c:pt idx="1">
                  <c:v>131</c:v>
                </c:pt>
                <c:pt idx="2">
                  <c:v>167</c:v>
                </c:pt>
                <c:pt idx="3">
                  <c:v>165</c:v>
                </c:pt>
                <c:pt idx="4">
                  <c:v>162</c:v>
                </c:pt>
                <c:pt idx="5">
                  <c:v>210</c:v>
                </c:pt>
                <c:pt idx="6">
                  <c:v>232</c:v>
                </c:pt>
                <c:pt idx="7">
                  <c:v>221</c:v>
                </c:pt>
                <c:pt idx="8">
                  <c:v>191</c:v>
                </c:pt>
                <c:pt idx="9">
                  <c:v>254</c:v>
                </c:pt>
                <c:pt idx="10">
                  <c:v>250</c:v>
                </c:pt>
                <c:pt idx="11">
                  <c:v>284</c:v>
                </c:pt>
                <c:pt idx="12">
                  <c:v>316</c:v>
                </c:pt>
                <c:pt idx="13">
                  <c:v>330</c:v>
                </c:pt>
                <c:pt idx="14">
                  <c:v>361</c:v>
                </c:pt>
                <c:pt idx="15">
                  <c:v>301</c:v>
                </c:pt>
                <c:pt idx="16">
                  <c:v>360</c:v>
                </c:pt>
                <c:pt idx="17">
                  <c:v>385</c:v>
                </c:pt>
                <c:pt idx="18">
                  <c:v>365</c:v>
                </c:pt>
                <c:pt idx="19">
                  <c:v>412</c:v>
                </c:pt>
                <c:pt idx="20">
                  <c:v>481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ESTAES!$C$1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ESTAES!$A$3:$A$23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ESTAES!$C$4:$C$23</c:f>
              <c:numCache>
                <c:formatCode>0.0</c:formatCode>
                <c:ptCount val="20"/>
                <c:pt idx="0">
                  <c:v>116</c:v>
                </c:pt>
                <c:pt idx="1">
                  <c:v>123.5</c:v>
                </c:pt>
                <c:pt idx="2">
                  <c:v>145.25</c:v>
                </c:pt>
                <c:pt idx="3">
                  <c:v>155.125</c:v>
                </c:pt>
                <c:pt idx="4">
                  <c:v>158.5625</c:v>
                </c:pt>
                <c:pt idx="5">
                  <c:v>184.28125</c:v>
                </c:pt>
                <c:pt idx="6">
                  <c:v>208.140625</c:v>
                </c:pt>
                <c:pt idx="7">
                  <c:v>214.5703125</c:v>
                </c:pt>
                <c:pt idx="8">
                  <c:v>202.78515625</c:v>
                </c:pt>
                <c:pt idx="9">
                  <c:v>228.392578125</c:v>
                </c:pt>
                <c:pt idx="10">
                  <c:v>239.1962890625</c:v>
                </c:pt>
                <c:pt idx="11">
                  <c:v>261.59814453125</c:v>
                </c:pt>
                <c:pt idx="12">
                  <c:v>288.799072265625</c:v>
                </c:pt>
                <c:pt idx="13">
                  <c:v>309.3995361328125</c:v>
                </c:pt>
                <c:pt idx="14">
                  <c:v>335.19976806640625</c:v>
                </c:pt>
                <c:pt idx="15">
                  <c:v>318.09988403320312</c:v>
                </c:pt>
                <c:pt idx="16">
                  <c:v>339.04994201660156</c:v>
                </c:pt>
                <c:pt idx="17">
                  <c:v>362.02497100830078</c:v>
                </c:pt>
                <c:pt idx="18">
                  <c:v>363.51248550415039</c:v>
                </c:pt>
                <c:pt idx="19">
                  <c:v>387.7562427520752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ESTAES!$A$3:$A$23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ESTAES!$I$3:$I$23</c:f>
              <c:numCache>
                <c:formatCode>0</c:formatCode>
                <c:ptCount val="21"/>
                <c:pt idx="0">
                  <c:v>114.40259740259744</c:v>
                </c:pt>
                <c:pt idx="1">
                  <c:v>130.53831168831172</c:v>
                </c:pt>
                <c:pt idx="2">
                  <c:v>156.43766233766237</c:v>
                </c:pt>
                <c:pt idx="3">
                  <c:v>173.55308441558441</c:v>
                </c:pt>
                <c:pt idx="4">
                  <c:v>173.69366883116882</c:v>
                </c:pt>
                <c:pt idx="5">
                  <c:v>194.05539772727272</c:v>
                </c:pt>
                <c:pt idx="6">
                  <c:v>226.13198051948052</c:v>
                </c:pt>
                <c:pt idx="7">
                  <c:v>235.61813108766233</c:v>
                </c:pt>
                <c:pt idx="8">
                  <c:v>216.5851359577922</c:v>
                </c:pt>
                <c:pt idx="9">
                  <c:v>229.43060318587663</c:v>
                </c:pt>
                <c:pt idx="10">
                  <c:v>252.53431919642858</c:v>
                </c:pt>
                <c:pt idx="11">
                  <c:v>273.6766683999594</c:v>
                </c:pt>
                <c:pt idx="12">
                  <c:v>306.04308860085229</c:v>
                </c:pt>
                <c:pt idx="13">
                  <c:v>331.62392150086248</c:v>
                </c:pt>
                <c:pt idx="14">
                  <c:v>356.61314935064939</c:v>
                </c:pt>
                <c:pt idx="15">
                  <c:v>341.70716897543372</c:v>
                </c:pt>
                <c:pt idx="16">
                  <c:v>342.30388163777138</c:v>
                </c:pt>
                <c:pt idx="17">
                  <c:v>374.12708939391297</c:v>
                </c:pt>
                <c:pt idx="18">
                  <c:v>381.05111898447007</c:v>
                </c:pt>
                <c:pt idx="19">
                  <c:v>397.26934663599189</c:v>
                </c:pt>
                <c:pt idx="20">
                  <c:v>451.25656688987436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689344"/>
        <c:axId val="621689736"/>
      </c:scatterChart>
      <c:valAx>
        <c:axId val="6216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1689736"/>
        <c:crosses val="autoZero"/>
        <c:crossBetween val="midCat"/>
      </c:valAx>
      <c:valAx>
        <c:axId val="621689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2168934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ESTAES!$M$1:$M$2</c:f>
          <c:strCache>
            <c:ptCount val="2"/>
            <c:pt idx="0">
              <c:v>TS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ESTAES!$M$3:$M$77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0.76853605243989842</c:v>
                </c:pt>
                <c:pt idx="4">
                  <c:v>-1.1599857755299778</c:v>
                </c:pt>
                <c:pt idx="5">
                  <c:v>1.0225941116460828</c:v>
                </c:pt>
                <c:pt idx="6">
                  <c:v>1.8161964173720651</c:v>
                </c:pt>
                <c:pt idx="7">
                  <c:v>-4.9736292410240635E-2</c:v>
                </c:pt>
                <c:pt idx="8">
                  <c:v>-2.4676821745264692</c:v>
                </c:pt>
                <c:pt idx="9">
                  <c:v>-0.1210993020562324</c:v>
                </c:pt>
                <c:pt idx="10">
                  <c:v>-0.35896885302095538</c:v>
                </c:pt>
                <c:pt idx="11">
                  <c:v>0.57522959538126983</c:v>
                </c:pt>
                <c:pt idx="12">
                  <c:v>1.4893828149420367</c:v>
                </c:pt>
                <c:pt idx="13">
                  <c:v>1.4278492053860792</c:v>
                </c:pt>
                <c:pt idx="14">
                  <c:v>1.9283551899611318</c:v>
                </c:pt>
                <c:pt idx="15">
                  <c:v>-1.8325075954737799</c:v>
                </c:pt>
                <c:pt idx="16">
                  <c:v>-0.32479400681904552</c:v>
                </c:pt>
                <c:pt idx="17">
                  <c:v>0.57288739120242704</c:v>
                </c:pt>
                <c:pt idx="18">
                  <c:v>-0.74232903505487879</c:v>
                </c:pt>
                <c:pt idx="19">
                  <c:v>0.4512963685217139</c:v>
                </c:pt>
                <c:pt idx="20">
                  <c:v>2.6693351021147058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690520"/>
        <c:axId val="621690912"/>
      </c:scatterChart>
      <c:valAx>
        <c:axId val="621690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0912"/>
        <c:crosses val="autoZero"/>
        <c:crossBetween val="midCat"/>
      </c:valAx>
      <c:valAx>
        <c:axId val="62169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0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12</xdr:row>
      <xdr:rowOff>114299</xdr:rowOff>
    </xdr:from>
    <xdr:to>
      <xdr:col>26</xdr:col>
      <xdr:colOff>457200</xdr:colOff>
      <xdr:row>33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-Main-ReplaceEveryTh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ArdiData&amp;FixedData"/>
      <sheetName val="1.ArdiData"/>
      <sheetName val="2.AveMA-MAD-MSE-MAPE"/>
      <sheetName val="3.3MAvs6MA"/>
      <sheetName val="4.DenMA-TS"/>
      <sheetName val="5.ESGaDatTavSolver"/>
      <sheetName val="6.Set2ES"/>
      <sheetName val="6.GaDataRegression"/>
      <sheetName val="Book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Actual</v>
          </cell>
          <cell r="D1" t="str">
            <v>ExpoSmoo</v>
          </cell>
          <cell r="O1" t="str">
            <v xml:space="preserve"> F(next) ~ N ( 0, 792)</v>
          </cell>
        </row>
        <row r="2">
          <cell r="A2">
            <v>1</v>
          </cell>
          <cell r="C2">
            <v>813.7560202157822</v>
          </cell>
          <cell r="D2">
            <v>813.7560202157822</v>
          </cell>
        </row>
        <row r="3">
          <cell r="A3">
            <v>2</v>
          </cell>
          <cell r="C3">
            <v>971.91895568188852</v>
          </cell>
          <cell r="D3">
            <v>813.7560202157822</v>
          </cell>
        </row>
        <row r="4">
          <cell r="A4">
            <v>3</v>
          </cell>
          <cell r="C4">
            <v>1197.6902940186837</v>
          </cell>
          <cell r="D4">
            <v>908.65378149544597</v>
          </cell>
        </row>
        <row r="5">
          <cell r="A5">
            <v>4</v>
          </cell>
          <cell r="C5">
            <v>1273.3732540356295</v>
          </cell>
          <cell r="D5">
            <v>1082.0756890093885</v>
          </cell>
        </row>
        <row r="6">
          <cell r="A6">
            <v>5</v>
          </cell>
          <cell r="C6">
            <v>1793.0585649697487</v>
          </cell>
          <cell r="D6">
            <v>1196.8542280251331</v>
          </cell>
        </row>
        <row r="7">
          <cell r="A7">
            <v>6</v>
          </cell>
          <cell r="C7">
            <v>1968.6896935950203</v>
          </cell>
          <cell r="D7">
            <v>1554.5768301919024</v>
          </cell>
        </row>
        <row r="8">
          <cell r="A8">
            <v>7</v>
          </cell>
          <cell r="C8">
            <v>2092.1756199964375</v>
          </cell>
          <cell r="D8">
            <v>1803.0445482337732</v>
          </cell>
        </row>
        <row r="9">
          <cell r="A9">
            <v>8</v>
          </cell>
          <cell r="C9">
            <v>1790.3866345879967</v>
          </cell>
          <cell r="D9">
            <v>1976.5231912913719</v>
          </cell>
        </row>
        <row r="10">
          <cell r="A10">
            <v>9</v>
          </cell>
          <cell r="C10">
            <v>2115.2652262874017</v>
          </cell>
          <cell r="D10">
            <v>1864.8412572693467</v>
          </cell>
        </row>
        <row r="11">
          <cell r="A11">
            <v>10</v>
          </cell>
          <cell r="C11">
            <v>2081.3859788488126</v>
          </cell>
          <cell r="D11">
            <v>2015.0956386801797</v>
          </cell>
        </row>
        <row r="12">
          <cell r="A12">
            <v>11</v>
          </cell>
          <cell r="C12">
            <v>2379.5747430100864</v>
          </cell>
          <cell r="D12">
            <v>2054.8698427813592</v>
          </cell>
        </row>
        <row r="13">
          <cell r="A13">
            <v>12</v>
          </cell>
          <cell r="C13">
            <v>2083.4352211194964</v>
          </cell>
          <cell r="D13">
            <v>2249.6927829185956</v>
          </cell>
        </row>
        <row r="14">
          <cell r="A14">
            <v>13</v>
          </cell>
          <cell r="C14">
            <v>2580.0148896403261</v>
          </cell>
          <cell r="D14">
            <v>2149.938245839136</v>
          </cell>
        </row>
        <row r="15">
          <cell r="A15">
            <v>14</v>
          </cell>
          <cell r="C15">
            <v>1956.9437715605227</v>
          </cell>
          <cell r="D15">
            <v>2407.9842321198503</v>
          </cell>
        </row>
        <row r="16">
          <cell r="A16">
            <v>15</v>
          </cell>
          <cell r="C16">
            <v>2859.8492799507676</v>
          </cell>
          <cell r="D16">
            <v>2137.3599557842535</v>
          </cell>
        </row>
        <row r="17">
          <cell r="A17">
            <v>16</v>
          </cell>
          <cell r="C17">
            <v>3016.2795387422866</v>
          </cell>
          <cell r="D17">
            <v>2570.8535502841619</v>
          </cell>
        </row>
        <row r="18">
          <cell r="A18">
            <v>17</v>
          </cell>
          <cell r="C18">
            <v>2492.4834281017133</v>
          </cell>
          <cell r="D18">
            <v>2838.1091433590364</v>
          </cell>
        </row>
        <row r="19">
          <cell r="A19">
            <v>18</v>
          </cell>
          <cell r="C19">
            <v>2603.8849118726844</v>
          </cell>
          <cell r="D19">
            <v>2630.7337142046426</v>
          </cell>
        </row>
        <row r="20">
          <cell r="A20">
            <v>19</v>
          </cell>
          <cell r="C20">
            <v>2501.5060538056237</v>
          </cell>
          <cell r="D20">
            <v>2614.6244328054677</v>
          </cell>
        </row>
        <row r="21">
          <cell r="A21">
            <v>20</v>
          </cell>
          <cell r="C21">
            <v>2651.7772641293841</v>
          </cell>
          <cell r="D21">
            <v>2546.7534054055614</v>
          </cell>
        </row>
        <row r="22">
          <cell r="A22">
            <v>21</v>
          </cell>
          <cell r="C22">
            <v>2890.535550986539</v>
          </cell>
          <cell r="D22">
            <v>2609.7677206398548</v>
          </cell>
        </row>
        <row r="23">
          <cell r="A23">
            <v>22</v>
          </cell>
          <cell r="C23">
            <v>2618.5015031336229</v>
          </cell>
          <cell r="D23">
            <v>2778.2284188478652</v>
          </cell>
        </row>
        <row r="24">
          <cell r="A24">
            <v>23</v>
          </cell>
          <cell r="C24">
            <v>3340.5677547283176</v>
          </cell>
          <cell r="D24">
            <v>2682.3922694193197</v>
          </cell>
        </row>
        <row r="25">
          <cell r="A25">
            <v>24</v>
          </cell>
          <cell r="C25">
            <v>3297.4181797000938</v>
          </cell>
          <cell r="D25">
            <v>3077.2975606047185</v>
          </cell>
        </row>
        <row r="26">
          <cell r="A26">
            <v>25</v>
          </cell>
          <cell r="C26">
            <v>3012.2868676098265</v>
          </cell>
          <cell r="D26">
            <v>3209.3699320619435</v>
          </cell>
        </row>
        <row r="27">
          <cell r="A27">
            <v>26</v>
          </cell>
          <cell r="C27">
            <v>4253.508630442172</v>
          </cell>
          <cell r="D27">
            <v>3091.120093390673</v>
          </cell>
        </row>
        <row r="28">
          <cell r="A28">
            <v>27</v>
          </cell>
          <cell r="C28">
            <v>3925.3849167055446</v>
          </cell>
          <cell r="D28">
            <v>3788.5532156215722</v>
          </cell>
        </row>
        <row r="29">
          <cell r="A29">
            <v>28</v>
          </cell>
          <cell r="C29">
            <v>4513.0436538897147</v>
          </cell>
          <cell r="D29">
            <v>3870.6522362719561</v>
          </cell>
        </row>
        <row r="30">
          <cell r="A30">
            <v>29</v>
          </cell>
          <cell r="C30">
            <v>4529.4937202327037</v>
          </cell>
          <cell r="D30">
            <v>4256.0870868426109</v>
          </cell>
        </row>
        <row r="31">
          <cell r="A31">
            <v>30</v>
          </cell>
          <cell r="C31">
            <v>4091.6601146578901</v>
          </cell>
          <cell r="D31">
            <v>4420.1310668766664</v>
          </cell>
        </row>
        <row r="32">
          <cell r="A32">
            <v>31</v>
          </cell>
          <cell r="C32">
            <v>4654.4843527322882</v>
          </cell>
          <cell r="D32">
            <v>4223.0484955454012</v>
          </cell>
        </row>
        <row r="33">
          <cell r="A33">
            <v>32</v>
          </cell>
          <cell r="C33">
            <v>3711.6192180651265</v>
          </cell>
          <cell r="D33">
            <v>4481.9100098575336</v>
          </cell>
        </row>
        <row r="34">
          <cell r="A34">
            <v>33</v>
          </cell>
          <cell r="C34">
            <v>3824.1755301351577</v>
          </cell>
          <cell r="D34">
            <v>4019.7355347820894</v>
          </cell>
        </row>
        <row r="35">
          <cell r="A35">
            <v>34</v>
          </cell>
          <cell r="C35">
            <v>4120.8109460850601</v>
          </cell>
          <cell r="D35">
            <v>3902.3995319939304</v>
          </cell>
        </row>
        <row r="36">
          <cell r="A36">
            <v>35</v>
          </cell>
          <cell r="C36">
            <v>4645.0880263983881</v>
          </cell>
          <cell r="D36">
            <v>4033.4463804486081</v>
          </cell>
        </row>
        <row r="37">
          <cell r="A37">
            <v>36</v>
          </cell>
          <cell r="C37">
            <v>4574.6690767847804</v>
          </cell>
          <cell r="D37">
            <v>4400.4313680184769</v>
          </cell>
        </row>
        <row r="38">
          <cell r="A38">
            <v>37</v>
          </cell>
          <cell r="C38">
            <v>4905.4804363122594</v>
          </cell>
          <cell r="D38">
            <v>4504.9739932782595</v>
          </cell>
        </row>
        <row r="39">
          <cell r="A39">
            <v>38</v>
          </cell>
          <cell r="C39">
            <v>5232.5324315407588</v>
          </cell>
          <cell r="D39">
            <v>4745.27785909866</v>
          </cell>
        </row>
        <row r="40">
          <cell r="A40">
            <v>39</v>
          </cell>
          <cell r="C40">
            <v>4012.3185797892461</v>
          </cell>
          <cell r="D40">
            <v>5037.6306025639187</v>
          </cell>
        </row>
        <row r="41">
          <cell r="A41">
            <v>40</v>
          </cell>
          <cell r="C41">
            <v>6049.1393349934842</v>
          </cell>
          <cell r="D41">
            <v>4422.4433888991152</v>
          </cell>
        </row>
        <row r="42">
          <cell r="A42">
            <v>41</v>
          </cell>
          <cell r="C42">
            <v>6090.2253151130353</v>
          </cell>
          <cell r="D42">
            <v>5398.4609565557366</v>
          </cell>
        </row>
        <row r="43">
          <cell r="A43">
            <v>42</v>
          </cell>
          <cell r="C43">
            <v>5108.2916368527403</v>
          </cell>
          <cell r="D43">
            <v>5813.5195716901162</v>
          </cell>
        </row>
        <row r="44">
          <cell r="A44">
            <v>43</v>
          </cell>
          <cell r="C44">
            <v>4762.74473147967</v>
          </cell>
          <cell r="D44">
            <v>5390.3828107876907</v>
          </cell>
        </row>
        <row r="45">
          <cell r="A45">
            <v>44</v>
          </cell>
          <cell r="C45">
            <v>5054.4032043911011</v>
          </cell>
          <cell r="D45">
            <v>5013.7999632028786</v>
          </cell>
        </row>
        <row r="46">
          <cell r="A46">
            <v>45</v>
          </cell>
          <cell r="C46">
            <v>4932.6057689550162</v>
          </cell>
          <cell r="D46">
            <v>5038.1619079158118</v>
          </cell>
        </row>
        <row r="47">
          <cell r="A47">
            <v>46</v>
          </cell>
          <cell r="C47">
            <v>5683.7432797636711</v>
          </cell>
          <cell r="D47">
            <v>4974.8282245393348</v>
          </cell>
        </row>
        <row r="48">
          <cell r="A48">
            <v>47</v>
          </cell>
          <cell r="C48">
            <v>6924.5264206914335</v>
          </cell>
          <cell r="D48">
            <v>5400.1772576739368</v>
          </cell>
        </row>
        <row r="49">
          <cell r="A49">
            <v>48</v>
          </cell>
          <cell r="C49">
            <v>4916.2583889534781</v>
          </cell>
          <cell r="D49">
            <v>6314.7867554844343</v>
          </cell>
        </row>
        <row r="50">
          <cell r="A50">
            <v>49</v>
          </cell>
          <cell r="C50">
            <v>5141.8115531947178</v>
          </cell>
          <cell r="D50">
            <v>5475.6697355658607</v>
          </cell>
        </row>
        <row r="51">
          <cell r="A51">
            <v>50</v>
          </cell>
          <cell r="C51">
            <v>7100.604016809134</v>
          </cell>
          <cell r="D51">
            <v>5275.3548261431752</v>
          </cell>
        </row>
        <row r="52">
          <cell r="A52">
            <v>51</v>
          </cell>
          <cell r="C52">
            <v>5982.6146700161325</v>
          </cell>
          <cell r="D52">
            <v>6370.5043405427505</v>
          </cell>
        </row>
        <row r="53">
          <cell r="A53">
            <v>52</v>
          </cell>
          <cell r="C53">
            <v>5659.9803666885555</v>
          </cell>
          <cell r="D53">
            <v>6137.7705382267795</v>
          </cell>
        </row>
        <row r="54">
          <cell r="A54">
            <v>53</v>
          </cell>
          <cell r="C54">
            <v>7723.2066159860906</v>
          </cell>
          <cell r="D54">
            <v>5851.0964353038453</v>
          </cell>
        </row>
        <row r="55">
          <cell r="A55">
            <v>54</v>
          </cell>
          <cell r="C55">
            <v>6927.4135681425769</v>
          </cell>
          <cell r="D55">
            <v>6974.3625437131923</v>
          </cell>
        </row>
        <row r="56">
          <cell r="A56">
            <v>55</v>
          </cell>
          <cell r="C56">
            <v>5926.8438869796746</v>
          </cell>
          <cell r="D56">
            <v>6946.1931583708229</v>
          </cell>
        </row>
        <row r="57">
          <cell r="A57">
            <v>56</v>
          </cell>
          <cell r="C57">
            <v>7486.5550561221644</v>
          </cell>
          <cell r="D57">
            <v>6334.5835955361345</v>
          </cell>
        </row>
        <row r="58">
          <cell r="A58">
            <v>57</v>
          </cell>
          <cell r="C58">
            <v>6986.4813177252881</v>
          </cell>
          <cell r="D58">
            <v>7025.7664718877522</v>
          </cell>
        </row>
        <row r="59">
          <cell r="A59">
            <v>58</v>
          </cell>
          <cell r="C59">
            <v>6686.3330629669581</v>
          </cell>
          <cell r="D59">
            <v>7002.195379390274</v>
          </cell>
        </row>
        <row r="60">
          <cell r="A60">
            <v>59</v>
          </cell>
          <cell r="C60">
            <v>7533.5055163754796</v>
          </cell>
          <cell r="D60">
            <v>6812.6779895362843</v>
          </cell>
        </row>
        <row r="61">
          <cell r="A61">
            <v>60</v>
          </cell>
          <cell r="C61">
            <v>6434.5710155389233</v>
          </cell>
          <cell r="D61">
            <v>7245.1745056398013</v>
          </cell>
        </row>
        <row r="62">
          <cell r="A62">
            <v>61</v>
          </cell>
          <cell r="C62">
            <v>8315.5973937368453</v>
          </cell>
          <cell r="D62">
            <v>6758.8124115792743</v>
          </cell>
        </row>
        <row r="63">
          <cell r="A63">
            <v>62</v>
          </cell>
          <cell r="C63">
            <v>9011.1024654822631</v>
          </cell>
          <cell r="D63">
            <v>7692.8834008738168</v>
          </cell>
        </row>
        <row r="64">
          <cell r="A64">
            <v>63</v>
          </cell>
          <cell r="C64">
            <v>8306.4119214323</v>
          </cell>
          <cell r="D64">
            <v>8483.8148396388842</v>
          </cell>
        </row>
        <row r="65">
          <cell r="A65">
            <v>64</v>
          </cell>
          <cell r="C65">
            <v>8885.4733418467258</v>
          </cell>
          <cell r="D65">
            <v>8377.3730887149341</v>
          </cell>
        </row>
        <row r="66">
          <cell r="A66">
            <v>65</v>
          </cell>
          <cell r="C66">
            <v>6914.6423260468209</v>
          </cell>
          <cell r="D66">
            <v>8682.2332405940106</v>
          </cell>
        </row>
        <row r="67">
          <cell r="A67">
            <v>66</v>
          </cell>
          <cell r="C67">
            <v>8565.4158206351694</v>
          </cell>
          <cell r="D67">
            <v>7621.6786918656962</v>
          </cell>
        </row>
        <row r="68">
          <cell r="A68">
            <v>67</v>
          </cell>
          <cell r="C68">
            <v>6764.4558525776556</v>
          </cell>
          <cell r="D68">
            <v>8187.9209691273809</v>
          </cell>
        </row>
        <row r="69">
          <cell r="A69">
            <v>68</v>
          </cell>
          <cell r="C69">
            <v>8455.6389297141741</v>
          </cell>
          <cell r="D69">
            <v>7333.841899197545</v>
          </cell>
        </row>
        <row r="70">
          <cell r="A70">
            <v>69</v>
          </cell>
          <cell r="C70">
            <v>6849.0876037981689</v>
          </cell>
          <cell r="D70">
            <v>8006.9201175075223</v>
          </cell>
        </row>
        <row r="71">
          <cell r="A71">
            <v>70</v>
          </cell>
          <cell r="C71">
            <v>7663.5928886265056</v>
          </cell>
          <cell r="D71">
            <v>7312.2206092819106</v>
          </cell>
        </row>
        <row r="72">
          <cell r="A72">
            <v>71</v>
          </cell>
          <cell r="C72">
            <v>10100.858821105861</v>
          </cell>
          <cell r="D72">
            <v>7523.0439768886681</v>
          </cell>
        </row>
        <row r="73">
          <cell r="A73">
            <v>72</v>
          </cell>
          <cell r="C73">
            <v>9156.3311338769909</v>
          </cell>
          <cell r="D73">
            <v>9069.732883418983</v>
          </cell>
        </row>
        <row r="74">
          <cell r="A74">
            <v>73</v>
          </cell>
          <cell r="C74">
            <v>11759.859099206014</v>
          </cell>
          <cell r="D74">
            <v>9121.6918336937888</v>
          </cell>
        </row>
        <row r="75">
          <cell r="A75">
            <v>74</v>
          </cell>
          <cell r="C75">
            <v>11274.184747966403</v>
          </cell>
          <cell r="D75">
            <v>10704.592193001125</v>
          </cell>
        </row>
        <row r="76">
          <cell r="A76">
            <v>75</v>
          </cell>
          <cell r="C76">
            <v>11998.719677013674</v>
          </cell>
          <cell r="D76">
            <v>11046.347725980291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77"/>
  <sheetViews>
    <sheetView zoomScaleNormal="100" workbookViewId="0">
      <selection activeCell="F19" sqref="F19"/>
    </sheetView>
  </sheetViews>
  <sheetFormatPr defaultRowHeight="15" x14ac:dyDescent="0.25"/>
  <cols>
    <col min="1" max="1" width="4.5703125" style="9" bestFit="1" customWidth="1"/>
    <col min="2" max="2" width="10.28515625" style="9" bestFit="1" customWidth="1"/>
    <col min="3" max="3" width="6.140625" style="9" bestFit="1" customWidth="1"/>
    <col min="4" max="4" width="8.5703125" style="9" bestFit="1" customWidth="1"/>
    <col min="5" max="6" width="9.140625" style="9"/>
    <col min="7" max="7" width="6.28515625" style="9" customWidth="1"/>
    <col min="8" max="8" width="6" style="9" customWidth="1"/>
    <col min="9" max="9" width="9.140625" style="9"/>
    <col min="10" max="10" width="5.85546875" style="9" customWidth="1"/>
    <col min="11" max="11" width="3" style="9" bestFit="1" customWidth="1"/>
    <col min="12" max="13" width="5" style="9" bestFit="1" customWidth="1"/>
    <col min="14" max="14" width="9.140625" style="9"/>
    <col min="15" max="15" width="13.42578125" style="9" customWidth="1"/>
    <col min="16" max="16" width="7.28515625" style="9" bestFit="1" customWidth="1"/>
    <col min="17" max="18" width="6.28515625" style="9" customWidth="1"/>
    <col min="19" max="19" width="4.42578125" style="9" bestFit="1" customWidth="1"/>
    <col min="20" max="20" width="6.42578125" style="9" bestFit="1" customWidth="1"/>
    <col min="21" max="26" width="9.140625" style="9" customWidth="1"/>
    <col min="27" max="16384" width="9.140625" style="9"/>
  </cols>
  <sheetData>
    <row r="1" spans="1:35" ht="15.75" thickBot="1" x14ac:dyDescent="0.3">
      <c r="A1" s="42" t="s">
        <v>19</v>
      </c>
      <c r="B1" s="43"/>
      <c r="C1" s="44"/>
      <c r="D1" s="43"/>
      <c r="E1" s="44"/>
      <c r="F1" s="19"/>
      <c r="G1" s="19"/>
      <c r="H1" s="19"/>
      <c r="O1" s="11"/>
      <c r="P1" s="11"/>
      <c r="Q1" s="11"/>
      <c r="R1" s="11"/>
      <c r="S1" s="11"/>
      <c r="T1" s="11"/>
      <c r="AC1" s="12" t="s">
        <v>8</v>
      </c>
      <c r="AD1" s="12"/>
      <c r="AG1" s="13">
        <f ca="1">RANDBETWEEN(100,150)</f>
        <v>112</v>
      </c>
      <c r="AH1" s="14">
        <f ca="1">RANDBETWEEN(5,15)</f>
        <v>15</v>
      </c>
      <c r="AI1" s="13">
        <v>0.1</v>
      </c>
    </row>
    <row r="2" spans="1:35" ht="15.75" thickBot="1" x14ac:dyDescent="0.3">
      <c r="A2" s="33" t="s">
        <v>16</v>
      </c>
      <c r="B2" s="15" t="s">
        <v>9</v>
      </c>
      <c r="C2" s="16" t="s">
        <v>10</v>
      </c>
      <c r="D2" s="37" t="s">
        <v>18</v>
      </c>
      <c r="G2" s="17">
        <v>0</v>
      </c>
      <c r="H2" s="17">
        <f>G2+700</f>
        <v>700</v>
      </c>
      <c r="I2" s="18" t="str">
        <f>G2&amp;"-"&amp;H2</f>
        <v>0-700</v>
      </c>
      <c r="J2" s="9">
        <f ca="1">COUNTIF($B$3:$B$52,"&lt;"&amp;H2)</f>
        <v>0</v>
      </c>
      <c r="K2" s="19">
        <f ca="1">J2</f>
        <v>0</v>
      </c>
      <c r="L2" s="9">
        <f t="shared" ref="L2:M9" ca="1" si="0">J2/$J$9</f>
        <v>0</v>
      </c>
      <c r="M2" s="19">
        <f t="shared" ca="1" si="0"/>
        <v>0</v>
      </c>
      <c r="O2" s="20" t="s">
        <v>0</v>
      </c>
      <c r="P2" s="21">
        <f ca="1">AVERAGE(B$3:B$77)</f>
        <v>6845.44</v>
      </c>
      <c r="Q2" s="22">
        <f t="shared" ref="Q2:R2" ca="1" si="1">AVERAGE(C$3:C$77)</f>
        <v>6884.241182446226</v>
      </c>
      <c r="R2" s="38">
        <f t="shared" ca="1" si="1"/>
        <v>6845.44</v>
      </c>
      <c r="AC2" s="13"/>
      <c r="AD2" s="14" t="s">
        <v>10</v>
      </c>
      <c r="AE2" s="11" t="s">
        <v>15</v>
      </c>
      <c r="AF2" s="11" t="s">
        <v>14</v>
      </c>
      <c r="AH2" s="23"/>
    </row>
    <row r="3" spans="1:35" x14ac:dyDescent="0.25">
      <c r="A3" s="10">
        <v>1</v>
      </c>
      <c r="B3" s="34">
        <f t="shared" ref="B3:B34" ca="1" si="2">INDEX($AF$3:$AF$77,RANK(AB3,$AB$3:$AB$77))</f>
        <v>1521</v>
      </c>
      <c r="C3" s="35">
        <f ca="1">SMALL($AF$3:$AF$77,AC3)*(0.8+0.4*RAND())</f>
        <v>1164.6787819352539</v>
      </c>
      <c r="D3" s="36">
        <f ca="1">AF3</f>
        <v>971</v>
      </c>
      <c r="E3" s="11"/>
      <c r="G3" s="17">
        <f>H2</f>
        <v>700</v>
      </c>
      <c r="H3" s="17">
        <f t="shared" ref="H3:H9" si="3">G3+700</f>
        <v>1400</v>
      </c>
      <c r="I3" s="18" t="str">
        <f t="shared" ref="I3:I9" si="4">G3&amp;"-"&amp;H3</f>
        <v>700-1400</v>
      </c>
      <c r="J3" s="9">
        <f t="shared" ref="J3:J9" ca="1" si="5">COUNTIF($B$3:$B$52,"&lt;"&amp;H3)</f>
        <v>1</v>
      </c>
      <c r="K3" s="19">
        <f ca="1">J3-J2</f>
        <v>1</v>
      </c>
      <c r="L3" s="9">
        <f t="shared" ca="1" si="0"/>
        <v>0.05</v>
      </c>
      <c r="M3" s="19">
        <f t="shared" ca="1" si="0"/>
        <v>0.05</v>
      </c>
      <c r="O3" s="24" t="s">
        <v>2</v>
      </c>
      <c r="P3" s="21">
        <f ca="1">_xlfn.STDEV.P(B$3:B$77)</f>
        <v>3537.2028091511329</v>
      </c>
      <c r="Q3" s="22">
        <f t="shared" ref="Q3:R3" ca="1" si="6">_xlfn.STDEV.P(C$3:C$77)</f>
        <v>3615.4831693209003</v>
      </c>
      <c r="R3" s="38">
        <f t="shared" ca="1" si="6"/>
        <v>3537.2028091511329</v>
      </c>
      <c r="AB3" s="9">
        <f t="shared" ref="AB3:AB66" ca="1" si="7">RAND()</f>
        <v>0.95879536610639826</v>
      </c>
      <c r="AC3" s="13">
        <v>1</v>
      </c>
      <c r="AD3" s="13">
        <f t="shared" ref="AD3:AD34" ca="1" si="8">INT($AG$1+$AH$1*AC3)</f>
        <v>127</v>
      </c>
      <c r="AE3" s="25">
        <f ca="1">(((IF(MOD(AC3,5)&lt;&gt;0,MOD(AC3,5),5))+7)+_xlfn.NORM.S.INV(RAND()))</f>
        <v>7.6456142476501725</v>
      </c>
      <c r="AF3" s="9">
        <f t="shared" ref="AF3:AF34" ca="1" si="9">ROUND(AD3*AE3,0)</f>
        <v>971</v>
      </c>
      <c r="AH3" s="23"/>
    </row>
    <row r="4" spans="1:35" x14ac:dyDescent="0.25">
      <c r="A4" s="10">
        <v>2</v>
      </c>
      <c r="B4" s="34">
        <f t="shared" ca="1" si="2"/>
        <v>2114</v>
      </c>
      <c r="C4" s="35">
        <f t="shared" ref="C4:C67" ca="1" si="10">SMALL($AF$3:$AF$77,AC4)*(0.8+0.4*RAND())</f>
        <v>1313.4992256253049</v>
      </c>
      <c r="D4" s="36">
        <f t="shared" ref="D4:D34" ca="1" si="11">AF4</f>
        <v>1336</v>
      </c>
      <c r="E4" s="11"/>
      <c r="G4" s="17">
        <f t="shared" ref="G4:G9" si="12">H3</f>
        <v>1400</v>
      </c>
      <c r="H4" s="17">
        <f t="shared" si="3"/>
        <v>2100</v>
      </c>
      <c r="I4" s="18" t="str">
        <f t="shared" si="4"/>
        <v>1400-2100</v>
      </c>
      <c r="J4" s="9">
        <f t="shared" ca="1" si="5"/>
        <v>2</v>
      </c>
      <c r="K4" s="19">
        <f t="shared" ref="K4:K9" ca="1" si="13">J4-J3</f>
        <v>1</v>
      </c>
      <c r="L4" s="9">
        <f t="shared" ca="1" si="0"/>
        <v>0.1</v>
      </c>
      <c r="M4" s="19">
        <f t="shared" ca="1" si="0"/>
        <v>0.05</v>
      </c>
      <c r="O4" s="24" t="s">
        <v>3</v>
      </c>
      <c r="P4" s="26">
        <f ca="1">P3/P2</f>
        <v>0.51672395187908049</v>
      </c>
      <c r="Q4" s="27">
        <f ca="1">Q3/Q2</f>
        <v>0.52518252535077292</v>
      </c>
      <c r="R4" s="39">
        <f ca="1">R3/R2</f>
        <v>0.51672395187908049</v>
      </c>
      <c r="AB4" s="9">
        <f t="shared" ca="1" si="7"/>
        <v>0.88666918595001398</v>
      </c>
      <c r="AC4" s="13">
        <v>2</v>
      </c>
      <c r="AD4" s="13">
        <f t="shared" ca="1" si="8"/>
        <v>142</v>
      </c>
      <c r="AE4" s="25">
        <f t="shared" ref="AE4:AE67" ca="1" si="14">(((IF(MOD(AC4,5)&lt;&gt;0,MOD(AC4,5),5))+7)+_xlfn.NORM.S.INV(RAND()))</f>
        <v>9.405744940181398</v>
      </c>
      <c r="AF4" s="9">
        <f t="shared" ca="1" si="9"/>
        <v>1336</v>
      </c>
      <c r="AH4" s="23"/>
    </row>
    <row r="5" spans="1:35" x14ac:dyDescent="0.25">
      <c r="A5" s="10">
        <v>3</v>
      </c>
      <c r="B5" s="34">
        <f t="shared" ca="1" si="2"/>
        <v>12334</v>
      </c>
      <c r="C5" s="35">
        <f t="shared" ca="1" si="10"/>
        <v>1669.8867037770265</v>
      </c>
      <c r="D5" s="36">
        <f t="shared" ca="1" si="11"/>
        <v>1521</v>
      </c>
      <c r="E5" s="11"/>
      <c r="G5" s="17">
        <f t="shared" si="12"/>
        <v>2100</v>
      </c>
      <c r="H5" s="17">
        <f t="shared" si="3"/>
        <v>2800</v>
      </c>
      <c r="I5" s="18" t="str">
        <f t="shared" si="4"/>
        <v>2100-2800</v>
      </c>
      <c r="J5" s="9">
        <f t="shared" ca="1" si="5"/>
        <v>8</v>
      </c>
      <c r="K5" s="19">
        <f t="shared" ca="1" si="13"/>
        <v>6</v>
      </c>
      <c r="L5" s="9">
        <f t="shared" ca="1" si="0"/>
        <v>0.4</v>
      </c>
      <c r="M5" s="19">
        <f t="shared" ca="1" si="0"/>
        <v>0.3</v>
      </c>
      <c r="O5" s="24" t="s">
        <v>4</v>
      </c>
      <c r="P5" s="28">
        <f ca="1">MAX(B$3:B$77)</f>
        <v>14825</v>
      </c>
      <c r="Q5" s="29">
        <f t="shared" ref="Q5:R5" ca="1" si="15">MAX(C$3:C$77)</f>
        <v>15291.369481980548</v>
      </c>
      <c r="R5" s="40">
        <f t="shared" ca="1" si="15"/>
        <v>14825</v>
      </c>
      <c r="AB5" s="9">
        <f t="shared" ca="1" si="7"/>
        <v>7.1043888156144819E-2</v>
      </c>
      <c r="AC5" s="13">
        <v>3</v>
      </c>
      <c r="AD5" s="13">
        <f t="shared" ca="1" si="8"/>
        <v>157</v>
      </c>
      <c r="AE5" s="25">
        <f t="shared" ca="1" si="14"/>
        <v>9.6858725432630717</v>
      </c>
      <c r="AF5" s="9">
        <f t="shared" ca="1" si="9"/>
        <v>1521</v>
      </c>
      <c r="AH5" s="23"/>
    </row>
    <row r="6" spans="1:35" x14ac:dyDescent="0.25">
      <c r="A6" s="10">
        <v>4</v>
      </c>
      <c r="B6" s="34">
        <f t="shared" ca="1" si="2"/>
        <v>4777</v>
      </c>
      <c r="C6" s="35">
        <f t="shared" ca="1" si="10"/>
        <v>1648.7039969377915</v>
      </c>
      <c r="D6" s="36">
        <f t="shared" ca="1" si="11"/>
        <v>1815</v>
      </c>
      <c r="G6" s="17">
        <f t="shared" si="12"/>
        <v>2800</v>
      </c>
      <c r="H6" s="17">
        <f t="shared" si="3"/>
        <v>3500</v>
      </c>
      <c r="I6" s="18" t="str">
        <f t="shared" si="4"/>
        <v>2800-3500</v>
      </c>
      <c r="J6" s="9">
        <f t="shared" ca="1" si="5"/>
        <v>12</v>
      </c>
      <c r="K6" s="19">
        <f t="shared" ca="1" si="13"/>
        <v>4</v>
      </c>
      <c r="L6" s="9">
        <f t="shared" ca="1" si="0"/>
        <v>0.6</v>
      </c>
      <c r="M6" s="19">
        <f t="shared" ca="1" si="0"/>
        <v>0.2</v>
      </c>
      <c r="O6" s="24" t="s">
        <v>1</v>
      </c>
      <c r="P6" s="28">
        <f ca="1">MIN(B$3:B$77)</f>
        <v>971</v>
      </c>
      <c r="Q6" s="29">
        <f t="shared" ref="Q6:R6" ca="1" si="16">MIN(C$3:C$77)</f>
        <v>1164.6787819352539</v>
      </c>
      <c r="R6" s="40">
        <f t="shared" ca="1" si="16"/>
        <v>971</v>
      </c>
      <c r="AB6" s="9">
        <f t="shared" ca="1" si="7"/>
        <v>0.64168786964907532</v>
      </c>
      <c r="AC6" s="13">
        <v>4</v>
      </c>
      <c r="AD6" s="13">
        <f t="shared" ca="1" si="8"/>
        <v>172</v>
      </c>
      <c r="AE6" s="25">
        <f t="shared" ca="1" si="14"/>
        <v>10.5516514657802</v>
      </c>
      <c r="AF6" s="9">
        <f t="shared" ca="1" si="9"/>
        <v>1815</v>
      </c>
      <c r="AH6" s="23"/>
    </row>
    <row r="7" spans="1:35" x14ac:dyDescent="0.25">
      <c r="A7" s="10">
        <v>5</v>
      </c>
      <c r="B7" s="34">
        <f t="shared" ca="1" si="2"/>
        <v>7683</v>
      </c>
      <c r="C7" s="35">
        <f t="shared" ca="1" si="10"/>
        <v>1615.6018457585415</v>
      </c>
      <c r="D7" s="36">
        <f t="shared" ca="1" si="11"/>
        <v>2124</v>
      </c>
      <c r="G7" s="17">
        <f t="shared" si="12"/>
        <v>3500</v>
      </c>
      <c r="H7" s="17">
        <f t="shared" si="3"/>
        <v>4200</v>
      </c>
      <c r="I7" s="18" t="str">
        <f t="shared" si="4"/>
        <v>3500-4200</v>
      </c>
      <c r="J7" s="9">
        <f t="shared" ca="1" si="5"/>
        <v>15</v>
      </c>
      <c r="K7" s="19">
        <f t="shared" ca="1" si="13"/>
        <v>3</v>
      </c>
      <c r="L7" s="9">
        <f t="shared" ca="1" si="0"/>
        <v>0.75</v>
      </c>
      <c r="M7" s="19">
        <f t="shared" ca="1" si="0"/>
        <v>0.15</v>
      </c>
      <c r="O7" s="24" t="s">
        <v>5</v>
      </c>
      <c r="P7" s="28">
        <f ca="1">P5-P6</f>
        <v>13854</v>
      </c>
      <c r="Q7" s="29">
        <f ca="1">Q5-Q6</f>
        <v>14126.690700045294</v>
      </c>
      <c r="R7" s="40">
        <f ca="1">R5-R6</f>
        <v>13854</v>
      </c>
      <c r="AB7" s="9">
        <f t="shared" ca="1" si="7"/>
        <v>0.46995445569331984</v>
      </c>
      <c r="AC7" s="13">
        <v>5</v>
      </c>
      <c r="AD7" s="13">
        <f t="shared" ca="1" si="8"/>
        <v>187</v>
      </c>
      <c r="AE7" s="25">
        <f t="shared" ca="1" si="14"/>
        <v>11.360025045041809</v>
      </c>
      <c r="AF7" s="9">
        <f t="shared" ca="1" si="9"/>
        <v>2124</v>
      </c>
      <c r="AH7" s="23"/>
    </row>
    <row r="8" spans="1:35" ht="15.75" thickBot="1" x14ac:dyDescent="0.3">
      <c r="A8" s="10">
        <v>6</v>
      </c>
      <c r="B8" s="34">
        <f t="shared" ca="1" si="2"/>
        <v>8734</v>
      </c>
      <c r="C8" s="35">
        <f t="shared" ca="1" si="10"/>
        <v>2099.3071915536575</v>
      </c>
      <c r="D8" s="36">
        <f t="shared" ca="1" si="11"/>
        <v>1604</v>
      </c>
      <c r="G8" s="17">
        <f t="shared" si="12"/>
        <v>4200</v>
      </c>
      <c r="H8" s="17">
        <f t="shared" si="3"/>
        <v>4900</v>
      </c>
      <c r="I8" s="18" t="str">
        <f t="shared" si="4"/>
        <v>4200-4900</v>
      </c>
      <c r="J8" s="9">
        <f t="shared" ca="1" si="5"/>
        <v>17</v>
      </c>
      <c r="K8" s="19">
        <f t="shared" ca="1" si="13"/>
        <v>2</v>
      </c>
      <c r="L8" s="9">
        <f t="shared" ca="1" si="0"/>
        <v>0.85</v>
      </c>
      <c r="M8" s="19">
        <f t="shared" ca="1" si="0"/>
        <v>0.1</v>
      </c>
      <c r="O8" s="30" t="s">
        <v>12</v>
      </c>
      <c r="P8" s="31">
        <f ca="1">(P7/5)/P2</f>
        <v>0.4047658002991773</v>
      </c>
      <c r="Q8" s="32">
        <f ca="1">(Q7/5)/Q2</f>
        <v>0.41040661782931775</v>
      </c>
      <c r="R8" s="41">
        <f ca="1">(R7/5)/R2</f>
        <v>0.4047658002991773</v>
      </c>
      <c r="AB8" s="9">
        <f t="shared" ca="1" si="7"/>
        <v>0.27221977226501215</v>
      </c>
      <c r="AC8" s="13">
        <v>6</v>
      </c>
      <c r="AD8" s="13">
        <f t="shared" ca="1" si="8"/>
        <v>202</v>
      </c>
      <c r="AE8" s="25">
        <f t="shared" ca="1" si="14"/>
        <v>7.9395383885989661</v>
      </c>
      <c r="AF8" s="9">
        <f t="shared" ca="1" si="9"/>
        <v>1604</v>
      </c>
      <c r="AH8" s="23"/>
    </row>
    <row r="9" spans="1:35" x14ac:dyDescent="0.25">
      <c r="A9" s="10">
        <v>7</v>
      </c>
      <c r="B9" s="34">
        <f t="shared" ca="1" si="2"/>
        <v>12191</v>
      </c>
      <c r="C9" s="35">
        <f t="shared" ca="1" si="10"/>
        <v>2323.5810426479516</v>
      </c>
      <c r="D9" s="36">
        <f t="shared" ca="1" si="11"/>
        <v>2114</v>
      </c>
      <c r="G9" s="17">
        <f t="shared" si="12"/>
        <v>4900</v>
      </c>
      <c r="H9" s="17">
        <f t="shared" si="3"/>
        <v>5600</v>
      </c>
      <c r="I9" s="18" t="str">
        <f t="shared" si="4"/>
        <v>4900-5600</v>
      </c>
      <c r="J9" s="9">
        <f t="shared" ca="1" si="5"/>
        <v>20</v>
      </c>
      <c r="K9" s="19">
        <f t="shared" ca="1" si="13"/>
        <v>3</v>
      </c>
      <c r="L9" s="9">
        <f t="shared" ca="1" si="0"/>
        <v>1</v>
      </c>
      <c r="M9" s="19">
        <f t="shared" ca="1" si="0"/>
        <v>0.15</v>
      </c>
      <c r="AB9" s="9">
        <f t="shared" ca="1" si="7"/>
        <v>4.3525397433709534E-2</v>
      </c>
      <c r="AC9" s="13">
        <v>7</v>
      </c>
      <c r="AD9" s="13">
        <f t="shared" ca="1" si="8"/>
        <v>217</v>
      </c>
      <c r="AE9" s="25">
        <f t="shared" ca="1" si="14"/>
        <v>9.7419986045455556</v>
      </c>
      <c r="AF9" s="9">
        <f t="shared" ca="1" si="9"/>
        <v>2114</v>
      </c>
      <c r="AH9" s="23"/>
    </row>
    <row r="10" spans="1:35" x14ac:dyDescent="0.25">
      <c r="A10" s="10">
        <v>8</v>
      </c>
      <c r="B10" s="34">
        <f t="shared" ca="1" si="2"/>
        <v>5158</v>
      </c>
      <c r="C10" s="35">
        <f t="shared" ca="1" si="10"/>
        <v>2209.0273103741979</v>
      </c>
      <c r="D10" s="36">
        <f t="shared" ca="1" si="11"/>
        <v>2254</v>
      </c>
      <c r="AB10" s="9">
        <f t="shared" ca="1" si="7"/>
        <v>0.65076726843822597</v>
      </c>
      <c r="AC10" s="13">
        <v>8</v>
      </c>
      <c r="AD10" s="13">
        <f t="shared" ca="1" si="8"/>
        <v>232</v>
      </c>
      <c r="AE10" s="25">
        <f t="shared" ca="1" si="14"/>
        <v>9.7134296949868357</v>
      </c>
      <c r="AF10" s="9">
        <f t="shared" ca="1" si="9"/>
        <v>2254</v>
      </c>
      <c r="AH10" s="23"/>
    </row>
    <row r="11" spans="1:35" x14ac:dyDescent="0.25">
      <c r="A11" s="10">
        <v>9</v>
      </c>
      <c r="B11" s="34">
        <f t="shared" ca="1" si="2"/>
        <v>5818</v>
      </c>
      <c r="C11" s="35">
        <f t="shared" ca="1" si="10"/>
        <v>1913.2715696173329</v>
      </c>
      <c r="D11" s="36">
        <f t="shared" ca="1" si="11"/>
        <v>2644</v>
      </c>
      <c r="AB11" s="9">
        <f t="shared" ca="1" si="7"/>
        <v>0.5308463677764621</v>
      </c>
      <c r="AC11" s="13">
        <v>9</v>
      </c>
      <c r="AD11" s="13">
        <f t="shared" ca="1" si="8"/>
        <v>247</v>
      </c>
      <c r="AE11" s="25">
        <f t="shared" ca="1" si="14"/>
        <v>10.704580202804449</v>
      </c>
      <c r="AF11" s="9">
        <f t="shared" ca="1" si="9"/>
        <v>2644</v>
      </c>
      <c r="AH11" s="23"/>
    </row>
    <row r="12" spans="1:35" x14ac:dyDescent="0.25">
      <c r="A12" s="10">
        <v>10</v>
      </c>
      <c r="B12" s="34">
        <f t="shared" ca="1" si="2"/>
        <v>10565</v>
      </c>
      <c r="C12" s="35">
        <f t="shared" ca="1" si="10"/>
        <v>2539.5621364461276</v>
      </c>
      <c r="D12" s="36">
        <f t="shared" ca="1" si="11"/>
        <v>2498</v>
      </c>
      <c r="AB12" s="9">
        <f t="shared" ca="1" si="7"/>
        <v>6.0256063487714395E-2</v>
      </c>
      <c r="AC12" s="13">
        <v>10</v>
      </c>
      <c r="AD12" s="13">
        <f t="shared" ca="1" si="8"/>
        <v>262</v>
      </c>
      <c r="AE12" s="25">
        <f t="shared" ca="1" si="14"/>
        <v>9.5351020965398803</v>
      </c>
      <c r="AF12" s="9">
        <f t="shared" ca="1" si="9"/>
        <v>2498</v>
      </c>
      <c r="AH12" s="23"/>
    </row>
    <row r="13" spans="1:35" x14ac:dyDescent="0.25">
      <c r="A13" s="10">
        <v>11</v>
      </c>
      <c r="B13" s="34">
        <f t="shared" ca="1" si="2"/>
        <v>3702</v>
      </c>
      <c r="C13" s="35">
        <f t="shared" ca="1" si="10"/>
        <v>2496.0015885577586</v>
      </c>
      <c r="D13" s="36">
        <f t="shared" ca="1" si="11"/>
        <v>2252</v>
      </c>
      <c r="AB13" s="9">
        <f t="shared" ca="1" si="7"/>
        <v>0.77047889740353903</v>
      </c>
      <c r="AC13" s="13">
        <v>11</v>
      </c>
      <c r="AD13" s="13">
        <f t="shared" ca="1" si="8"/>
        <v>277</v>
      </c>
      <c r="AE13" s="25">
        <f t="shared" ca="1" si="14"/>
        <v>8.1309934677411917</v>
      </c>
      <c r="AF13" s="9">
        <f t="shared" ca="1" si="9"/>
        <v>2252</v>
      </c>
      <c r="AH13" s="23"/>
    </row>
    <row r="14" spans="1:35" x14ac:dyDescent="0.25">
      <c r="A14" s="10">
        <v>12</v>
      </c>
      <c r="B14" s="34">
        <f t="shared" ca="1" si="2"/>
        <v>7798</v>
      </c>
      <c r="C14" s="35">
        <f t="shared" ca="1" si="10"/>
        <v>2840.9033823911418</v>
      </c>
      <c r="D14" s="36">
        <f t="shared" ca="1" si="11"/>
        <v>2646</v>
      </c>
      <c r="AB14" s="9">
        <f t="shared" ca="1" si="7"/>
        <v>0.3526146574680501</v>
      </c>
      <c r="AC14" s="13">
        <v>12</v>
      </c>
      <c r="AD14" s="13">
        <f t="shared" ca="1" si="8"/>
        <v>292</v>
      </c>
      <c r="AE14" s="25">
        <f t="shared" ca="1" si="14"/>
        <v>9.061568481404997</v>
      </c>
      <c r="AF14" s="9">
        <f t="shared" ca="1" si="9"/>
        <v>2646</v>
      </c>
      <c r="AH14" s="23"/>
    </row>
    <row r="15" spans="1:35" x14ac:dyDescent="0.25">
      <c r="A15" s="10">
        <v>13</v>
      </c>
      <c r="B15" s="34">
        <f t="shared" ca="1" si="2"/>
        <v>5989</v>
      </c>
      <c r="C15" s="35">
        <f t="shared" ca="1" si="10"/>
        <v>3158.077922027082</v>
      </c>
      <c r="D15" s="36">
        <f t="shared" ca="1" si="11"/>
        <v>2868</v>
      </c>
      <c r="AB15" s="9">
        <f t="shared" ca="1" si="7"/>
        <v>0.52855690869085192</v>
      </c>
      <c r="AC15" s="13">
        <v>13</v>
      </c>
      <c r="AD15" s="13">
        <f t="shared" ca="1" si="8"/>
        <v>307</v>
      </c>
      <c r="AE15" s="25">
        <f t="shared" ca="1" si="14"/>
        <v>9.3423253319546919</v>
      </c>
      <c r="AF15" s="9">
        <f t="shared" ca="1" si="9"/>
        <v>2868</v>
      </c>
      <c r="AH15" s="23"/>
    </row>
    <row r="16" spans="1:35" x14ac:dyDescent="0.25">
      <c r="A16" s="10">
        <v>14</v>
      </c>
      <c r="B16" s="34">
        <f t="shared" ca="1" si="2"/>
        <v>9663</v>
      </c>
      <c r="C16" s="35">
        <f t="shared" ca="1" si="10"/>
        <v>3301.9834808082428</v>
      </c>
      <c r="D16" s="36">
        <f t="shared" ca="1" si="11"/>
        <v>3635</v>
      </c>
      <c r="AB16" s="9">
        <f t="shared" ca="1" si="7"/>
        <v>0.11666832448327991</v>
      </c>
      <c r="AC16" s="13">
        <v>14</v>
      </c>
      <c r="AD16" s="13">
        <f t="shared" ca="1" si="8"/>
        <v>322</v>
      </c>
      <c r="AE16" s="25">
        <f t="shared" ca="1" si="14"/>
        <v>11.287943282444832</v>
      </c>
      <c r="AF16" s="9">
        <f t="shared" ca="1" si="9"/>
        <v>3635</v>
      </c>
      <c r="AH16" s="23"/>
    </row>
    <row r="17" spans="1:34" x14ac:dyDescent="0.25">
      <c r="A17" s="10">
        <v>15</v>
      </c>
      <c r="B17" s="34">
        <f t="shared" ca="1" si="2"/>
        <v>5921</v>
      </c>
      <c r="C17" s="35">
        <f t="shared" ca="1" si="10"/>
        <v>3610.080578008975</v>
      </c>
      <c r="D17" s="36">
        <f t="shared" ca="1" si="11"/>
        <v>3702</v>
      </c>
      <c r="AB17" s="9">
        <f t="shared" ca="1" si="7"/>
        <v>0.48559114140271509</v>
      </c>
      <c r="AC17" s="13">
        <v>15</v>
      </c>
      <c r="AD17" s="13">
        <f t="shared" ca="1" si="8"/>
        <v>337</v>
      </c>
      <c r="AE17" s="25">
        <f t="shared" ca="1" si="14"/>
        <v>10.986139747962758</v>
      </c>
      <c r="AF17" s="9">
        <f t="shared" ca="1" si="9"/>
        <v>3702</v>
      </c>
      <c r="AH17" s="23"/>
    </row>
    <row r="18" spans="1:34" x14ac:dyDescent="0.25">
      <c r="A18" s="10">
        <v>16</v>
      </c>
      <c r="B18" s="34">
        <f t="shared" ca="1" si="2"/>
        <v>971</v>
      </c>
      <c r="C18" s="35">
        <f t="shared" ca="1" si="10"/>
        <v>3010.0534436405705</v>
      </c>
      <c r="D18" s="36">
        <f t="shared" ca="1" si="11"/>
        <v>3240</v>
      </c>
      <c r="AB18" s="9">
        <f t="shared" ca="1" si="7"/>
        <v>0.99460226957475106</v>
      </c>
      <c r="AC18" s="13">
        <v>16</v>
      </c>
      <c r="AD18" s="13">
        <f t="shared" ca="1" si="8"/>
        <v>352</v>
      </c>
      <c r="AE18" s="25">
        <f t="shared" ca="1" si="14"/>
        <v>9.2031284729583831</v>
      </c>
      <c r="AF18" s="9">
        <f t="shared" ca="1" si="9"/>
        <v>3240</v>
      </c>
      <c r="AH18" s="23"/>
    </row>
    <row r="19" spans="1:34" x14ac:dyDescent="0.25">
      <c r="A19" s="10">
        <v>17</v>
      </c>
      <c r="B19" s="34">
        <f t="shared" ca="1" si="2"/>
        <v>2646</v>
      </c>
      <c r="C19" s="35">
        <f t="shared" ca="1" si="10"/>
        <v>3596.3027926999039</v>
      </c>
      <c r="D19" s="36">
        <f t="shared" ca="1" si="11"/>
        <v>3230</v>
      </c>
      <c r="AB19" s="9">
        <f t="shared" ca="1" si="7"/>
        <v>0.83806764132491129</v>
      </c>
      <c r="AC19" s="13">
        <v>17</v>
      </c>
      <c r="AD19" s="13">
        <f t="shared" ca="1" si="8"/>
        <v>367</v>
      </c>
      <c r="AE19" s="25">
        <f t="shared" ca="1" si="14"/>
        <v>8.801405129658173</v>
      </c>
      <c r="AF19" s="9">
        <f t="shared" ca="1" si="9"/>
        <v>3230</v>
      </c>
      <c r="AH19" s="23"/>
    </row>
    <row r="20" spans="1:34" x14ac:dyDescent="0.25">
      <c r="A20" s="10">
        <v>18</v>
      </c>
      <c r="B20" s="34">
        <f t="shared" ca="1" si="2"/>
        <v>14212</v>
      </c>
      <c r="C20" s="35">
        <f t="shared" ca="1" si="10"/>
        <v>3848.3244570983838</v>
      </c>
      <c r="D20" s="36">
        <f t="shared" ca="1" si="11"/>
        <v>4034</v>
      </c>
      <c r="AB20" s="9">
        <f t="shared" ca="1" si="7"/>
        <v>4.7505454998158725E-2</v>
      </c>
      <c r="AC20" s="13">
        <v>18</v>
      </c>
      <c r="AD20" s="13">
        <f t="shared" ca="1" si="8"/>
        <v>382</v>
      </c>
      <c r="AE20" s="25">
        <f t="shared" ca="1" si="14"/>
        <v>10.559270603284562</v>
      </c>
      <c r="AF20" s="9">
        <f t="shared" ca="1" si="9"/>
        <v>4034</v>
      </c>
      <c r="AH20" s="23"/>
    </row>
    <row r="21" spans="1:34" x14ac:dyDescent="0.25">
      <c r="A21" s="10">
        <v>19</v>
      </c>
      <c r="B21" s="34">
        <f t="shared" ca="1" si="2"/>
        <v>12040</v>
      </c>
      <c r="C21" s="35">
        <f t="shared" ca="1" si="10"/>
        <v>3651.1687536671161</v>
      </c>
      <c r="D21" s="36">
        <f t="shared" ca="1" si="11"/>
        <v>4140</v>
      </c>
      <c r="AB21" s="9">
        <f t="shared" ca="1" si="7"/>
        <v>0.13861819586610613</v>
      </c>
      <c r="AC21" s="13">
        <v>19</v>
      </c>
      <c r="AD21" s="13">
        <f t="shared" ca="1" si="8"/>
        <v>397</v>
      </c>
      <c r="AE21" s="25">
        <f t="shared" ca="1" si="14"/>
        <v>10.428267702211167</v>
      </c>
      <c r="AF21" s="9">
        <f t="shared" ca="1" si="9"/>
        <v>4140</v>
      </c>
      <c r="AH21" s="23"/>
    </row>
    <row r="22" spans="1:34" x14ac:dyDescent="0.25">
      <c r="A22" s="10">
        <v>20</v>
      </c>
      <c r="B22" s="34">
        <f t="shared" ca="1" si="2"/>
        <v>3230</v>
      </c>
      <c r="C22" s="35">
        <f t="shared" ca="1" si="10"/>
        <v>4115.1909499809244</v>
      </c>
      <c r="D22" s="36">
        <f t="shared" ca="1" si="11"/>
        <v>5158</v>
      </c>
      <c r="AB22" s="9">
        <f t="shared" ca="1" si="7"/>
        <v>0.73751954647230888</v>
      </c>
      <c r="AC22" s="13">
        <v>20</v>
      </c>
      <c r="AD22" s="13">
        <f t="shared" ca="1" si="8"/>
        <v>412</v>
      </c>
      <c r="AE22" s="25">
        <f t="shared" ca="1" si="14"/>
        <v>12.518465909822496</v>
      </c>
      <c r="AF22" s="9">
        <f t="shared" ca="1" si="9"/>
        <v>5158</v>
      </c>
      <c r="AH22" s="23"/>
    </row>
    <row r="23" spans="1:34" x14ac:dyDescent="0.25">
      <c r="A23" s="10">
        <v>21</v>
      </c>
      <c r="B23" s="34">
        <f t="shared" ca="1" si="2"/>
        <v>9768</v>
      </c>
      <c r="C23" s="35">
        <f t="shared" ca="1" si="10"/>
        <v>4809.0194563503619</v>
      </c>
      <c r="D23" s="36">
        <f t="shared" ca="1" si="11"/>
        <v>2998</v>
      </c>
      <c r="AB23" s="9">
        <f t="shared" ca="1" si="7"/>
        <v>0.32316126055343519</v>
      </c>
      <c r="AC23" s="13">
        <v>21</v>
      </c>
      <c r="AD23" s="13">
        <f t="shared" ca="1" si="8"/>
        <v>427</v>
      </c>
      <c r="AE23" s="25">
        <f t="shared" ca="1" si="14"/>
        <v>7.0214929164477198</v>
      </c>
      <c r="AF23" s="9">
        <f t="shared" ca="1" si="9"/>
        <v>2998</v>
      </c>
      <c r="AH23" s="23"/>
    </row>
    <row r="24" spans="1:34" x14ac:dyDescent="0.25">
      <c r="A24" s="10">
        <v>22</v>
      </c>
      <c r="B24" s="34">
        <f t="shared" ca="1" si="2"/>
        <v>6251</v>
      </c>
      <c r="C24" s="35">
        <f t="shared" ca="1" si="10"/>
        <v>4676.4053740061927</v>
      </c>
      <c r="D24" s="36">
        <f t="shared" ca="1" si="11"/>
        <v>3415</v>
      </c>
      <c r="AB24" s="9">
        <f t="shared" ca="1" si="7"/>
        <v>0.52814314630198733</v>
      </c>
      <c r="AC24" s="13">
        <v>22</v>
      </c>
      <c r="AD24" s="13">
        <f t="shared" ca="1" si="8"/>
        <v>442</v>
      </c>
      <c r="AE24" s="25">
        <f t="shared" ca="1" si="14"/>
        <v>7.7265239161407191</v>
      </c>
      <c r="AF24" s="9">
        <f t="shared" ca="1" si="9"/>
        <v>3415</v>
      </c>
      <c r="AH24" s="23"/>
    </row>
    <row r="25" spans="1:34" x14ac:dyDescent="0.25">
      <c r="A25" s="10">
        <v>23</v>
      </c>
      <c r="B25" s="34">
        <f t="shared" ca="1" si="2"/>
        <v>4976</v>
      </c>
      <c r="C25" s="35">
        <f t="shared" ca="1" si="10"/>
        <v>4580.4011005640996</v>
      </c>
      <c r="D25" s="36">
        <f t="shared" ca="1" si="11"/>
        <v>4777</v>
      </c>
      <c r="AB25" s="9">
        <f t="shared" ca="1" si="7"/>
        <v>0.60893887591980966</v>
      </c>
      <c r="AC25" s="13">
        <v>23</v>
      </c>
      <c r="AD25" s="13">
        <f t="shared" ca="1" si="8"/>
        <v>457</v>
      </c>
      <c r="AE25" s="25">
        <f t="shared" ca="1" si="14"/>
        <v>10.454044773393752</v>
      </c>
      <c r="AF25" s="9">
        <f t="shared" ca="1" si="9"/>
        <v>4777</v>
      </c>
      <c r="AH25" s="23"/>
    </row>
    <row r="26" spans="1:34" x14ac:dyDescent="0.25">
      <c r="A26" s="10">
        <v>24</v>
      </c>
      <c r="B26" s="34">
        <f t="shared" ca="1" si="2"/>
        <v>8533</v>
      </c>
      <c r="C26" s="35">
        <f t="shared" ca="1" si="10"/>
        <v>5294.0187097747457</v>
      </c>
      <c r="D26" s="36">
        <f t="shared" ca="1" si="11"/>
        <v>4976</v>
      </c>
      <c r="AB26" s="9">
        <f t="shared" ca="1" si="7"/>
        <v>0.23475991231549742</v>
      </c>
      <c r="AC26" s="13">
        <v>24</v>
      </c>
      <c r="AD26" s="13">
        <f t="shared" ca="1" si="8"/>
        <v>472</v>
      </c>
      <c r="AE26" s="25">
        <f t="shared" ca="1" si="14"/>
        <v>10.543156831219509</v>
      </c>
      <c r="AF26" s="9">
        <f t="shared" ca="1" si="9"/>
        <v>4976</v>
      </c>
      <c r="AH26" s="23"/>
    </row>
    <row r="27" spans="1:34" x14ac:dyDescent="0.25">
      <c r="A27" s="10">
        <v>25</v>
      </c>
      <c r="B27" s="34">
        <f t="shared" ca="1" si="2"/>
        <v>11238</v>
      </c>
      <c r="C27" s="35">
        <f t="shared" ca="1" si="10"/>
        <v>5170.7404280229848</v>
      </c>
      <c r="D27" s="36">
        <f t="shared" ca="1" si="11"/>
        <v>5365</v>
      </c>
      <c r="AB27" s="9">
        <f t="shared" ca="1" si="7"/>
        <v>0.25704334428696718</v>
      </c>
      <c r="AC27" s="13">
        <v>25</v>
      </c>
      <c r="AD27" s="13">
        <f t="shared" ca="1" si="8"/>
        <v>487</v>
      </c>
      <c r="AE27" s="25">
        <f t="shared" ca="1" si="14"/>
        <v>11.016220493745953</v>
      </c>
      <c r="AF27" s="9">
        <f t="shared" ca="1" si="9"/>
        <v>5365</v>
      </c>
      <c r="AH27" s="23"/>
    </row>
    <row r="28" spans="1:34" x14ac:dyDescent="0.25">
      <c r="A28" s="10">
        <v>26</v>
      </c>
      <c r="B28" s="34">
        <f t="shared" ca="1" si="2"/>
        <v>9322</v>
      </c>
      <c r="C28" s="35">
        <f t="shared" ca="1" si="10"/>
        <v>4710.8920892139513</v>
      </c>
      <c r="D28" s="36">
        <f t="shared" ca="1" si="11"/>
        <v>4166</v>
      </c>
      <c r="AB28" s="9">
        <f t="shared" ca="1" si="7"/>
        <v>0.34487921495532792</v>
      </c>
      <c r="AC28" s="13">
        <v>26</v>
      </c>
      <c r="AD28" s="13">
        <f t="shared" ca="1" si="8"/>
        <v>502</v>
      </c>
      <c r="AE28" s="25">
        <f t="shared" ca="1" si="14"/>
        <v>8.2988431443731194</v>
      </c>
      <c r="AF28" s="9">
        <f t="shared" ca="1" si="9"/>
        <v>4166</v>
      </c>
      <c r="AH28" s="23"/>
    </row>
    <row r="29" spans="1:34" x14ac:dyDescent="0.25">
      <c r="A29" s="10">
        <v>27</v>
      </c>
      <c r="B29" s="34">
        <f t="shared" ca="1" si="2"/>
        <v>2998</v>
      </c>
      <c r="C29" s="35">
        <f t="shared" ca="1" si="10"/>
        <v>4509.5252253200915</v>
      </c>
      <c r="D29" s="36">
        <f t="shared" ca="1" si="11"/>
        <v>5159</v>
      </c>
      <c r="AB29" s="9">
        <f t="shared" ca="1" si="7"/>
        <v>0.65055342958066342</v>
      </c>
      <c r="AC29" s="13">
        <v>27</v>
      </c>
      <c r="AD29" s="13">
        <f t="shared" ca="1" si="8"/>
        <v>517</v>
      </c>
      <c r="AE29" s="25">
        <f t="shared" ca="1" si="14"/>
        <v>9.9783339957469614</v>
      </c>
      <c r="AF29" s="9">
        <f t="shared" ca="1" si="9"/>
        <v>5159</v>
      </c>
      <c r="AH29" s="23"/>
    </row>
    <row r="30" spans="1:34" x14ac:dyDescent="0.25">
      <c r="A30" s="10">
        <v>28</v>
      </c>
      <c r="B30" s="34">
        <f t="shared" ca="1" si="2"/>
        <v>9720</v>
      </c>
      <c r="C30" s="35">
        <f t="shared" ca="1" si="10"/>
        <v>5679.2461237533571</v>
      </c>
      <c r="D30" s="36">
        <f t="shared" ca="1" si="11"/>
        <v>5818</v>
      </c>
      <c r="AB30" s="9">
        <f t="shared" ca="1" si="7"/>
        <v>0.23458347062048246</v>
      </c>
      <c r="AC30" s="13">
        <v>28</v>
      </c>
      <c r="AD30" s="13">
        <f t="shared" ca="1" si="8"/>
        <v>532</v>
      </c>
      <c r="AE30" s="25">
        <f t="shared" ca="1" si="14"/>
        <v>10.935967273832466</v>
      </c>
      <c r="AF30" s="9">
        <f t="shared" ca="1" si="9"/>
        <v>5818</v>
      </c>
      <c r="AH30" s="23"/>
    </row>
    <row r="31" spans="1:34" x14ac:dyDescent="0.25">
      <c r="A31" s="10">
        <v>29</v>
      </c>
      <c r="B31" s="34">
        <f t="shared" ca="1" si="2"/>
        <v>4034</v>
      </c>
      <c r="C31" s="35">
        <f t="shared" ca="1" si="10"/>
        <v>5675.7133385403122</v>
      </c>
      <c r="D31" s="36">
        <f t="shared" ca="1" si="11"/>
        <v>5989</v>
      </c>
      <c r="AB31" s="9">
        <f t="shared" ca="1" si="7"/>
        <v>0.69514187886647028</v>
      </c>
      <c r="AC31" s="13">
        <v>29</v>
      </c>
      <c r="AD31" s="13">
        <f t="shared" ca="1" si="8"/>
        <v>547</v>
      </c>
      <c r="AE31" s="25">
        <f t="shared" ca="1" si="14"/>
        <v>10.949403148739098</v>
      </c>
      <c r="AF31" s="9">
        <f t="shared" ca="1" si="9"/>
        <v>5989</v>
      </c>
      <c r="AH31" s="23"/>
    </row>
    <row r="32" spans="1:34" x14ac:dyDescent="0.25">
      <c r="A32" s="10">
        <v>30</v>
      </c>
      <c r="B32" s="34">
        <f t="shared" ca="1" si="2"/>
        <v>11692</v>
      </c>
      <c r="C32" s="35">
        <f t="shared" ca="1" si="10"/>
        <v>4548.8173213984101</v>
      </c>
      <c r="D32" s="36">
        <f t="shared" ca="1" si="11"/>
        <v>6251</v>
      </c>
      <c r="AB32" s="9">
        <f t="shared" ca="1" si="7"/>
        <v>0.14144123823059973</v>
      </c>
      <c r="AC32" s="13">
        <v>30</v>
      </c>
      <c r="AD32" s="13">
        <f t="shared" ca="1" si="8"/>
        <v>562</v>
      </c>
      <c r="AE32" s="25">
        <f t="shared" ca="1" si="14"/>
        <v>11.122244314388437</v>
      </c>
      <c r="AF32" s="9">
        <f t="shared" ca="1" si="9"/>
        <v>6251</v>
      </c>
      <c r="AH32" s="23"/>
    </row>
    <row r="33" spans="1:34" x14ac:dyDescent="0.25">
      <c r="A33" s="10">
        <v>31</v>
      </c>
      <c r="B33" s="34">
        <f t="shared" ca="1" si="2"/>
        <v>11998</v>
      </c>
      <c r="C33" s="35">
        <f t="shared" ca="1" si="10"/>
        <v>5931.8240033368438</v>
      </c>
      <c r="D33" s="36">
        <f t="shared" ca="1" si="11"/>
        <v>4706</v>
      </c>
      <c r="AB33" s="9">
        <f t="shared" ca="1" si="7"/>
        <v>3.0152342045217551E-2</v>
      </c>
      <c r="AC33" s="13">
        <v>31</v>
      </c>
      <c r="AD33" s="13">
        <f t="shared" ca="1" si="8"/>
        <v>577</v>
      </c>
      <c r="AE33" s="25">
        <f t="shared" ca="1" si="14"/>
        <v>8.1564372050741216</v>
      </c>
      <c r="AF33" s="9">
        <f t="shared" ca="1" si="9"/>
        <v>4706</v>
      </c>
      <c r="AH33" s="23"/>
    </row>
    <row r="34" spans="1:34" x14ac:dyDescent="0.25">
      <c r="A34" s="10">
        <v>32</v>
      </c>
      <c r="B34" s="34">
        <f t="shared" ca="1" si="2"/>
        <v>4456</v>
      </c>
      <c r="C34" s="35">
        <f t="shared" ca="1" si="10"/>
        <v>6102.2340364483771</v>
      </c>
      <c r="D34" s="36">
        <f t="shared" ca="1" si="11"/>
        <v>6472</v>
      </c>
      <c r="AB34" s="9">
        <f t="shared" ca="1" si="7"/>
        <v>0.461826145131781</v>
      </c>
      <c r="AC34" s="13">
        <v>32</v>
      </c>
      <c r="AD34" s="13">
        <f t="shared" ca="1" si="8"/>
        <v>592</v>
      </c>
      <c r="AE34" s="25">
        <f t="shared" ca="1" si="14"/>
        <v>10.93284973616651</v>
      </c>
      <c r="AF34" s="9">
        <f t="shared" ca="1" si="9"/>
        <v>6472</v>
      </c>
      <c r="AH34" s="23"/>
    </row>
    <row r="35" spans="1:34" x14ac:dyDescent="0.25">
      <c r="A35" s="10">
        <v>33</v>
      </c>
      <c r="B35" s="34">
        <f t="shared" ref="B35:B66" ca="1" si="17">INDEX($AF$3:$AF$77,RANK(AB35,$AB$3:$AB$77))</f>
        <v>5159</v>
      </c>
      <c r="C35" s="35">
        <f t="shared" ca="1" si="10"/>
        <v>5311.4864141722319</v>
      </c>
      <c r="D35" s="36">
        <f t="shared" ref="D35:D66" ca="1" si="18">AF35</f>
        <v>5921</v>
      </c>
      <c r="AB35" s="9">
        <f t="shared" ca="1" si="7"/>
        <v>0.53602796850386469</v>
      </c>
      <c r="AC35" s="13">
        <v>33</v>
      </c>
      <c r="AD35" s="13">
        <f t="shared" ref="AD35:AD66" ca="1" si="19">INT($AG$1+$AH$1*AC35)</f>
        <v>607</v>
      </c>
      <c r="AE35" s="25">
        <f t="shared" ca="1" si="14"/>
        <v>9.754595529301076</v>
      </c>
      <c r="AF35" s="9">
        <f t="shared" ref="AF35:AF52" ca="1" si="20">ROUND(AD35*AE35,0)</f>
        <v>5921</v>
      </c>
      <c r="AH35" s="23"/>
    </row>
    <row r="36" spans="1:34" x14ac:dyDescent="0.25">
      <c r="A36" s="10">
        <v>34</v>
      </c>
      <c r="B36" s="34">
        <f t="shared" ca="1" si="17"/>
        <v>3240</v>
      </c>
      <c r="C36" s="35">
        <f t="shared" ca="1" si="10"/>
        <v>6700.6647464579573</v>
      </c>
      <c r="D36" s="36">
        <f t="shared" ca="1" si="18"/>
        <v>7822</v>
      </c>
      <c r="AB36" s="9">
        <f t="shared" ca="1" si="7"/>
        <v>0.75004148247782709</v>
      </c>
      <c r="AC36" s="13">
        <v>34</v>
      </c>
      <c r="AD36" s="13">
        <f t="shared" ca="1" si="19"/>
        <v>622</v>
      </c>
      <c r="AE36" s="25">
        <f t="shared" ca="1" si="14"/>
        <v>12.575979656441307</v>
      </c>
      <c r="AF36" s="9">
        <f t="shared" ca="1" si="20"/>
        <v>7822</v>
      </c>
      <c r="AH36" s="23"/>
    </row>
    <row r="37" spans="1:34" x14ac:dyDescent="0.25">
      <c r="A37" s="10">
        <v>35</v>
      </c>
      <c r="B37" s="34">
        <f t="shared" ca="1" si="17"/>
        <v>2498</v>
      </c>
      <c r="C37" s="35">
        <f t="shared" ca="1" si="10"/>
        <v>5628.0791309232573</v>
      </c>
      <c r="D37" s="36">
        <f t="shared" ca="1" si="18"/>
        <v>7683</v>
      </c>
      <c r="AB37" s="9">
        <f t="shared" ca="1" si="7"/>
        <v>0.85248742780607845</v>
      </c>
      <c r="AC37" s="13">
        <v>35</v>
      </c>
      <c r="AD37" s="13">
        <f t="shared" ca="1" si="19"/>
        <v>637</v>
      </c>
      <c r="AE37" s="25">
        <f t="shared" ca="1" si="14"/>
        <v>12.061218505457859</v>
      </c>
      <c r="AF37" s="9">
        <f t="shared" ca="1" si="20"/>
        <v>7683</v>
      </c>
      <c r="AH37" s="23"/>
    </row>
    <row r="38" spans="1:34" x14ac:dyDescent="0.25">
      <c r="A38" s="10">
        <v>36</v>
      </c>
      <c r="B38" s="34">
        <f t="shared" ca="1" si="17"/>
        <v>2644</v>
      </c>
      <c r="C38" s="35">
        <f t="shared" ca="1" si="10"/>
        <v>5757.013806661259</v>
      </c>
      <c r="D38" s="36">
        <f t="shared" ca="1" si="18"/>
        <v>4456</v>
      </c>
      <c r="AB38" s="9">
        <f t="shared" ca="1" si="7"/>
        <v>0.86989528296365171</v>
      </c>
      <c r="AC38" s="13">
        <v>36</v>
      </c>
      <c r="AD38" s="13">
        <f t="shared" ca="1" si="19"/>
        <v>652</v>
      </c>
      <c r="AE38" s="25">
        <f t="shared" ca="1" si="14"/>
        <v>6.8339548979556897</v>
      </c>
      <c r="AF38" s="9">
        <f t="shared" ca="1" si="20"/>
        <v>4456</v>
      </c>
      <c r="AH38" s="23"/>
    </row>
    <row r="39" spans="1:34" x14ac:dyDescent="0.25">
      <c r="A39" s="10">
        <v>37</v>
      </c>
      <c r="B39" s="34">
        <f t="shared" ca="1" si="17"/>
        <v>8298</v>
      </c>
      <c r="C39" s="35">
        <f t="shared" ca="1" si="10"/>
        <v>6207.1237322126499</v>
      </c>
      <c r="D39" s="36">
        <f t="shared" ca="1" si="18"/>
        <v>5861</v>
      </c>
      <c r="AB39" s="9">
        <f t="shared" ca="1" si="7"/>
        <v>0.39979657453571338</v>
      </c>
      <c r="AC39" s="13">
        <v>37</v>
      </c>
      <c r="AD39" s="13">
        <f t="shared" ca="1" si="19"/>
        <v>667</v>
      </c>
      <c r="AE39" s="25">
        <f t="shared" ca="1" si="14"/>
        <v>8.7867482554073408</v>
      </c>
      <c r="AF39" s="9">
        <f t="shared" ca="1" si="20"/>
        <v>5861</v>
      </c>
      <c r="AH39" s="23"/>
    </row>
    <row r="40" spans="1:34" x14ac:dyDescent="0.25">
      <c r="A40" s="10">
        <v>38</v>
      </c>
      <c r="B40" s="34">
        <f t="shared" ca="1" si="17"/>
        <v>9541</v>
      </c>
      <c r="C40" s="35">
        <f t="shared" ca="1" si="10"/>
        <v>7255.3811796132686</v>
      </c>
      <c r="D40" s="36">
        <f t="shared" ca="1" si="18"/>
        <v>6641</v>
      </c>
      <c r="AB40" s="9">
        <f t="shared" ca="1" si="7"/>
        <v>4.2779709254920251E-2</v>
      </c>
      <c r="AC40" s="13">
        <v>38</v>
      </c>
      <c r="AD40" s="13">
        <f t="shared" ca="1" si="19"/>
        <v>682</v>
      </c>
      <c r="AE40" s="25">
        <f t="shared" ca="1" si="14"/>
        <v>9.7377125937400191</v>
      </c>
      <c r="AF40" s="9">
        <f t="shared" ca="1" si="20"/>
        <v>6641</v>
      </c>
      <c r="AH40" s="23"/>
    </row>
    <row r="41" spans="1:34" x14ac:dyDescent="0.25">
      <c r="A41" s="10">
        <v>39</v>
      </c>
      <c r="B41" s="34">
        <f t="shared" ca="1" si="17"/>
        <v>5861</v>
      </c>
      <c r="C41" s="35">
        <f t="shared" ca="1" si="10"/>
        <v>6177.4036736091093</v>
      </c>
      <c r="D41" s="36">
        <f t="shared" ca="1" si="18"/>
        <v>8175</v>
      </c>
      <c r="AB41" s="9">
        <f t="shared" ca="1" si="7"/>
        <v>0.446311359821989</v>
      </c>
      <c r="AC41" s="13">
        <v>39</v>
      </c>
      <c r="AD41" s="13">
        <f t="shared" ca="1" si="19"/>
        <v>697</v>
      </c>
      <c r="AE41" s="25">
        <f t="shared" ca="1" si="14"/>
        <v>11.729030716619921</v>
      </c>
      <c r="AF41" s="9">
        <f t="shared" ca="1" si="20"/>
        <v>8175</v>
      </c>
      <c r="AH41" s="23"/>
    </row>
    <row r="42" spans="1:34" x14ac:dyDescent="0.25">
      <c r="A42" s="10">
        <v>40</v>
      </c>
      <c r="B42" s="34">
        <f t="shared" ca="1" si="17"/>
        <v>13375</v>
      </c>
      <c r="C42" s="35">
        <f t="shared" ca="1" si="10"/>
        <v>6829.5093419760024</v>
      </c>
      <c r="D42" s="36">
        <f t="shared" ca="1" si="18"/>
        <v>8298</v>
      </c>
      <c r="AB42" s="9">
        <f t="shared" ca="1" si="7"/>
        <v>4.5322317573875948E-3</v>
      </c>
      <c r="AC42" s="13">
        <v>40</v>
      </c>
      <c r="AD42" s="13">
        <f t="shared" ca="1" si="19"/>
        <v>712</v>
      </c>
      <c r="AE42" s="25">
        <f t="shared" ca="1" si="14"/>
        <v>11.654779490116985</v>
      </c>
      <c r="AF42" s="9">
        <f t="shared" ca="1" si="20"/>
        <v>8298</v>
      </c>
      <c r="AH42" s="23"/>
    </row>
    <row r="43" spans="1:34" x14ac:dyDescent="0.25">
      <c r="A43" s="10">
        <v>41</v>
      </c>
      <c r="B43" s="34">
        <f t="shared" ca="1" si="17"/>
        <v>2124</v>
      </c>
      <c r="C43" s="35">
        <f t="shared" ca="1" si="10"/>
        <v>5908.5852801957562</v>
      </c>
      <c r="D43" s="36">
        <f t="shared" ca="1" si="18"/>
        <v>5831</v>
      </c>
      <c r="AB43" s="9">
        <f t="shared" ca="1" si="7"/>
        <v>0.90913664195048338</v>
      </c>
      <c r="AC43" s="13">
        <v>41</v>
      </c>
      <c r="AD43" s="13">
        <f t="shared" ca="1" si="19"/>
        <v>727</v>
      </c>
      <c r="AE43" s="25">
        <f t="shared" ca="1" si="14"/>
        <v>8.0207014014638194</v>
      </c>
      <c r="AF43" s="9">
        <f t="shared" ca="1" si="20"/>
        <v>5831</v>
      </c>
      <c r="AH43" s="23"/>
    </row>
    <row r="44" spans="1:34" x14ac:dyDescent="0.25">
      <c r="A44" s="10">
        <v>42</v>
      </c>
      <c r="B44" s="34">
        <f t="shared" ca="1" si="17"/>
        <v>5966</v>
      </c>
      <c r="C44" s="35">
        <f t="shared" ca="1" si="10"/>
        <v>8243.5668812622116</v>
      </c>
      <c r="D44" s="36">
        <f t="shared" ca="1" si="18"/>
        <v>6727</v>
      </c>
      <c r="AB44" s="9">
        <f t="shared" ca="1" si="7"/>
        <v>0.16648624835496861</v>
      </c>
      <c r="AC44" s="13">
        <v>42</v>
      </c>
      <c r="AD44" s="13">
        <f t="shared" ca="1" si="19"/>
        <v>742</v>
      </c>
      <c r="AE44" s="25">
        <f t="shared" ca="1" si="14"/>
        <v>9.0655043658734336</v>
      </c>
      <c r="AF44" s="9">
        <f t="shared" ca="1" si="20"/>
        <v>6727</v>
      </c>
      <c r="AH44" s="23"/>
    </row>
    <row r="45" spans="1:34" x14ac:dyDescent="0.25">
      <c r="A45" s="10">
        <v>43</v>
      </c>
      <c r="B45" s="34">
        <f t="shared" ca="1" si="17"/>
        <v>4166</v>
      </c>
      <c r="C45" s="35">
        <f t="shared" ca="1" si="10"/>
        <v>6421.948272206082</v>
      </c>
      <c r="D45" s="36">
        <f t="shared" ca="1" si="18"/>
        <v>7798</v>
      </c>
      <c r="AB45" s="9">
        <f t="shared" ca="1" si="7"/>
        <v>0.53657557616990958</v>
      </c>
      <c r="AC45" s="13">
        <v>43</v>
      </c>
      <c r="AD45" s="13">
        <f t="shared" ca="1" si="19"/>
        <v>757</v>
      </c>
      <c r="AE45" s="25">
        <f t="shared" ca="1" si="14"/>
        <v>10.300785967209363</v>
      </c>
      <c r="AF45" s="9">
        <f t="shared" ca="1" si="20"/>
        <v>7798</v>
      </c>
      <c r="AH45" s="23"/>
    </row>
    <row r="46" spans="1:34" x14ac:dyDescent="0.25">
      <c r="A46" s="10">
        <v>44</v>
      </c>
      <c r="B46" s="34">
        <f t="shared" ca="1" si="17"/>
        <v>3415</v>
      </c>
      <c r="C46" s="35">
        <f t="shared" ca="1" si="10"/>
        <v>6156.1471627874334</v>
      </c>
      <c r="D46" s="36">
        <f t="shared" ca="1" si="18"/>
        <v>9322</v>
      </c>
      <c r="AB46" s="9">
        <f t="shared" ca="1" si="7"/>
        <v>0.64808090463288559</v>
      </c>
      <c r="AC46" s="13">
        <v>44</v>
      </c>
      <c r="AD46" s="13">
        <f t="shared" ca="1" si="19"/>
        <v>772</v>
      </c>
      <c r="AE46" s="25">
        <f t="shared" ca="1" si="14"/>
        <v>12.074727483207118</v>
      </c>
      <c r="AF46" s="9">
        <f t="shared" ca="1" si="20"/>
        <v>9322</v>
      </c>
      <c r="AH46" s="23"/>
    </row>
    <row r="47" spans="1:34" x14ac:dyDescent="0.25">
      <c r="A47" s="10">
        <v>45</v>
      </c>
      <c r="B47" s="34">
        <f t="shared" ca="1" si="17"/>
        <v>10533</v>
      </c>
      <c r="C47" s="35">
        <f t="shared" ca="1" si="10"/>
        <v>7386.9046237966495</v>
      </c>
      <c r="D47" s="36">
        <f t="shared" ca="1" si="18"/>
        <v>9768</v>
      </c>
      <c r="AB47" s="9">
        <f t="shared" ca="1" si="7"/>
        <v>5.8490118063870722E-2</v>
      </c>
      <c r="AC47" s="13">
        <v>45</v>
      </c>
      <c r="AD47" s="13">
        <f t="shared" ca="1" si="19"/>
        <v>787</v>
      </c>
      <c r="AE47" s="25">
        <f t="shared" ca="1" si="14"/>
        <v>12.411708779800501</v>
      </c>
      <c r="AF47" s="9">
        <f t="shared" ca="1" si="20"/>
        <v>9768</v>
      </c>
      <c r="AH47" s="23"/>
    </row>
    <row r="48" spans="1:34" x14ac:dyDescent="0.25">
      <c r="A48" s="10">
        <v>46</v>
      </c>
      <c r="B48" s="34">
        <f t="shared" ca="1" si="17"/>
        <v>10636</v>
      </c>
      <c r="C48" s="35">
        <f t="shared" ca="1" si="10"/>
        <v>7837.8575036565844</v>
      </c>
      <c r="D48" s="36">
        <f t="shared" ca="1" si="18"/>
        <v>4861</v>
      </c>
      <c r="AB48" s="9">
        <f t="shared" ca="1" si="7"/>
        <v>0.11116589982552605</v>
      </c>
      <c r="AC48" s="13">
        <v>46</v>
      </c>
      <c r="AD48" s="13">
        <f t="shared" ca="1" si="19"/>
        <v>802</v>
      </c>
      <c r="AE48" s="25">
        <f t="shared" ca="1" si="14"/>
        <v>6.0612166257530067</v>
      </c>
      <c r="AF48" s="9">
        <f t="shared" ca="1" si="20"/>
        <v>4861</v>
      </c>
      <c r="AH48" s="23"/>
    </row>
    <row r="49" spans="1:34" x14ac:dyDescent="0.25">
      <c r="A49" s="10">
        <v>47</v>
      </c>
      <c r="B49" s="34">
        <f t="shared" ca="1" si="17"/>
        <v>7822</v>
      </c>
      <c r="C49" s="35">
        <f t="shared" ca="1" si="10"/>
        <v>6885.2131958495856</v>
      </c>
      <c r="D49" s="36">
        <f t="shared" ca="1" si="18"/>
        <v>7112</v>
      </c>
      <c r="AB49" s="9">
        <f t="shared" ca="1" si="7"/>
        <v>0.48125240905094291</v>
      </c>
      <c r="AC49" s="13">
        <v>47</v>
      </c>
      <c r="AD49" s="13">
        <f t="shared" ca="1" si="19"/>
        <v>817</v>
      </c>
      <c r="AE49" s="25">
        <f t="shared" ca="1" si="14"/>
        <v>8.7049826546529054</v>
      </c>
      <c r="AF49" s="9">
        <f t="shared" ca="1" si="20"/>
        <v>7112</v>
      </c>
      <c r="AH49" s="23"/>
    </row>
    <row r="50" spans="1:34" x14ac:dyDescent="0.25">
      <c r="A50" s="10">
        <v>48</v>
      </c>
      <c r="B50" s="34">
        <f t="shared" ca="1" si="17"/>
        <v>9821</v>
      </c>
      <c r="C50" s="35">
        <f t="shared" ca="1" si="10"/>
        <v>6937.8196221393946</v>
      </c>
      <c r="D50" s="36">
        <f t="shared" ca="1" si="18"/>
        <v>8734</v>
      </c>
      <c r="AB50" s="9">
        <f t="shared" ca="1" si="7"/>
        <v>0.10163806986960977</v>
      </c>
      <c r="AC50" s="13">
        <v>48</v>
      </c>
      <c r="AD50" s="13">
        <f t="shared" ca="1" si="19"/>
        <v>832</v>
      </c>
      <c r="AE50" s="25">
        <f t="shared" ca="1" si="14"/>
        <v>10.497445614779831</v>
      </c>
      <c r="AF50" s="9">
        <f t="shared" ca="1" si="20"/>
        <v>8734</v>
      </c>
      <c r="AH50" s="23"/>
    </row>
    <row r="51" spans="1:34" x14ac:dyDescent="0.25">
      <c r="A51" s="10">
        <v>49</v>
      </c>
      <c r="B51" s="34">
        <f t="shared" ca="1" si="17"/>
        <v>2252</v>
      </c>
      <c r="C51" s="35">
        <f t="shared" ca="1" si="10"/>
        <v>8763.9565485774528</v>
      </c>
      <c r="D51" s="36">
        <f t="shared" ca="1" si="18"/>
        <v>10625</v>
      </c>
      <c r="AB51" s="9">
        <f t="shared" ca="1" si="7"/>
        <v>0.85032757592653907</v>
      </c>
      <c r="AC51" s="13">
        <v>49</v>
      </c>
      <c r="AD51" s="13">
        <f t="shared" ca="1" si="19"/>
        <v>847</v>
      </c>
      <c r="AE51" s="25">
        <f t="shared" ca="1" si="14"/>
        <v>12.544329310656369</v>
      </c>
      <c r="AF51" s="9">
        <f t="shared" ca="1" si="20"/>
        <v>10625</v>
      </c>
      <c r="AH51" s="23"/>
    </row>
    <row r="52" spans="1:34" x14ac:dyDescent="0.25">
      <c r="A52" s="10">
        <v>50</v>
      </c>
      <c r="B52" s="34">
        <f t="shared" ca="1" si="17"/>
        <v>10625</v>
      </c>
      <c r="C52" s="35">
        <f t="shared" ca="1" si="10"/>
        <v>7903.3585222370702</v>
      </c>
      <c r="D52" s="36">
        <f t="shared" ca="1" si="18"/>
        <v>11238</v>
      </c>
      <c r="AB52" s="9">
        <f t="shared" ca="1" si="7"/>
        <v>0.2647605282103882</v>
      </c>
      <c r="AC52" s="13">
        <v>50</v>
      </c>
      <c r="AD52" s="13">
        <f t="shared" ca="1" si="19"/>
        <v>862</v>
      </c>
      <c r="AE52" s="25">
        <f t="shared" ca="1" si="14"/>
        <v>13.036633602590745</v>
      </c>
      <c r="AF52" s="9">
        <f t="shared" ca="1" si="20"/>
        <v>11238</v>
      </c>
      <c r="AH52" s="23"/>
    </row>
    <row r="53" spans="1:34" x14ac:dyDescent="0.25">
      <c r="A53" s="10">
        <v>51</v>
      </c>
      <c r="B53" s="34">
        <f t="shared" ca="1" si="17"/>
        <v>9941</v>
      </c>
      <c r="C53" s="35">
        <f t="shared" ca="1" si="10"/>
        <v>7306.7209214430386</v>
      </c>
      <c r="D53" s="36">
        <f t="shared" ca="1" si="18"/>
        <v>7221</v>
      </c>
      <c r="AB53" s="9">
        <f t="shared" ca="1" si="7"/>
        <v>0.12694112402106683</v>
      </c>
      <c r="AC53" s="13">
        <v>51</v>
      </c>
      <c r="AD53" s="13">
        <f t="shared" ca="1" si="19"/>
        <v>877</v>
      </c>
      <c r="AE53" s="25">
        <f t="shared" ca="1" si="14"/>
        <v>8.2335152121857682</v>
      </c>
      <c r="AF53" s="9">
        <f t="shared" ref="AF53:AF77" ca="1" si="21">ROUND(AD53*AE53,0)</f>
        <v>7221</v>
      </c>
      <c r="AG53" s="23"/>
      <c r="AH53" s="23"/>
    </row>
    <row r="54" spans="1:34" x14ac:dyDescent="0.25">
      <c r="A54" s="10">
        <v>52</v>
      </c>
      <c r="B54" s="34">
        <f t="shared" ca="1" si="17"/>
        <v>7221</v>
      </c>
      <c r="C54" s="35">
        <f t="shared" ca="1" si="10"/>
        <v>10446.530907811186</v>
      </c>
      <c r="D54" s="36">
        <f t="shared" ca="1" si="18"/>
        <v>8533</v>
      </c>
      <c r="AB54" s="9">
        <f t="shared" ca="1" si="7"/>
        <v>0.25306964143080402</v>
      </c>
      <c r="AC54" s="13">
        <v>52</v>
      </c>
      <c r="AD54" s="13">
        <f t="shared" ca="1" si="19"/>
        <v>892</v>
      </c>
      <c r="AE54" s="25">
        <f t="shared" ca="1" si="14"/>
        <v>9.565928886871415</v>
      </c>
      <c r="AF54" s="9">
        <f t="shared" ca="1" si="21"/>
        <v>8533</v>
      </c>
      <c r="AG54" s="23"/>
      <c r="AH54" s="23"/>
    </row>
    <row r="55" spans="1:34" x14ac:dyDescent="0.25">
      <c r="A55" s="10">
        <v>53</v>
      </c>
      <c r="B55" s="34">
        <f t="shared" ca="1" si="17"/>
        <v>6641</v>
      </c>
      <c r="C55" s="35">
        <f t="shared" ca="1" si="10"/>
        <v>9411.2822151008149</v>
      </c>
      <c r="D55" s="36">
        <f t="shared" ca="1" si="18"/>
        <v>9720</v>
      </c>
      <c r="AB55" s="9">
        <f t="shared" ca="1" si="7"/>
        <v>0.43508361957711028</v>
      </c>
      <c r="AC55" s="13">
        <v>53</v>
      </c>
      <c r="AD55" s="13">
        <f t="shared" ca="1" si="19"/>
        <v>907</v>
      </c>
      <c r="AE55" s="25">
        <f t="shared" ca="1" si="14"/>
        <v>10.716911152623084</v>
      </c>
      <c r="AF55" s="9">
        <f t="shared" ca="1" si="21"/>
        <v>9720</v>
      </c>
    </row>
    <row r="56" spans="1:34" x14ac:dyDescent="0.25">
      <c r="A56" s="10">
        <v>54</v>
      </c>
      <c r="B56" s="34">
        <f t="shared" ca="1" si="17"/>
        <v>6472</v>
      </c>
      <c r="C56" s="35">
        <f t="shared" ca="1" si="10"/>
        <v>10228.757454099497</v>
      </c>
      <c r="D56" s="36">
        <f t="shared" ca="1" si="18"/>
        <v>8652</v>
      </c>
      <c r="AB56" s="9">
        <f t="shared" ca="1" si="7"/>
        <v>0.49936113507809599</v>
      </c>
      <c r="AC56" s="13">
        <v>54</v>
      </c>
      <c r="AD56" s="13">
        <f t="shared" ca="1" si="19"/>
        <v>922</v>
      </c>
      <c r="AE56" s="25">
        <f t="shared" ca="1" si="14"/>
        <v>9.3841921173742904</v>
      </c>
      <c r="AF56" s="9">
        <f t="shared" ca="1" si="21"/>
        <v>8652</v>
      </c>
    </row>
    <row r="57" spans="1:34" x14ac:dyDescent="0.25">
      <c r="A57" s="10">
        <v>55</v>
      </c>
      <c r="B57" s="34">
        <f t="shared" ca="1" si="17"/>
        <v>2254</v>
      </c>
      <c r="C57" s="35">
        <f t="shared" ca="1" si="10"/>
        <v>10622.292295611884</v>
      </c>
      <c r="D57" s="36">
        <f t="shared" ca="1" si="18"/>
        <v>12023</v>
      </c>
      <c r="AB57" s="9">
        <f t="shared" ca="1" si="7"/>
        <v>0.87699170391362791</v>
      </c>
      <c r="AC57" s="13">
        <v>55</v>
      </c>
      <c r="AD57" s="13">
        <f t="shared" ca="1" si="19"/>
        <v>937</v>
      </c>
      <c r="AE57" s="25">
        <f t="shared" ca="1" si="14"/>
        <v>12.830992651812485</v>
      </c>
      <c r="AF57" s="9">
        <f t="shared" ca="1" si="21"/>
        <v>12023</v>
      </c>
    </row>
    <row r="58" spans="1:34" x14ac:dyDescent="0.25">
      <c r="A58" s="10">
        <v>56</v>
      </c>
      <c r="B58" s="34">
        <f t="shared" ca="1" si="17"/>
        <v>1604</v>
      </c>
      <c r="C58" s="35">
        <f t="shared" ca="1" si="10"/>
        <v>9619.3629524820026</v>
      </c>
      <c r="D58" s="36">
        <f t="shared" ca="1" si="18"/>
        <v>5966</v>
      </c>
      <c r="AB58" s="9">
        <f t="shared" ca="1" si="7"/>
        <v>0.89099574437481754</v>
      </c>
      <c r="AC58" s="13">
        <v>56</v>
      </c>
      <c r="AD58" s="13">
        <f t="shared" ca="1" si="19"/>
        <v>952</v>
      </c>
      <c r="AE58" s="25">
        <f t="shared" ca="1" si="14"/>
        <v>6.2663751674080563</v>
      </c>
      <c r="AF58" s="9">
        <f t="shared" ca="1" si="21"/>
        <v>5966</v>
      </c>
    </row>
    <row r="59" spans="1:34" x14ac:dyDescent="0.25">
      <c r="A59" s="10">
        <v>57</v>
      </c>
      <c r="B59" s="34">
        <f t="shared" ca="1" si="17"/>
        <v>3635</v>
      </c>
      <c r="C59" s="35">
        <f t="shared" ca="1" si="10"/>
        <v>9350.7044234837558</v>
      </c>
      <c r="D59" s="36">
        <f t="shared" ca="1" si="18"/>
        <v>6735</v>
      </c>
      <c r="AB59" s="9">
        <f t="shared" ca="1" si="7"/>
        <v>0.79630814937351768</v>
      </c>
      <c r="AC59" s="13">
        <v>57</v>
      </c>
      <c r="AD59" s="13">
        <f t="shared" ca="1" si="19"/>
        <v>967</v>
      </c>
      <c r="AE59" s="25">
        <f t="shared" ca="1" si="14"/>
        <v>6.9645027630439831</v>
      </c>
      <c r="AF59" s="9">
        <f t="shared" ca="1" si="21"/>
        <v>6735</v>
      </c>
    </row>
    <row r="60" spans="1:34" x14ac:dyDescent="0.25">
      <c r="A60" s="10">
        <v>58</v>
      </c>
      <c r="B60" s="34">
        <f t="shared" ca="1" si="17"/>
        <v>5365</v>
      </c>
      <c r="C60" s="35">
        <f t="shared" ca="1" si="10"/>
        <v>9473.0758560578779</v>
      </c>
      <c r="D60" s="36">
        <f t="shared" ca="1" si="18"/>
        <v>9770</v>
      </c>
      <c r="AB60" s="9">
        <f t="shared" ca="1" si="7"/>
        <v>0.5670126502398174</v>
      </c>
      <c r="AC60" s="13">
        <v>58</v>
      </c>
      <c r="AD60" s="13">
        <f t="shared" ca="1" si="19"/>
        <v>982</v>
      </c>
      <c r="AE60" s="25">
        <f t="shared" ca="1" si="14"/>
        <v>9.9486636191276911</v>
      </c>
      <c r="AF60" s="9">
        <f t="shared" ca="1" si="21"/>
        <v>9770</v>
      </c>
    </row>
    <row r="61" spans="1:34" x14ac:dyDescent="0.25">
      <c r="A61" s="10">
        <v>59</v>
      </c>
      <c r="B61" s="34">
        <f t="shared" ca="1" si="17"/>
        <v>7112</v>
      </c>
      <c r="C61" s="35">
        <f t="shared" ca="1" si="10"/>
        <v>10276.826012953461</v>
      </c>
      <c r="D61" s="36">
        <f t="shared" ca="1" si="18"/>
        <v>11692</v>
      </c>
      <c r="AB61" s="9">
        <f t="shared" ca="1" si="7"/>
        <v>0.29351063757224649</v>
      </c>
      <c r="AC61" s="13">
        <v>59</v>
      </c>
      <c r="AD61" s="13">
        <f t="shared" ca="1" si="19"/>
        <v>997</v>
      </c>
      <c r="AE61" s="25">
        <f t="shared" ca="1" si="14"/>
        <v>11.727010460204895</v>
      </c>
      <c r="AF61" s="9">
        <f t="shared" ca="1" si="21"/>
        <v>11692</v>
      </c>
    </row>
    <row r="62" spans="1:34" x14ac:dyDescent="0.25">
      <c r="A62" s="10">
        <v>60</v>
      </c>
      <c r="B62" s="34">
        <f t="shared" ca="1" si="17"/>
        <v>2868</v>
      </c>
      <c r="C62" s="35">
        <f t="shared" ca="1" si="10"/>
        <v>10838.945242235726</v>
      </c>
      <c r="D62" s="36">
        <f t="shared" ca="1" si="18"/>
        <v>12040</v>
      </c>
      <c r="AB62" s="9">
        <f t="shared" ca="1" si="7"/>
        <v>0.82941097857934576</v>
      </c>
      <c r="AC62" s="13">
        <v>60</v>
      </c>
      <c r="AD62" s="13">
        <f t="shared" ca="1" si="19"/>
        <v>1012</v>
      </c>
      <c r="AE62" s="25">
        <f t="shared" ca="1" si="14"/>
        <v>11.896970371115831</v>
      </c>
      <c r="AF62" s="9">
        <f t="shared" ca="1" si="21"/>
        <v>12040</v>
      </c>
    </row>
    <row r="63" spans="1:34" x14ac:dyDescent="0.25">
      <c r="A63" s="10">
        <v>61</v>
      </c>
      <c r="B63" s="34">
        <f t="shared" ca="1" si="17"/>
        <v>6735</v>
      </c>
      <c r="C63" s="35">
        <f t="shared" ca="1" si="10"/>
        <v>12187.203051060656</v>
      </c>
      <c r="D63" s="36">
        <f t="shared" ca="1" si="18"/>
        <v>9941</v>
      </c>
      <c r="AB63" s="9">
        <f t="shared" ca="1" si="7"/>
        <v>0.14426845113390852</v>
      </c>
      <c r="AC63" s="13">
        <v>61</v>
      </c>
      <c r="AD63" s="13">
        <f t="shared" ca="1" si="19"/>
        <v>1027</v>
      </c>
      <c r="AE63" s="25">
        <f t="shared" ca="1" si="14"/>
        <v>9.6795888100833523</v>
      </c>
      <c r="AF63" s="9">
        <f t="shared" ca="1" si="21"/>
        <v>9941</v>
      </c>
    </row>
    <row r="64" spans="1:34" x14ac:dyDescent="0.25">
      <c r="A64" s="10">
        <v>62</v>
      </c>
      <c r="B64" s="34">
        <f t="shared" ca="1" si="17"/>
        <v>6727</v>
      </c>
      <c r="C64" s="35">
        <f t="shared" ca="1" si="10"/>
        <v>11326.37595166975</v>
      </c>
      <c r="D64" s="36">
        <f t="shared" ca="1" si="18"/>
        <v>9663</v>
      </c>
      <c r="AB64" s="9">
        <f t="shared" ca="1" si="7"/>
        <v>0.37382401612940652</v>
      </c>
      <c r="AC64" s="13">
        <v>62</v>
      </c>
      <c r="AD64" s="13">
        <f t="shared" ca="1" si="19"/>
        <v>1042</v>
      </c>
      <c r="AE64" s="25">
        <f t="shared" ca="1" si="14"/>
        <v>9.2737522287357059</v>
      </c>
      <c r="AF64" s="9">
        <f t="shared" ca="1" si="21"/>
        <v>9663</v>
      </c>
    </row>
    <row r="65" spans="1:32" x14ac:dyDescent="0.25">
      <c r="A65" s="10">
        <v>63</v>
      </c>
      <c r="B65" s="34">
        <f t="shared" ca="1" si="17"/>
        <v>4706</v>
      </c>
      <c r="C65" s="35">
        <f t="shared" ca="1" si="10"/>
        <v>12648.086095902263</v>
      </c>
      <c r="D65" s="36">
        <f t="shared" ca="1" si="18"/>
        <v>10636</v>
      </c>
      <c r="AB65" s="9">
        <f t="shared" ca="1" si="7"/>
        <v>0.51068294741053011</v>
      </c>
      <c r="AC65" s="13">
        <v>63</v>
      </c>
      <c r="AD65" s="13">
        <f t="shared" ca="1" si="19"/>
        <v>1057</v>
      </c>
      <c r="AE65" s="25">
        <f t="shared" ca="1" si="14"/>
        <v>10.061983982273407</v>
      </c>
      <c r="AF65" s="9">
        <f t="shared" ca="1" si="21"/>
        <v>10636</v>
      </c>
    </row>
    <row r="66" spans="1:32" x14ac:dyDescent="0.25">
      <c r="A66" s="10">
        <v>64</v>
      </c>
      <c r="B66" s="34">
        <f t="shared" ca="1" si="17"/>
        <v>1815</v>
      </c>
      <c r="C66" s="35">
        <f t="shared" ca="1" si="10"/>
        <v>12749.125000187707</v>
      </c>
      <c r="D66" s="36">
        <f t="shared" ca="1" si="18"/>
        <v>9821</v>
      </c>
      <c r="AB66" s="9">
        <f t="shared" ca="1" si="7"/>
        <v>0.92438561380348894</v>
      </c>
      <c r="AC66" s="13">
        <v>64</v>
      </c>
      <c r="AD66" s="13">
        <f t="shared" ca="1" si="19"/>
        <v>1072</v>
      </c>
      <c r="AE66" s="25">
        <f t="shared" ca="1" si="14"/>
        <v>9.1614947013362347</v>
      </c>
      <c r="AF66" s="9">
        <f t="shared" ca="1" si="21"/>
        <v>9821</v>
      </c>
    </row>
    <row r="67" spans="1:32" x14ac:dyDescent="0.25">
      <c r="A67" s="10">
        <v>65</v>
      </c>
      <c r="B67" s="34">
        <f t="shared" ref="B67:B77" ca="1" si="22">INDEX($AF$3:$AF$77,RANK(AB67,$AB$3:$AB$77))</f>
        <v>8175</v>
      </c>
      <c r="C67" s="35">
        <f t="shared" ca="1" si="10"/>
        <v>12373.444288289213</v>
      </c>
      <c r="D67" s="36">
        <f t="shared" ref="D67:D77" ca="1" si="23">AF67</f>
        <v>12334</v>
      </c>
      <c r="AB67" s="9">
        <f t="shared" ref="AB67:AB77" ca="1" si="24">RAND()</f>
        <v>0.42412223535585147</v>
      </c>
      <c r="AC67" s="13">
        <v>65</v>
      </c>
      <c r="AD67" s="13">
        <f t="shared" ref="AD67:AD77" ca="1" si="25">INT($AG$1+$AH$1*AC67)</f>
        <v>1087</v>
      </c>
      <c r="AE67" s="25">
        <f t="shared" ca="1" si="14"/>
        <v>11.346385794992946</v>
      </c>
      <c r="AF67" s="9">
        <f t="shared" ca="1" si="21"/>
        <v>12334</v>
      </c>
    </row>
    <row r="68" spans="1:32" x14ac:dyDescent="0.25">
      <c r="A68" s="10">
        <v>66</v>
      </c>
      <c r="B68" s="34">
        <f t="shared" ca="1" si="22"/>
        <v>8652</v>
      </c>
      <c r="C68" s="35">
        <f t="shared" ref="C68:C77" ca="1" si="26">SMALL($AF$3:$AF$77,AC68)*(0.8+0.4*RAND())</f>
        <v>9761.9765014304885</v>
      </c>
      <c r="D68" s="36">
        <f t="shared" ca="1" si="23"/>
        <v>10073</v>
      </c>
      <c r="AB68" s="9">
        <f t="shared" ca="1" si="24"/>
        <v>0.21654765257393416</v>
      </c>
      <c r="AC68" s="13">
        <v>66</v>
      </c>
      <c r="AD68" s="13">
        <f t="shared" ca="1" si="25"/>
        <v>1102</v>
      </c>
      <c r="AE68" s="25">
        <f t="shared" ref="AE68:AE77" ca="1" si="27">(((IF(MOD(AC68,5)&lt;&gt;0,MOD(AC68,5),5))+7)+_xlfn.NORM.S.INV(RAND()))</f>
        <v>9.1406288485740106</v>
      </c>
      <c r="AF68" s="9">
        <f t="shared" ca="1" si="21"/>
        <v>10073</v>
      </c>
    </row>
    <row r="69" spans="1:32" x14ac:dyDescent="0.25">
      <c r="A69" s="10">
        <v>67</v>
      </c>
      <c r="B69" s="34">
        <f t="shared" ca="1" si="22"/>
        <v>14825</v>
      </c>
      <c r="C69" s="35">
        <f t="shared" ca="1" si="26"/>
        <v>11974.239768791618</v>
      </c>
      <c r="D69" s="36">
        <f t="shared" ca="1" si="23"/>
        <v>10565</v>
      </c>
      <c r="AB69" s="9">
        <f t="shared" ca="1" si="24"/>
        <v>4.22518622260315E-3</v>
      </c>
      <c r="AC69" s="13">
        <v>67</v>
      </c>
      <c r="AD69" s="13">
        <f t="shared" ca="1" si="25"/>
        <v>1117</v>
      </c>
      <c r="AE69" s="25">
        <f t="shared" ca="1" si="27"/>
        <v>9.4582676757369253</v>
      </c>
      <c r="AF69" s="9">
        <f t="shared" ca="1" si="21"/>
        <v>10565</v>
      </c>
    </row>
    <row r="70" spans="1:32" x14ac:dyDescent="0.25">
      <c r="A70" s="10">
        <v>68</v>
      </c>
      <c r="B70" s="34">
        <f t="shared" ca="1" si="22"/>
        <v>5831</v>
      </c>
      <c r="C70" s="35">
        <f t="shared" ca="1" si="26"/>
        <v>13248.582331378499</v>
      </c>
      <c r="D70" s="36">
        <f t="shared" ca="1" si="23"/>
        <v>10533</v>
      </c>
      <c r="AB70" s="9">
        <f t="shared" ca="1" si="24"/>
        <v>0.37626386543188806</v>
      </c>
      <c r="AC70" s="13">
        <v>68</v>
      </c>
      <c r="AD70" s="13">
        <f t="shared" ca="1" si="25"/>
        <v>1132</v>
      </c>
      <c r="AE70" s="25">
        <f t="shared" ca="1" si="27"/>
        <v>9.3047470276073287</v>
      </c>
      <c r="AF70" s="9">
        <f t="shared" ca="1" si="21"/>
        <v>10533</v>
      </c>
    </row>
    <row r="71" spans="1:32" x14ac:dyDescent="0.25">
      <c r="A71" s="10">
        <v>69</v>
      </c>
      <c r="B71" s="34">
        <f t="shared" ca="1" si="22"/>
        <v>10597</v>
      </c>
      <c r="C71" s="35">
        <f t="shared" ca="1" si="26"/>
        <v>11557.279188157168</v>
      </c>
      <c r="D71" s="36">
        <f t="shared" ca="1" si="23"/>
        <v>14212</v>
      </c>
      <c r="AB71" s="9">
        <f t="shared" ca="1" si="24"/>
        <v>1.1557261669883245E-2</v>
      </c>
      <c r="AC71" s="13">
        <v>69</v>
      </c>
      <c r="AD71" s="13">
        <f t="shared" ca="1" si="25"/>
        <v>1147</v>
      </c>
      <c r="AE71" s="25">
        <f t="shared" ca="1" si="27"/>
        <v>12.390943878926292</v>
      </c>
      <c r="AF71" s="9">
        <f t="shared" ca="1" si="21"/>
        <v>14212</v>
      </c>
    </row>
    <row r="72" spans="1:32" x14ac:dyDescent="0.25">
      <c r="A72" s="10">
        <v>70</v>
      </c>
      <c r="B72" s="34">
        <f t="shared" ca="1" si="22"/>
        <v>9770</v>
      </c>
      <c r="C72" s="35">
        <f t="shared" ca="1" si="26"/>
        <v>10314.005482666207</v>
      </c>
      <c r="D72" s="36">
        <f t="shared" ca="1" si="23"/>
        <v>12191</v>
      </c>
      <c r="AB72" s="9">
        <f t="shared" ca="1" si="24"/>
        <v>0.14204955073561798</v>
      </c>
      <c r="AC72" s="13">
        <v>70</v>
      </c>
      <c r="AD72" s="13">
        <f t="shared" ca="1" si="25"/>
        <v>1162</v>
      </c>
      <c r="AE72" s="25">
        <f t="shared" ca="1" si="27"/>
        <v>10.491244156385807</v>
      </c>
      <c r="AF72" s="9">
        <f t="shared" ca="1" si="21"/>
        <v>12191</v>
      </c>
    </row>
    <row r="73" spans="1:32" x14ac:dyDescent="0.25">
      <c r="A73" s="10">
        <v>71</v>
      </c>
      <c r="B73" s="34">
        <f t="shared" ca="1" si="22"/>
        <v>1336</v>
      </c>
      <c r="C73" s="35">
        <f t="shared" ca="1" si="26"/>
        <v>9795.5946977226904</v>
      </c>
      <c r="D73" s="36">
        <f t="shared" ca="1" si="23"/>
        <v>9541</v>
      </c>
      <c r="AB73" s="9">
        <f t="shared" ca="1" si="24"/>
        <v>0.96978497929461871</v>
      </c>
      <c r="AC73" s="13">
        <v>71</v>
      </c>
      <c r="AD73" s="13">
        <f t="shared" ca="1" si="25"/>
        <v>1177</v>
      </c>
      <c r="AE73" s="25">
        <f t="shared" ca="1" si="27"/>
        <v>8.1061789420428525</v>
      </c>
      <c r="AF73" s="9">
        <f t="shared" ca="1" si="21"/>
        <v>9541</v>
      </c>
    </row>
    <row r="74" spans="1:32" x14ac:dyDescent="0.25">
      <c r="A74" s="10">
        <v>72</v>
      </c>
      <c r="B74" s="34">
        <f t="shared" ca="1" si="22"/>
        <v>4861</v>
      </c>
      <c r="C74" s="35">
        <f t="shared" ca="1" si="26"/>
        <v>12340.706995846545</v>
      </c>
      <c r="D74" s="36">
        <f t="shared" ca="1" si="23"/>
        <v>11998</v>
      </c>
      <c r="AB74" s="9">
        <f t="shared" ca="1" si="24"/>
        <v>0.31422829403846242</v>
      </c>
      <c r="AC74" s="13">
        <v>72</v>
      </c>
      <c r="AD74" s="13">
        <f t="shared" ca="1" si="25"/>
        <v>1192</v>
      </c>
      <c r="AE74" s="25">
        <f t="shared" ca="1" si="27"/>
        <v>10.065348953267398</v>
      </c>
      <c r="AF74" s="9">
        <f t="shared" ca="1" si="21"/>
        <v>11998</v>
      </c>
    </row>
    <row r="75" spans="1:32" x14ac:dyDescent="0.25">
      <c r="A75" s="10">
        <v>73</v>
      </c>
      <c r="B75" s="34">
        <f t="shared" ca="1" si="22"/>
        <v>10073</v>
      </c>
      <c r="C75" s="35">
        <f t="shared" ca="1" si="26"/>
        <v>13252.831651656925</v>
      </c>
      <c r="D75" s="36">
        <f t="shared" ca="1" si="23"/>
        <v>10597</v>
      </c>
      <c r="AB75" s="9">
        <f t="shared" ca="1" si="24"/>
        <v>6.121795557512455E-2</v>
      </c>
      <c r="AC75" s="13">
        <v>73</v>
      </c>
      <c r="AD75" s="13">
        <f t="shared" ca="1" si="25"/>
        <v>1207</v>
      </c>
      <c r="AE75" s="25">
        <f t="shared" ca="1" si="27"/>
        <v>8.7795807012829297</v>
      </c>
      <c r="AF75" s="9">
        <f t="shared" ca="1" si="21"/>
        <v>10597</v>
      </c>
    </row>
    <row r="76" spans="1:32" x14ac:dyDescent="0.25">
      <c r="A76" s="10">
        <v>74</v>
      </c>
      <c r="B76" s="34">
        <f t="shared" ca="1" si="22"/>
        <v>4140</v>
      </c>
      <c r="C76" s="35">
        <f t="shared" ca="1" si="26"/>
        <v>13796.705916830384</v>
      </c>
      <c r="D76" s="36">
        <f t="shared" ca="1" si="23"/>
        <v>13375</v>
      </c>
      <c r="AB76" s="9">
        <f t="shared" ca="1" si="24"/>
        <v>0.66077866311816458</v>
      </c>
      <c r="AC76" s="13">
        <v>74</v>
      </c>
      <c r="AD76" s="13">
        <f t="shared" ca="1" si="25"/>
        <v>1222</v>
      </c>
      <c r="AE76" s="25">
        <f t="shared" ca="1" si="27"/>
        <v>10.945559162802882</v>
      </c>
      <c r="AF76" s="9">
        <f t="shared" ca="1" si="21"/>
        <v>13375</v>
      </c>
    </row>
    <row r="77" spans="1:32" x14ac:dyDescent="0.25">
      <c r="A77" s="10">
        <v>75</v>
      </c>
      <c r="B77" s="34">
        <f t="shared" ca="1" si="22"/>
        <v>12023</v>
      </c>
      <c r="C77" s="35">
        <f t="shared" ca="1" si="26"/>
        <v>15291.369481980548</v>
      </c>
      <c r="D77" s="36">
        <f t="shared" ca="1" si="23"/>
        <v>14825</v>
      </c>
      <c r="AB77" s="9">
        <f t="shared" ca="1" si="24"/>
        <v>0.19948831331731676</v>
      </c>
      <c r="AC77" s="13">
        <v>75</v>
      </c>
      <c r="AD77" s="13">
        <f t="shared" ca="1" si="25"/>
        <v>1237</v>
      </c>
      <c r="AE77" s="25">
        <f t="shared" ca="1" si="27"/>
        <v>11.984767352271012</v>
      </c>
      <c r="AF77" s="9">
        <f t="shared" ca="1" si="21"/>
        <v>14825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78"/>
  <sheetViews>
    <sheetView topLeftCell="A7" zoomScale="98" zoomScaleNormal="98" workbookViewId="0">
      <selection activeCell="N3" sqref="N3"/>
    </sheetView>
  </sheetViews>
  <sheetFormatPr defaultRowHeight="12.75" x14ac:dyDescent="0.2"/>
  <cols>
    <col min="1" max="1" width="4.42578125" bestFit="1" customWidth="1"/>
    <col min="2" max="2" width="9.5703125" bestFit="1" customWidth="1"/>
    <col min="3" max="3" width="6.28515625" bestFit="1" customWidth="1"/>
    <col min="4" max="4" width="8.42578125" bestFit="1" customWidth="1"/>
    <col min="5" max="5" width="6.28515625" customWidth="1"/>
    <col min="6" max="7" width="8" bestFit="1" customWidth="1"/>
    <col min="8" max="8" width="7.140625" bestFit="1" customWidth="1"/>
    <col min="9" max="9" width="6.28515625" bestFit="1" customWidth="1"/>
    <col min="10" max="10" width="6.28515625" customWidth="1"/>
    <col min="11" max="11" width="11.5703125" bestFit="1" customWidth="1"/>
    <col min="12" max="12" width="8" bestFit="1" customWidth="1"/>
    <col min="14" max="14" width="6.42578125" customWidth="1"/>
    <col min="15" max="23" width="4" customWidth="1"/>
  </cols>
  <sheetData>
    <row r="1" spans="1:24" x14ac:dyDescent="0.2">
      <c r="A1" s="8" t="str">
        <f>ArdiData!A2</f>
        <v>Per.</v>
      </c>
      <c r="B1" s="45" t="s">
        <v>20</v>
      </c>
      <c r="C1" s="3" t="s">
        <v>11</v>
      </c>
      <c r="D1" s="4" t="s">
        <v>22</v>
      </c>
      <c r="E1" s="52" t="s">
        <v>24</v>
      </c>
      <c r="F1" s="52" t="s">
        <v>23</v>
      </c>
      <c r="G1" s="2" t="s">
        <v>6</v>
      </c>
      <c r="H1" s="2" t="s">
        <v>13</v>
      </c>
      <c r="I1" s="5" t="s">
        <v>7</v>
      </c>
      <c r="J1" s="5" t="s">
        <v>27</v>
      </c>
      <c r="K1" s="2" t="s">
        <v>21</v>
      </c>
      <c r="L1" s="2" t="s">
        <v>17</v>
      </c>
      <c r="M1" s="53" t="s">
        <v>25</v>
      </c>
      <c r="N1" s="6">
        <f>0.2</f>
        <v>0.2</v>
      </c>
      <c r="O1" t="str">
        <f>" F(next) ~ N ( "&amp;ROUND(F78,0)&amp;", "&amp;ROUND(1.25*I77,0)&amp;")"</f>
        <v xml:space="preserve"> F(next) ~ N ( 11080, 664)</v>
      </c>
      <c r="R1" s="7"/>
    </row>
    <row r="2" spans="1:24" x14ac:dyDescent="0.2">
      <c r="A2" s="8">
        <v>0</v>
      </c>
      <c r="B2" s="51"/>
      <c r="C2" s="3"/>
      <c r="D2" s="3">
        <f>INTERCEPT(C3:C77,A3:A77)</f>
        <v>971.1200942372725</v>
      </c>
      <c r="E2" s="3">
        <f>SLOPE(C3:C77,A3:A77)</f>
        <v>101.48836362296417</v>
      </c>
      <c r="F2" s="3"/>
      <c r="G2" s="2"/>
      <c r="H2" s="2"/>
      <c r="I2" s="5"/>
      <c r="J2" s="5"/>
      <c r="K2" s="2"/>
      <c r="L2" s="2"/>
      <c r="M2" s="53" t="s">
        <v>26</v>
      </c>
      <c r="N2" s="6">
        <v>0.6</v>
      </c>
      <c r="R2" s="7"/>
    </row>
    <row r="3" spans="1:24" x14ac:dyDescent="0.2">
      <c r="A3" s="8">
        <f>ArdiData!A3</f>
        <v>1</v>
      </c>
      <c r="B3" s="46">
        <f ca="1">ArdiData!C3</f>
        <v>1164.6787819352539</v>
      </c>
      <c r="C3" s="49">
        <v>1113.3499253558266</v>
      </c>
      <c r="D3">
        <f t="shared" ref="D3:D34" si="0">$N$1*C3+(1-$N$1)*F3</f>
        <v>1080.7567513593549</v>
      </c>
      <c r="E3" s="49">
        <f t="shared" ref="E3:E34" si="1">$N$2*(D3-D2)+(1-$N$2)*E2</f>
        <v>106.37733972243511</v>
      </c>
      <c r="F3" s="49">
        <f t="shared" ref="F3:F34" si="2">D2+E2</f>
        <v>1072.6084578602367</v>
      </c>
      <c r="G3" s="47">
        <f>C3-F3</f>
        <v>40.741467495589859</v>
      </c>
      <c r="H3" s="47">
        <f>ABS(G3)</f>
        <v>40.741467495589859</v>
      </c>
      <c r="I3" s="48">
        <f>SUM(H$3:H3)/COUNT(H$3:H3)</f>
        <v>40.741467495589859</v>
      </c>
      <c r="J3" s="48">
        <f>SUM(G$3:G3)/I3</f>
        <v>1</v>
      </c>
      <c r="K3" s="50">
        <f>(G3-$G$78)^2</f>
        <v>30.869763613761691</v>
      </c>
      <c r="L3" s="48" t="e">
        <f>SQRT(SUM(K$3:K3)/(COUNT(K$3:K3)-1))</f>
        <v>#DIV/0!</v>
      </c>
    </row>
    <row r="4" spans="1:24" x14ac:dyDescent="0.2">
      <c r="A4" s="8">
        <f>ArdiData!A4</f>
        <v>2</v>
      </c>
      <c r="B4" s="46">
        <f ca="1">ArdiData!C4</f>
        <v>1313.4992256253049</v>
      </c>
      <c r="C4" s="49">
        <v>1222.4509615075469</v>
      </c>
      <c r="D4">
        <f t="shared" si="0"/>
        <v>1194.1974651669416</v>
      </c>
      <c r="E4" s="49">
        <f t="shared" si="1"/>
        <v>110.61536417352605</v>
      </c>
      <c r="F4" s="49">
        <f t="shared" si="2"/>
        <v>1187.1340910817901</v>
      </c>
      <c r="G4" s="47">
        <f t="shared" ref="G4:G67" si="3">C4-F4</f>
        <v>35.316870425756861</v>
      </c>
      <c r="H4" s="47">
        <f t="shared" ref="H4:H67" si="4">ABS(G4)</f>
        <v>35.316870425756861</v>
      </c>
      <c r="I4" s="48">
        <f>SUM(H$3:H4)/COUNT(H$3:H4)</f>
        <v>38.02916896067336</v>
      </c>
      <c r="J4" s="48">
        <f>SUM(G$3:G4)/I4</f>
        <v>2</v>
      </c>
      <c r="K4" s="50">
        <f t="shared" ref="K4:K67" si="5">(G4-$G$78)^2</f>
        <v>1.7281576635303535E-2</v>
      </c>
      <c r="L4" s="48">
        <f>SQRT(SUM(K$3:K4)/(COUNT(K$3:K4)-1))</f>
        <v>5.5576114645049621</v>
      </c>
    </row>
    <row r="5" spans="1:24" x14ac:dyDescent="0.2">
      <c r="A5" s="8">
        <f>ArdiData!A5</f>
        <v>3</v>
      </c>
      <c r="B5" s="46">
        <f ca="1">ArdiData!C5</f>
        <v>1669.8867037770265</v>
      </c>
      <c r="C5" s="49">
        <v>1815.9308993190284</v>
      </c>
      <c r="D5">
        <f t="shared" si="0"/>
        <v>1407.0364433361801</v>
      </c>
      <c r="E5" s="49">
        <f t="shared" si="1"/>
        <v>171.94953257095355</v>
      </c>
      <c r="F5" s="49">
        <f t="shared" si="2"/>
        <v>1304.8128293404677</v>
      </c>
      <c r="G5" s="47">
        <f t="shared" si="3"/>
        <v>511.1180699785607</v>
      </c>
      <c r="H5" s="47">
        <f t="shared" si="4"/>
        <v>511.1180699785607</v>
      </c>
      <c r="I5" s="48">
        <f>SUM(H$3:H5)/COUNT(H$3:H5)</f>
        <v>195.72546929996915</v>
      </c>
      <c r="J5" s="48">
        <f>SUM(G$3:G5)/I5</f>
        <v>3</v>
      </c>
      <c r="K5" s="50">
        <f t="shared" si="5"/>
        <v>226511.89586797569</v>
      </c>
      <c r="L5" s="48">
        <f>SQRT(SUM(K$3:K5)/(COUNT(K$3:K5)-1))</f>
        <v>336.55815464282404</v>
      </c>
      <c r="M5" s="7">
        <f>I77</f>
        <v>531.10353796997686</v>
      </c>
      <c r="N5">
        <v>0.1</v>
      </c>
      <c r="O5">
        <v>0.2</v>
      </c>
      <c r="P5">
        <v>0.30000000000000004</v>
      </c>
      <c r="Q5">
        <v>0.4</v>
      </c>
      <c r="R5">
        <v>0.5</v>
      </c>
      <c r="S5">
        <v>0.6</v>
      </c>
      <c r="T5">
        <v>0.70000000000000007</v>
      </c>
      <c r="U5">
        <v>0.8</v>
      </c>
      <c r="V5">
        <v>0.9</v>
      </c>
      <c r="W5">
        <v>1</v>
      </c>
    </row>
    <row r="6" spans="1:24" x14ac:dyDescent="0.2">
      <c r="A6" s="8">
        <f>ArdiData!A6</f>
        <v>4</v>
      </c>
      <c r="B6" s="46">
        <f ca="1">ArdiData!C6</f>
        <v>1648.7039969377915</v>
      </c>
      <c r="C6" s="49">
        <v>1877.6018297269898</v>
      </c>
      <c r="D6">
        <f t="shared" si="0"/>
        <v>1638.7091466711051</v>
      </c>
      <c r="E6" s="49">
        <f t="shared" si="1"/>
        <v>207.78343502933643</v>
      </c>
      <c r="F6" s="49">
        <f t="shared" si="2"/>
        <v>1578.9859759071337</v>
      </c>
      <c r="G6" s="47">
        <f t="shared" si="3"/>
        <v>298.61585381985606</v>
      </c>
      <c r="H6" s="47">
        <f t="shared" si="4"/>
        <v>298.61585381985606</v>
      </c>
      <c r="I6" s="48">
        <f>SUM(H$3:H6)/COUNT(H$3:H6)</f>
        <v>221.44806542994087</v>
      </c>
      <c r="J6" s="48">
        <f>SUM(G$3:G6)/I6</f>
        <v>4</v>
      </c>
      <c r="K6" s="50">
        <f t="shared" si="5"/>
        <v>69395.598196279912</v>
      </c>
      <c r="L6" s="48">
        <f>SQRT(SUM(K$3:K6)/(COUNT(K$3:K6)-1))</f>
        <v>314.07980997905929</v>
      </c>
      <c r="M6">
        <v>0.1</v>
      </c>
      <c r="N6">
        <f t="dataTable" ref="N6:W15" dt2D="1" dtr="1" r1="N2" r2="N1"/>
        <v>550.7351753519049</v>
      </c>
      <c r="O6">
        <v>545.92424087700158</v>
      </c>
      <c r="P6">
        <v>557.43466902979628</v>
      </c>
      <c r="Q6">
        <v>557.64236708057092</v>
      </c>
      <c r="R6">
        <v>563.28649969006585</v>
      </c>
      <c r="S6">
        <v>562.22811808778431</v>
      </c>
      <c r="T6">
        <v>559.16896274797932</v>
      </c>
      <c r="U6">
        <v>559.83016439210871</v>
      </c>
      <c r="V6">
        <v>558.71107452289846</v>
      </c>
      <c r="W6">
        <v>560.03685164011904</v>
      </c>
    </row>
    <row r="7" spans="1:24" x14ac:dyDescent="0.2">
      <c r="A7" s="8">
        <f>ArdiData!A7</f>
        <v>5</v>
      </c>
      <c r="B7" s="46">
        <f ca="1">ArdiData!C7</f>
        <v>1615.6018457585415</v>
      </c>
      <c r="C7" s="49">
        <v>1437.7413264412648</v>
      </c>
      <c r="D7">
        <f t="shared" si="0"/>
        <v>1764.7423306486062</v>
      </c>
      <c r="E7" s="49">
        <f t="shared" si="1"/>
        <v>158.73328439823518</v>
      </c>
      <c r="F7" s="49">
        <f t="shared" si="2"/>
        <v>1846.4925817004416</v>
      </c>
      <c r="G7" s="47">
        <f t="shared" si="3"/>
        <v>-408.75125525917679</v>
      </c>
      <c r="H7" s="47">
        <f t="shared" si="4"/>
        <v>408.75125525917679</v>
      </c>
      <c r="I7" s="48">
        <f>SUM(H$3:H7)/COUNT(H$3:H7)</f>
        <v>258.90870339578805</v>
      </c>
      <c r="J7" s="48">
        <f>SUM(G$3:G7)/I7</f>
        <v>1.8425066450212937</v>
      </c>
      <c r="K7" s="50">
        <f t="shared" si="5"/>
        <v>197079.76366276905</v>
      </c>
      <c r="L7" s="48">
        <f>SQRT(SUM(K$3:K7)/(COUNT(K$3:K7)-1))</f>
        <v>351.07625410023638</v>
      </c>
      <c r="M7">
        <v>0.2</v>
      </c>
      <c r="N7">
        <v>535.15569294378122</v>
      </c>
      <c r="O7">
        <v>535.63744464342676</v>
      </c>
      <c r="P7">
        <v>536.08731976931813</v>
      </c>
      <c r="Q7">
        <v>533.70413206458261</v>
      </c>
      <c r="R7">
        <v>532.62367141195762</v>
      </c>
      <c r="S7">
        <v>531.10353796997686</v>
      </c>
      <c r="T7">
        <v>533.24287404987786</v>
      </c>
      <c r="U7">
        <v>541.94221086328184</v>
      </c>
      <c r="V7">
        <v>549.46128033252398</v>
      </c>
      <c r="W7">
        <v>556.6429050993919</v>
      </c>
    </row>
    <row r="8" spans="1:24" x14ac:dyDescent="0.2">
      <c r="A8" s="8">
        <f>ArdiData!A8</f>
        <v>6</v>
      </c>
      <c r="B8" s="46">
        <f ca="1">ArdiData!C8</f>
        <v>2099.3071915536575</v>
      </c>
      <c r="C8" s="49">
        <v>1885.961866319813</v>
      </c>
      <c r="D8">
        <f t="shared" si="0"/>
        <v>1915.9728653014358</v>
      </c>
      <c r="E8" s="49">
        <f t="shared" si="1"/>
        <v>154.23163455099186</v>
      </c>
      <c r="F8" s="49">
        <f t="shared" si="2"/>
        <v>1923.4756150468413</v>
      </c>
      <c r="G8" s="47">
        <f t="shared" si="3"/>
        <v>-37.513748727028315</v>
      </c>
      <c r="H8" s="47">
        <f t="shared" si="4"/>
        <v>37.513748727028315</v>
      </c>
      <c r="I8" s="48">
        <f>SUM(H$3:H8)/COUNT(H$3:H8)</f>
        <v>222.00954428432809</v>
      </c>
      <c r="J8" s="48">
        <f>SUM(G$3:G8)/I8</f>
        <v>1.9797673976153696</v>
      </c>
      <c r="K8" s="50">
        <f t="shared" si="5"/>
        <v>5285.1678272197551</v>
      </c>
      <c r="L8" s="48">
        <f>SQRT(SUM(K$3:K8)/(COUNT(K$3:K8)-1))</f>
        <v>315.69077040655935</v>
      </c>
      <c r="M8">
        <v>0.30000000000000004</v>
      </c>
      <c r="N8">
        <v>543.09520094814889</v>
      </c>
      <c r="O8">
        <v>545.62183608204646</v>
      </c>
      <c r="P8">
        <v>544.97823929704634</v>
      </c>
      <c r="Q8">
        <v>544.51515839904062</v>
      </c>
      <c r="R8">
        <v>549.41713333705309</v>
      </c>
      <c r="S8">
        <v>556.07135002363407</v>
      </c>
      <c r="T8">
        <v>563.47059380355847</v>
      </c>
      <c r="U8">
        <v>570.83209042353212</v>
      </c>
      <c r="V8">
        <v>577.72406314779971</v>
      </c>
      <c r="W8">
        <v>586.8231899195498</v>
      </c>
    </row>
    <row r="9" spans="1:24" x14ac:dyDescent="0.2">
      <c r="A9" s="8">
        <f>ArdiData!A9</f>
        <v>7</v>
      </c>
      <c r="B9" s="46">
        <f ca="1">ArdiData!C9</f>
        <v>2323.5810426479516</v>
      </c>
      <c r="C9" s="49">
        <v>1911.083953307721</v>
      </c>
      <c r="D9">
        <f t="shared" si="0"/>
        <v>2038.3803905434861</v>
      </c>
      <c r="E9" s="49">
        <f t="shared" si="1"/>
        <v>135.1371689656269</v>
      </c>
      <c r="F9" s="49">
        <f t="shared" si="2"/>
        <v>2070.2044998524275</v>
      </c>
      <c r="G9" s="47">
        <f t="shared" si="3"/>
        <v>-159.12054654470649</v>
      </c>
      <c r="H9" s="47">
        <f t="shared" si="4"/>
        <v>159.12054654470649</v>
      </c>
      <c r="I9" s="48">
        <f>SUM(H$3:H9)/COUNT(H$3:H9)</f>
        <v>213.02540175009645</v>
      </c>
      <c r="J9" s="48">
        <f>SUM(G$3:G9)/I9</f>
        <v>1.3163064539965124</v>
      </c>
      <c r="K9" s="50">
        <f t="shared" si="5"/>
        <v>37754.805143255406</v>
      </c>
      <c r="L9" s="48">
        <f>SQRT(SUM(K$3:K9)/(COUNT(K$3:K9)-1))</f>
        <v>298.90302712381771</v>
      </c>
      <c r="M9">
        <v>0.4</v>
      </c>
      <c r="N9">
        <v>558.65323450126266</v>
      </c>
      <c r="O9">
        <v>561.80994985932932</v>
      </c>
      <c r="P9">
        <v>566.39400245287607</v>
      </c>
      <c r="Q9">
        <v>574.24017901531715</v>
      </c>
      <c r="R9">
        <v>583.58322170256224</v>
      </c>
      <c r="S9">
        <v>593.96115376378646</v>
      </c>
      <c r="T9">
        <v>605.19374642730793</v>
      </c>
      <c r="U9">
        <v>618.61964959320846</v>
      </c>
      <c r="V9">
        <v>632.57372870409756</v>
      </c>
      <c r="W9">
        <v>647.86278321228087</v>
      </c>
    </row>
    <row r="10" spans="1:24" x14ac:dyDescent="0.2">
      <c r="A10" s="8">
        <f>ArdiData!A10</f>
        <v>8</v>
      </c>
      <c r="B10" s="46">
        <f ca="1">ArdiData!C10</f>
        <v>2209.0273103741979</v>
      </c>
      <c r="C10" s="49">
        <v>1960.2999710554132</v>
      </c>
      <c r="D10">
        <f t="shared" si="0"/>
        <v>2130.8740418183734</v>
      </c>
      <c r="E10" s="49">
        <f t="shared" si="1"/>
        <v>109.55105835118312</v>
      </c>
      <c r="F10" s="49">
        <f t="shared" si="2"/>
        <v>2173.5175595091132</v>
      </c>
      <c r="G10" s="47">
        <f t="shared" si="3"/>
        <v>-213.21758845370005</v>
      </c>
      <c r="H10" s="47">
        <f t="shared" si="4"/>
        <v>213.21758845370005</v>
      </c>
      <c r="I10" s="48">
        <f>SUM(H$3:H10)/COUNT(H$3:H10)</f>
        <v>213.04942508804689</v>
      </c>
      <c r="J10" s="48">
        <f>SUM(G$3:G10)/I10</f>
        <v>0.31536871177842701</v>
      </c>
      <c r="K10" s="50">
        <f t="shared" si="5"/>
        <v>61704.050145124907</v>
      </c>
      <c r="L10" s="48">
        <f>SQRT(SUM(K$3:K10)/(COUNT(K$3:K10)-1))</f>
        <v>292.22353671897309</v>
      </c>
      <c r="M10">
        <v>0.5</v>
      </c>
      <c r="N10">
        <v>576.55067189184354</v>
      </c>
      <c r="O10">
        <v>586.0674872107021</v>
      </c>
      <c r="P10">
        <v>596.85938025614735</v>
      </c>
      <c r="Q10">
        <v>608.2452342687925</v>
      </c>
      <c r="R10">
        <v>620.72862081241715</v>
      </c>
      <c r="S10">
        <v>635.09103246630514</v>
      </c>
      <c r="T10">
        <v>651.5719152751476</v>
      </c>
      <c r="U10">
        <v>669.62214036505179</v>
      </c>
      <c r="V10">
        <v>688.40864449179242</v>
      </c>
      <c r="W10">
        <v>708.23622249462221</v>
      </c>
    </row>
    <row r="11" spans="1:24" x14ac:dyDescent="0.2">
      <c r="A11" s="8">
        <f>ArdiData!A11</f>
        <v>9</v>
      </c>
      <c r="B11" s="46">
        <f ca="1">ArdiData!C11</f>
        <v>1913.2715696173329</v>
      </c>
      <c r="C11" s="49">
        <v>2414.1948755502854</v>
      </c>
      <c r="D11">
        <f t="shared" si="0"/>
        <v>2275.1790552457023</v>
      </c>
      <c r="E11" s="49">
        <f t="shared" si="1"/>
        <v>130.40343139687062</v>
      </c>
      <c r="F11" s="49">
        <f t="shared" si="2"/>
        <v>2240.4251001695566</v>
      </c>
      <c r="G11" s="47">
        <f t="shared" si="3"/>
        <v>173.76977538072879</v>
      </c>
      <c r="H11" s="47">
        <f t="shared" si="4"/>
        <v>173.76977538072879</v>
      </c>
      <c r="I11" s="48">
        <f>SUM(H$3:H11)/COUNT(H$3:H11)</f>
        <v>208.68501956501154</v>
      </c>
      <c r="J11" s="48">
        <f>SUM(G$3:G11)/I11</f>
        <v>1.154653547332442</v>
      </c>
      <c r="K11" s="50">
        <f t="shared" si="5"/>
        <v>19205.62604660961</v>
      </c>
      <c r="L11" s="48">
        <f>SQRT(SUM(K$3:K11)/(COUNT(K$3:K11)-1))</f>
        <v>277.70663341339741</v>
      </c>
      <c r="M11">
        <v>0.6</v>
      </c>
      <c r="N11">
        <v>601.73197640472779</v>
      </c>
      <c r="O11">
        <v>614.84635274585492</v>
      </c>
      <c r="P11">
        <v>628.31857477873086</v>
      </c>
      <c r="Q11">
        <v>642.82976163555941</v>
      </c>
      <c r="R11">
        <v>659.76414955285907</v>
      </c>
      <c r="S11">
        <v>679.16767281188152</v>
      </c>
      <c r="T11">
        <v>699.23514903440298</v>
      </c>
      <c r="U11">
        <v>721.0320633738794</v>
      </c>
      <c r="V11">
        <v>742.36474365074605</v>
      </c>
      <c r="W11">
        <v>764.10211058155289</v>
      </c>
    </row>
    <row r="12" spans="1:24" x14ac:dyDescent="0.2">
      <c r="A12" s="8">
        <f>ArdiData!A12</f>
        <v>10</v>
      </c>
      <c r="B12" s="46">
        <f ca="1">ArdiData!C12</f>
        <v>2539.5621364461276</v>
      </c>
      <c r="C12" s="49">
        <v>2386.0381627363281</v>
      </c>
      <c r="D12">
        <f t="shared" si="0"/>
        <v>2401.6736218613241</v>
      </c>
      <c r="E12" s="49">
        <f t="shared" si="1"/>
        <v>128.05811252812134</v>
      </c>
      <c r="F12" s="49">
        <f t="shared" si="2"/>
        <v>2405.5824866425728</v>
      </c>
      <c r="G12" s="47">
        <f t="shared" si="3"/>
        <v>-19.544323906244699</v>
      </c>
      <c r="H12" s="47">
        <f t="shared" si="4"/>
        <v>19.544323906244699</v>
      </c>
      <c r="I12" s="48">
        <f>SUM(H$3:H12)/COUNT(H$3:H12)</f>
        <v>189.77094999913487</v>
      </c>
      <c r="J12" s="48">
        <f>SUM(G$3:G12)/I12</f>
        <v>1.1667464077649679</v>
      </c>
      <c r="K12" s="50">
        <f t="shared" si="5"/>
        <v>2995.3438845668798</v>
      </c>
      <c r="L12" s="48">
        <f>SQRT(SUM(K$3:K12)/(COUNT(K$3:K12)-1))</f>
        <v>262.45912651496627</v>
      </c>
      <c r="M12">
        <v>0.70000000000000007</v>
      </c>
      <c r="N12">
        <v>629.21065005831656</v>
      </c>
      <c r="O12">
        <v>645.23942906193179</v>
      </c>
      <c r="P12">
        <v>662.06986612527737</v>
      </c>
      <c r="Q12">
        <v>682.13002543960101</v>
      </c>
      <c r="R12">
        <v>703.25444925722513</v>
      </c>
      <c r="S12">
        <v>725.10164777129341</v>
      </c>
      <c r="T12">
        <v>750.16699692829604</v>
      </c>
      <c r="U12">
        <v>776.09783501641016</v>
      </c>
      <c r="V12">
        <v>804.37302654616258</v>
      </c>
      <c r="W12">
        <v>834.03562631551154</v>
      </c>
    </row>
    <row r="13" spans="1:24" x14ac:dyDescent="0.2">
      <c r="A13" s="8">
        <f>ArdiData!A13</f>
        <v>11</v>
      </c>
      <c r="B13" s="46">
        <f ca="1">ArdiData!C13</f>
        <v>2496.0015885577586</v>
      </c>
      <c r="C13" s="49">
        <v>2360.0321962860157</v>
      </c>
      <c r="D13">
        <f t="shared" si="0"/>
        <v>2495.7918267687596</v>
      </c>
      <c r="E13" s="49">
        <f t="shared" si="1"/>
        <v>107.69416795570982</v>
      </c>
      <c r="F13" s="49">
        <f t="shared" si="2"/>
        <v>2529.7317343894456</v>
      </c>
      <c r="G13" s="47">
        <f t="shared" si="3"/>
        <v>-169.69953810342986</v>
      </c>
      <c r="H13" s="47">
        <f t="shared" si="4"/>
        <v>169.69953810342986</v>
      </c>
      <c r="I13" s="48">
        <f>SUM(H$3:H13)/COUNT(H$3:H13)</f>
        <v>187.94627619043439</v>
      </c>
      <c r="J13" s="48">
        <f>SUM(G$3:G13)/I13</f>
        <v>0.27515860997323727</v>
      </c>
      <c r="K13" s="50">
        <f t="shared" si="5"/>
        <v>41977.842375325854</v>
      </c>
      <c r="L13" s="48">
        <f>SQRT(SUM(K$3:K13)/(COUNT(K$3:K13)-1))</f>
        <v>257.28213700028175</v>
      </c>
      <c r="M13">
        <v>0.8</v>
      </c>
      <c r="N13">
        <v>657.22070075513284</v>
      </c>
      <c r="O13">
        <v>677.30213188567222</v>
      </c>
      <c r="P13">
        <v>699.77016737001111</v>
      </c>
      <c r="Q13">
        <v>724.34744382008569</v>
      </c>
      <c r="R13">
        <v>752.88874728465203</v>
      </c>
      <c r="S13">
        <v>784.01669165379928</v>
      </c>
      <c r="T13">
        <v>817.63404752825033</v>
      </c>
      <c r="U13">
        <v>851.71631870952831</v>
      </c>
      <c r="V13">
        <v>887.16067665322407</v>
      </c>
      <c r="W13">
        <v>926.44086714731009</v>
      </c>
    </row>
    <row r="14" spans="1:24" x14ac:dyDescent="0.2">
      <c r="A14" s="8">
        <f>ArdiData!A14</f>
        <v>12</v>
      </c>
      <c r="B14" s="46">
        <f ca="1">ArdiData!C14</f>
        <v>2840.9033823911418</v>
      </c>
      <c r="C14" s="49">
        <v>2374.8996096579372</v>
      </c>
      <c r="D14">
        <f t="shared" si="0"/>
        <v>2557.7687177111629</v>
      </c>
      <c r="E14" s="49">
        <f t="shared" si="1"/>
        <v>80.263801747725921</v>
      </c>
      <c r="F14" s="49">
        <f t="shared" si="2"/>
        <v>2603.4859947244695</v>
      </c>
      <c r="G14" s="47">
        <f t="shared" si="3"/>
        <v>-228.58638506653233</v>
      </c>
      <c r="H14" s="47">
        <f t="shared" si="4"/>
        <v>228.58638506653233</v>
      </c>
      <c r="I14" s="48">
        <f>SUM(H$3:H14)/COUNT(H$3:H14)</f>
        <v>191.3329519301092</v>
      </c>
      <c r="J14" s="48">
        <f>SUM(G$3:G14)/I14</f>
        <v>-0.92441655854938398</v>
      </c>
      <c r="K14" s="50">
        <f t="shared" si="5"/>
        <v>69575.560408160207</v>
      </c>
      <c r="L14" s="48">
        <f>SQRT(SUM(K$3:K14)/(COUNT(K$3:K14)-1))</f>
        <v>257.87885468012752</v>
      </c>
      <c r="M14">
        <v>0.9</v>
      </c>
      <c r="N14">
        <v>688.27366312579159</v>
      </c>
      <c r="O14">
        <v>714.65553931523834</v>
      </c>
      <c r="P14">
        <v>746.76679981640541</v>
      </c>
      <c r="Q14">
        <v>781.31220782335936</v>
      </c>
      <c r="R14">
        <v>817.45584925983178</v>
      </c>
      <c r="S14">
        <v>855.1985553280017</v>
      </c>
      <c r="T14">
        <v>894.45500789409198</v>
      </c>
      <c r="U14">
        <v>939.69424893750829</v>
      </c>
      <c r="V14">
        <v>990.03272839589806</v>
      </c>
      <c r="W14">
        <v>1045.1650423681208</v>
      </c>
    </row>
    <row r="15" spans="1:24" x14ac:dyDescent="0.2">
      <c r="A15" s="8">
        <f>ArdiData!A15</f>
        <v>13</v>
      </c>
      <c r="B15" s="46">
        <f ca="1">ArdiData!C15</f>
        <v>3158.077922027082</v>
      </c>
      <c r="C15" s="49">
        <v>2837.1005129516102</v>
      </c>
      <c r="D15">
        <f t="shared" si="0"/>
        <v>2677.8461181574335</v>
      </c>
      <c r="E15" s="49">
        <f t="shared" si="1"/>
        <v>104.1519609668527</v>
      </c>
      <c r="F15" s="49">
        <f t="shared" si="2"/>
        <v>2638.0325194588891</v>
      </c>
      <c r="G15" s="47">
        <f t="shared" si="3"/>
        <v>199.06799349272114</v>
      </c>
      <c r="H15" s="47">
        <f t="shared" si="4"/>
        <v>199.06799349272114</v>
      </c>
      <c r="I15" s="48">
        <f>SUM(H$3:H15)/COUNT(H$3:H15)</f>
        <v>191.92795512723322</v>
      </c>
      <c r="J15" s="48">
        <f>SUM(G$3:G15)/I15</f>
        <v>0.11565091973016774</v>
      </c>
      <c r="K15" s="50">
        <f t="shared" si="5"/>
        <v>26857.500839515669</v>
      </c>
      <c r="L15" s="48">
        <f>SQRT(SUM(K$3:K15)/(COUNT(K$3:K15)-1))</f>
        <v>251.39179936273337</v>
      </c>
      <c r="M15">
        <v>1</v>
      </c>
      <c r="N15">
        <v>728.37752944351848</v>
      </c>
      <c r="O15">
        <v>764.97352990488082</v>
      </c>
      <c r="P15">
        <v>805.59056595203356</v>
      </c>
      <c r="Q15">
        <v>847.83472916472874</v>
      </c>
      <c r="R15">
        <v>892.17262672272159</v>
      </c>
      <c r="S15">
        <v>938.57956207566258</v>
      </c>
      <c r="T15">
        <v>991.14745212991727</v>
      </c>
      <c r="U15">
        <v>1048.7980679170007</v>
      </c>
      <c r="V15">
        <v>1118.0491855627984</v>
      </c>
      <c r="W15">
        <v>1196.3574179536706</v>
      </c>
    </row>
    <row r="16" spans="1:24" x14ac:dyDescent="0.2">
      <c r="A16" s="8">
        <f>ArdiData!A16</f>
        <v>14</v>
      </c>
      <c r="B16" s="46">
        <f ca="1">ArdiData!C16</f>
        <v>3301.9834808082428</v>
      </c>
      <c r="C16" s="49">
        <v>2930.8445360245173</v>
      </c>
      <c r="D16">
        <f t="shared" si="0"/>
        <v>2811.7673705043326</v>
      </c>
      <c r="E16" s="49">
        <f t="shared" si="1"/>
        <v>122.01353579488055</v>
      </c>
      <c r="F16" s="49">
        <f t="shared" si="2"/>
        <v>2781.9980791242861</v>
      </c>
      <c r="G16" s="47">
        <f t="shared" si="3"/>
        <v>148.84645690023126</v>
      </c>
      <c r="H16" s="47">
        <f t="shared" si="4"/>
        <v>148.84645690023126</v>
      </c>
      <c r="I16" s="48">
        <f>SUM(H$3:H16)/COUNT(H$3:H16)</f>
        <v>188.85070525387593</v>
      </c>
      <c r="J16" s="48">
        <f>SUM(G$3:G16)/I16</f>
        <v>0.90570538882917773</v>
      </c>
      <c r="K16" s="50">
        <f t="shared" si="5"/>
        <v>12918.833351688992</v>
      </c>
      <c r="L16" s="48">
        <f>SQRT(SUM(K$3:K16)/(COUNT(K$3:K16)-1))</f>
        <v>243.57795700345213</v>
      </c>
      <c r="X16">
        <f>MIN(N6:W15)</f>
        <v>531.10353796997686</v>
      </c>
    </row>
    <row r="17" spans="1:12" x14ac:dyDescent="0.2">
      <c r="A17" s="8">
        <f>ArdiData!A17</f>
        <v>15</v>
      </c>
      <c r="B17" s="46">
        <f ca="1">ArdiData!C17</f>
        <v>3610.080578008975</v>
      </c>
      <c r="C17" s="49">
        <v>2610.1441965075874</v>
      </c>
      <c r="D17">
        <f t="shared" si="0"/>
        <v>2869.0535643408884</v>
      </c>
      <c r="E17" s="49">
        <f t="shared" si="1"/>
        <v>83.177130619885745</v>
      </c>
      <c r="F17" s="49">
        <f t="shared" si="2"/>
        <v>2933.7809062992133</v>
      </c>
      <c r="G17" s="47">
        <f t="shared" si="3"/>
        <v>-323.63670979162589</v>
      </c>
      <c r="H17" s="47">
        <f t="shared" si="4"/>
        <v>323.63670979162589</v>
      </c>
      <c r="I17" s="48">
        <f>SUM(H$3:H17)/COUNT(H$3:H17)</f>
        <v>197.83643888972591</v>
      </c>
      <c r="J17" s="48">
        <f>SUM(G$3:G17)/I17</f>
        <v>-0.77131194442928419</v>
      </c>
      <c r="K17" s="50">
        <f t="shared" si="5"/>
        <v>128753.31438027737</v>
      </c>
      <c r="L17" s="48">
        <f>SQRT(SUM(K$3:K17)/(COUNT(K$3:K17)-1))</f>
        <v>253.55278249789669</v>
      </c>
    </row>
    <row r="18" spans="1:12" x14ac:dyDescent="0.2">
      <c r="A18" s="8">
        <f>ArdiData!A18</f>
        <v>16</v>
      </c>
      <c r="B18" s="46">
        <f ca="1">ArdiData!C18</f>
        <v>3010.0534436405705</v>
      </c>
      <c r="C18" s="49">
        <v>3135.2317628620631</v>
      </c>
      <c r="D18">
        <f t="shared" si="0"/>
        <v>2988.8309085410319</v>
      </c>
      <c r="E18" s="49">
        <f t="shared" si="1"/>
        <v>105.1372587680404</v>
      </c>
      <c r="F18" s="49">
        <f t="shared" si="2"/>
        <v>2952.2306949607741</v>
      </c>
      <c r="G18" s="47">
        <f t="shared" si="3"/>
        <v>183.00106790128893</v>
      </c>
      <c r="H18" s="47">
        <f t="shared" si="4"/>
        <v>183.00106790128893</v>
      </c>
      <c r="I18" s="48">
        <f>SUM(H$3:H18)/COUNT(H$3:H18)</f>
        <v>196.90922820294861</v>
      </c>
      <c r="J18" s="48">
        <f>SUM(G$3:G18)/I18</f>
        <v>0.15442374041987056</v>
      </c>
      <c r="K18" s="50">
        <f t="shared" si="5"/>
        <v>21849.468420678731</v>
      </c>
      <c r="L18" s="48">
        <f>SQRT(SUM(K$3:K18)/(COUNT(K$3:K18)-1))</f>
        <v>247.91069058495489</v>
      </c>
    </row>
    <row r="19" spans="1:12" x14ac:dyDescent="0.2">
      <c r="A19" s="8">
        <f>ArdiData!A19</f>
        <v>17</v>
      </c>
      <c r="B19" s="46">
        <f ca="1">ArdiData!C19</f>
        <v>3596.3027926999039</v>
      </c>
      <c r="C19" s="49">
        <v>2997.405744195491</v>
      </c>
      <c r="D19">
        <f t="shared" si="0"/>
        <v>3074.6556826863562</v>
      </c>
      <c r="E19" s="49">
        <f t="shared" si="1"/>
        <v>93.549767994410701</v>
      </c>
      <c r="F19" s="49">
        <f t="shared" si="2"/>
        <v>3093.9681673090722</v>
      </c>
      <c r="G19" s="47">
        <f t="shared" si="3"/>
        <v>-96.56242311358119</v>
      </c>
      <c r="H19" s="47">
        <f t="shared" si="4"/>
        <v>96.56242311358119</v>
      </c>
      <c r="I19" s="48">
        <f>SUM(H$3:H19)/COUNT(H$3:H19)</f>
        <v>191.00647496239759</v>
      </c>
      <c r="J19" s="48">
        <f>SUM(G$3:G19)/I19</f>
        <v>-0.34634932446303496</v>
      </c>
      <c r="K19" s="50">
        <f t="shared" si="5"/>
        <v>17357.491797613467</v>
      </c>
      <c r="L19" s="48">
        <f>SQRT(SUM(K$3:K19)/(COUNT(K$3:K19)-1))</f>
        <v>242.28768403906906</v>
      </c>
    </row>
    <row r="20" spans="1:12" x14ac:dyDescent="0.2">
      <c r="A20" s="8">
        <f>ArdiData!A20</f>
        <v>18</v>
      </c>
      <c r="B20" s="46">
        <f ca="1">ArdiData!C20</f>
        <v>3848.3244570983838</v>
      </c>
      <c r="C20" s="49">
        <v>2897.6453125752814</v>
      </c>
      <c r="D20">
        <f t="shared" si="0"/>
        <v>3114.0934230596699</v>
      </c>
      <c r="E20" s="49">
        <f t="shared" si="1"/>
        <v>61.082551421752541</v>
      </c>
      <c r="F20" s="49">
        <f t="shared" si="2"/>
        <v>3168.2054506807667</v>
      </c>
      <c r="G20" s="47">
        <f t="shared" si="3"/>
        <v>-270.56013810548529</v>
      </c>
      <c r="H20" s="47">
        <f t="shared" si="4"/>
        <v>270.56013810548529</v>
      </c>
      <c r="I20" s="48">
        <f>SUM(H$3:H20)/COUNT(H$3:H20)</f>
        <v>195.42612291479134</v>
      </c>
      <c r="J20" s="48">
        <f>SUM(G$3:G20)/I20</f>
        <v>-1.7229789787294201</v>
      </c>
      <c r="K20" s="50">
        <f t="shared" si="5"/>
        <v>93480.34080708299</v>
      </c>
      <c r="L20" s="48">
        <f>SQRT(SUM(K$3:K20)/(COUNT(K$3:K20)-1))</f>
        <v>246.47318076264403</v>
      </c>
    </row>
    <row r="21" spans="1:12" x14ac:dyDescent="0.2">
      <c r="A21" s="8">
        <f>ArdiData!A21</f>
        <v>19</v>
      </c>
      <c r="B21" s="46">
        <f ca="1">ArdiData!C21</f>
        <v>3651.1687536671161</v>
      </c>
      <c r="C21" s="49">
        <v>2451.4955445656897</v>
      </c>
      <c r="D21">
        <f t="shared" si="0"/>
        <v>3030.4398884982761</v>
      </c>
      <c r="E21" s="49">
        <f t="shared" si="1"/>
        <v>-25.759100168135276</v>
      </c>
      <c r="F21" s="49">
        <f t="shared" si="2"/>
        <v>3175.1759744814226</v>
      </c>
      <c r="G21" s="47">
        <f t="shared" si="3"/>
        <v>-723.68042991573293</v>
      </c>
      <c r="H21" s="47">
        <f t="shared" si="4"/>
        <v>723.68042991573293</v>
      </c>
      <c r="I21" s="48">
        <f>SUM(H$3:H21)/COUNT(H$3:H21)</f>
        <v>223.2289811779988</v>
      </c>
      <c r="J21" s="48">
        <f>SUM(G$3:G21)/I21</f>
        <v>-4.7502592449990608</v>
      </c>
      <c r="K21" s="50">
        <f t="shared" si="5"/>
        <v>575877.3645317466</v>
      </c>
      <c r="L21" s="48">
        <f>SQRT(SUM(K$3:K21)/(COUNT(K$3:K21)-1))</f>
        <v>298.94358950692072</v>
      </c>
    </row>
    <row r="22" spans="1:12" x14ac:dyDescent="0.2">
      <c r="A22" s="8">
        <f>ArdiData!A22</f>
        <v>20</v>
      </c>
      <c r="B22" s="46">
        <f ca="1">ArdiData!C22</f>
        <v>4115.1909499809244</v>
      </c>
      <c r="C22" s="49">
        <v>3606.7892415047718</v>
      </c>
      <c r="D22">
        <f t="shared" si="0"/>
        <v>3125.1024789650673</v>
      </c>
      <c r="E22" s="49">
        <f t="shared" si="1"/>
        <v>46.493914212820627</v>
      </c>
      <c r="F22" s="49">
        <f t="shared" si="2"/>
        <v>3004.6807883301408</v>
      </c>
      <c r="G22" s="47">
        <f t="shared" si="3"/>
        <v>602.10845317463099</v>
      </c>
      <c r="H22" s="47">
        <f t="shared" si="4"/>
        <v>602.10845317463099</v>
      </c>
      <c r="I22" s="48">
        <f>SUM(H$3:H22)/COUNT(H$3:H22)</f>
        <v>242.1729547778304</v>
      </c>
      <c r="J22" s="48">
        <f>SUM(G$3:G22)/I22</f>
        <v>-1.8923957831637808</v>
      </c>
      <c r="K22" s="50">
        <f t="shared" si="5"/>
        <v>321401.73573135288</v>
      </c>
      <c r="L22" s="48">
        <f>SQRT(SUM(K$3:K22)/(COUNT(K$3:K22)-1))</f>
        <v>318.71556288380185</v>
      </c>
    </row>
    <row r="23" spans="1:12" x14ac:dyDescent="0.2">
      <c r="A23" s="8">
        <f>ArdiData!A23</f>
        <v>21</v>
      </c>
      <c r="B23" s="46">
        <f ca="1">ArdiData!C23</f>
        <v>4809.0194563503619</v>
      </c>
      <c r="C23" s="49">
        <v>3329.4002934339937</v>
      </c>
      <c r="D23">
        <f t="shared" si="0"/>
        <v>3203.157173229109</v>
      </c>
      <c r="E23" s="49">
        <f t="shared" si="1"/>
        <v>65.430382243553268</v>
      </c>
      <c r="F23" s="49">
        <f t="shared" si="2"/>
        <v>3171.5963931778879</v>
      </c>
      <c r="G23" s="47">
        <f t="shared" si="3"/>
        <v>157.80390025610586</v>
      </c>
      <c r="H23" s="47">
        <f t="shared" si="4"/>
        <v>157.80390025610586</v>
      </c>
      <c r="I23" s="48">
        <f>SUM(H$3:H23)/COUNT(H$3:H23)</f>
        <v>238.15538075298642</v>
      </c>
      <c r="J23" s="48">
        <f>SUM(G$3:G23)/I23</f>
        <v>-1.2617106412281023</v>
      </c>
      <c r="K23" s="50">
        <f t="shared" si="5"/>
        <v>15035.293903732731</v>
      </c>
      <c r="L23" s="48">
        <f>SQRT(SUM(K$3:K23)/(COUNT(K$3:K23)-1))</f>
        <v>311.85316130882552</v>
      </c>
    </row>
    <row r="24" spans="1:12" x14ac:dyDescent="0.2">
      <c r="A24" s="8">
        <f>ArdiData!A24</f>
        <v>22</v>
      </c>
      <c r="B24" s="46">
        <f ca="1">ArdiData!C24</f>
        <v>4676.4053740061927</v>
      </c>
      <c r="C24" s="49">
        <v>3271.7372704254626</v>
      </c>
      <c r="D24">
        <f t="shared" si="0"/>
        <v>3269.2174984632225</v>
      </c>
      <c r="E24" s="49">
        <f t="shared" si="1"/>
        <v>65.808348037889346</v>
      </c>
      <c r="F24" s="49">
        <f t="shared" si="2"/>
        <v>3268.5875554726622</v>
      </c>
      <c r="G24" s="47">
        <f t="shared" si="3"/>
        <v>3.1497149528004229</v>
      </c>
      <c r="H24" s="47">
        <f t="shared" si="4"/>
        <v>3.1497149528004229</v>
      </c>
      <c r="I24" s="48">
        <f>SUM(H$3:H24)/COUNT(H$3:H24)</f>
        <v>227.47330503479614</v>
      </c>
      <c r="J24" s="48">
        <f>SUM(G$3:G24)/I24</f>
        <v>-1.3071136552198528</v>
      </c>
      <c r="K24" s="50">
        <f t="shared" si="5"/>
        <v>1026.2858221996787</v>
      </c>
      <c r="L24" s="48">
        <f>SQRT(SUM(K$3:K24)/(COUNT(K$3:K24)-1))</f>
        <v>304.41780266666143</v>
      </c>
    </row>
    <row r="25" spans="1:12" x14ac:dyDescent="0.2">
      <c r="A25" s="8">
        <f>ArdiData!A25</f>
        <v>23</v>
      </c>
      <c r="B25" s="46">
        <f ca="1">ArdiData!C25</f>
        <v>4580.4011005640996</v>
      </c>
      <c r="C25" s="49">
        <v>3370.7908457036756</v>
      </c>
      <c r="D25">
        <f t="shared" si="0"/>
        <v>3342.1788463416246</v>
      </c>
      <c r="E25" s="49">
        <f t="shared" si="1"/>
        <v>70.100147942197054</v>
      </c>
      <c r="F25" s="49">
        <f t="shared" si="2"/>
        <v>3335.025846501112</v>
      </c>
      <c r="G25" s="47">
        <f t="shared" si="3"/>
        <v>35.764999202563558</v>
      </c>
      <c r="H25" s="47">
        <f t="shared" si="4"/>
        <v>35.764999202563558</v>
      </c>
      <c r="I25" s="48">
        <f>SUM(H$3:H25)/COUNT(H$3:H25)</f>
        <v>219.13816130295993</v>
      </c>
      <c r="J25" s="48">
        <f>SUM(G$3:G25)/I25</f>
        <v>-1.1936235224899476</v>
      </c>
      <c r="K25" s="50">
        <f t="shared" si="5"/>
        <v>0.3359224669813996</v>
      </c>
      <c r="L25" s="48">
        <f>SQRT(SUM(K$3:K25)/(COUNT(K$3:K25)-1))</f>
        <v>297.4187823523373</v>
      </c>
    </row>
    <row r="26" spans="1:12" x14ac:dyDescent="0.2">
      <c r="A26" s="8">
        <f>ArdiData!A26</f>
        <v>24</v>
      </c>
      <c r="B26" s="46">
        <f ca="1">ArdiData!C26</f>
        <v>5294.0187097747457</v>
      </c>
      <c r="C26" s="49">
        <v>3326.6171341495628</v>
      </c>
      <c r="D26">
        <f t="shared" si="0"/>
        <v>3395.1466222569702</v>
      </c>
      <c r="E26" s="49">
        <f t="shared" si="1"/>
        <v>59.820724726086155</v>
      </c>
      <c r="F26" s="49">
        <f t="shared" si="2"/>
        <v>3412.2789942838217</v>
      </c>
      <c r="G26" s="47">
        <f t="shared" si="3"/>
        <v>-85.661860134258859</v>
      </c>
      <c r="H26" s="47">
        <f t="shared" si="4"/>
        <v>85.661860134258859</v>
      </c>
      <c r="I26" s="48">
        <f>SUM(H$3:H26)/COUNT(H$3:H26)</f>
        <v>213.57664875426406</v>
      </c>
      <c r="J26" s="48">
        <f>SUM(G$3:G26)/I26</f>
        <v>-1.6257878666322869</v>
      </c>
      <c r="K26" s="50">
        <f t="shared" si="5"/>
        <v>14604.0629442604</v>
      </c>
      <c r="L26" s="48">
        <f>SQRT(SUM(K$3:K26)/(COUNT(K$3:K26)-1))</f>
        <v>291.97070796013634</v>
      </c>
    </row>
    <row r="27" spans="1:12" x14ac:dyDescent="0.2">
      <c r="A27" s="8">
        <f>ArdiData!A27</f>
        <v>25</v>
      </c>
      <c r="B27" s="46">
        <f ca="1">ArdiData!C27</f>
        <v>5170.7404280229848</v>
      </c>
      <c r="C27" s="49">
        <v>3919.3323507327541</v>
      </c>
      <c r="D27">
        <f t="shared" si="0"/>
        <v>3547.8403477329962</v>
      </c>
      <c r="E27" s="49">
        <f t="shared" si="1"/>
        <v>115.54452517605006</v>
      </c>
      <c r="F27" s="49">
        <f t="shared" si="2"/>
        <v>3454.9673469830564</v>
      </c>
      <c r="G27" s="47">
        <f t="shared" si="3"/>
        <v>464.36500374969773</v>
      </c>
      <c r="H27" s="47">
        <f t="shared" si="4"/>
        <v>464.36500374969773</v>
      </c>
      <c r="I27" s="48">
        <f>SUM(H$3:H27)/COUNT(H$3:H27)</f>
        <v>223.60818295408143</v>
      </c>
      <c r="J27" s="48">
        <f>SUM(G$3:G27)/I27</f>
        <v>0.52383896716822487</v>
      </c>
      <c r="K27" s="50">
        <f t="shared" si="5"/>
        <v>184195.1228197864</v>
      </c>
      <c r="L27" s="48">
        <f>SQRT(SUM(K$3:K27)/(COUNT(K$3:K27)-1))</f>
        <v>298.94771643458552</v>
      </c>
    </row>
    <row r="28" spans="1:12" x14ac:dyDescent="0.2">
      <c r="A28" s="8">
        <f>ArdiData!A28</f>
        <v>26</v>
      </c>
      <c r="B28" s="46">
        <f ca="1">ArdiData!C28</f>
        <v>4710.8920892139513</v>
      </c>
      <c r="C28" s="49">
        <v>3932.7496928280202</v>
      </c>
      <c r="D28">
        <f t="shared" si="0"/>
        <v>3717.2578368928412</v>
      </c>
      <c r="E28" s="49">
        <f t="shared" si="1"/>
        <v>147.86830356632703</v>
      </c>
      <c r="F28" s="49">
        <f t="shared" si="2"/>
        <v>3663.3848729090464</v>
      </c>
      <c r="G28" s="47">
        <f t="shared" si="3"/>
        <v>269.36481991897381</v>
      </c>
      <c r="H28" s="47">
        <f t="shared" si="4"/>
        <v>269.36481991897381</v>
      </c>
      <c r="I28" s="48">
        <f>SUM(H$3:H28)/COUNT(H$3:H28)</f>
        <v>225.36805360657729</v>
      </c>
      <c r="J28" s="48">
        <f>SUM(G$3:G28)/I28</f>
        <v>1.7149702157995805</v>
      </c>
      <c r="K28" s="50">
        <f t="shared" si="5"/>
        <v>54839.995554541114</v>
      </c>
      <c r="L28" s="48">
        <f>SQRT(SUM(K$3:K28)/(COUNT(K$3:K28)-1))</f>
        <v>296.6286356661758</v>
      </c>
    </row>
    <row r="29" spans="1:12" x14ac:dyDescent="0.2">
      <c r="A29" s="8">
        <f>ArdiData!A29</f>
        <v>27</v>
      </c>
      <c r="B29" s="46">
        <f ca="1">ArdiData!C29</f>
        <v>4509.5252253200915</v>
      </c>
      <c r="C29" s="49">
        <v>3271.4587202821313</v>
      </c>
      <c r="D29">
        <f t="shared" si="0"/>
        <v>3746.3926564237609</v>
      </c>
      <c r="E29" s="49">
        <f t="shared" si="1"/>
        <v>76.628213145082626</v>
      </c>
      <c r="F29" s="49">
        <f t="shared" si="2"/>
        <v>3865.1261404591683</v>
      </c>
      <c r="G29" s="47">
        <f t="shared" si="3"/>
        <v>-593.667420177037</v>
      </c>
      <c r="H29" s="47">
        <f t="shared" si="4"/>
        <v>593.667420177037</v>
      </c>
      <c r="I29" s="48">
        <f>SUM(H$3:H29)/COUNT(H$3:H29)</f>
        <v>239.00877088696467</v>
      </c>
      <c r="J29" s="48">
        <f>SUM(G$3:G29)/I29</f>
        <v>-0.86677957415634099</v>
      </c>
      <c r="K29" s="50">
        <f t="shared" si="5"/>
        <v>395455.88329843793</v>
      </c>
      <c r="L29" s="48">
        <f>SQRT(SUM(K$3:K29)/(COUNT(K$3:K29)-1))</f>
        <v>315.93387640258499</v>
      </c>
    </row>
    <row r="30" spans="1:12" x14ac:dyDescent="0.2">
      <c r="A30" s="8">
        <f>ArdiData!A30</f>
        <v>28</v>
      </c>
      <c r="B30" s="46">
        <f ca="1">ArdiData!C30</f>
        <v>5679.2461237533571</v>
      </c>
      <c r="C30" s="49">
        <v>4226.8800578487453</v>
      </c>
      <c r="D30">
        <f t="shared" si="0"/>
        <v>3903.792707224824</v>
      </c>
      <c r="E30" s="49">
        <f t="shared" si="1"/>
        <v>125.09131573867093</v>
      </c>
      <c r="F30" s="49">
        <f t="shared" si="2"/>
        <v>3823.0208695688434</v>
      </c>
      <c r="G30" s="47">
        <f t="shared" si="3"/>
        <v>403.8591882799019</v>
      </c>
      <c r="H30" s="47">
        <f t="shared" si="4"/>
        <v>403.8591882799019</v>
      </c>
      <c r="I30" s="48">
        <f>SUM(H$3:H30)/COUNT(H$3:H30)</f>
        <v>244.89628579385527</v>
      </c>
      <c r="J30" s="48">
        <f>SUM(G$3:G30)/I30</f>
        <v>0.80316149750199028</v>
      </c>
      <c r="K30" s="50">
        <f t="shared" si="5"/>
        <v>135920.35404265486</v>
      </c>
      <c r="L30" s="48">
        <f>SQRT(SUM(K$3:K30)/(COUNT(K$3:K30)-1))</f>
        <v>318.0432025609166</v>
      </c>
    </row>
    <row r="31" spans="1:12" x14ac:dyDescent="0.2">
      <c r="A31" s="8">
        <f>ArdiData!A31</f>
        <v>29</v>
      </c>
      <c r="B31" s="46">
        <f ca="1">ArdiData!C31</f>
        <v>5675.7133385403122</v>
      </c>
      <c r="C31" s="49">
        <v>3676.4065496322846</v>
      </c>
      <c r="D31">
        <f t="shared" si="0"/>
        <v>3958.3885282972533</v>
      </c>
      <c r="E31" s="49">
        <f t="shared" si="1"/>
        <v>82.794018938925973</v>
      </c>
      <c r="F31" s="49">
        <f t="shared" si="2"/>
        <v>4028.8840229634948</v>
      </c>
      <c r="G31" s="47">
        <f t="shared" si="3"/>
        <v>-352.47747333121015</v>
      </c>
      <c r="H31" s="47">
        <f t="shared" si="4"/>
        <v>352.47747333121015</v>
      </c>
      <c r="I31" s="48">
        <f>SUM(H$3:H31)/COUNT(H$3:H31)</f>
        <v>248.60598191583304</v>
      </c>
      <c r="J31" s="48">
        <f>SUM(G$3:G31)/I31</f>
        <v>-0.62663900723468613</v>
      </c>
      <c r="K31" s="50">
        <f t="shared" si="5"/>
        <v>150282.51189974471</v>
      </c>
      <c r="L31" s="48">
        <f>SQRT(SUM(K$3:K31)/(COUNT(K$3:K31)-1))</f>
        <v>320.78989767838584</v>
      </c>
    </row>
    <row r="32" spans="1:12" x14ac:dyDescent="0.2">
      <c r="A32" s="8">
        <f>ArdiData!A32</f>
        <v>30</v>
      </c>
      <c r="B32" s="46">
        <f ca="1">ArdiData!C32</f>
        <v>4548.8173213984101</v>
      </c>
      <c r="C32" s="49">
        <v>3709.9538102697975</v>
      </c>
      <c r="D32">
        <f t="shared" si="0"/>
        <v>3974.9367998429034</v>
      </c>
      <c r="E32" s="49">
        <f t="shared" si="1"/>
        <v>43.046570502960449</v>
      </c>
      <c r="F32" s="49">
        <f t="shared" si="2"/>
        <v>4041.1825472361793</v>
      </c>
      <c r="G32" s="47">
        <f t="shared" si="3"/>
        <v>-331.2287369663818</v>
      </c>
      <c r="H32" s="47">
        <f t="shared" si="4"/>
        <v>331.2287369663818</v>
      </c>
      <c r="I32" s="48">
        <f>SUM(H$3:H32)/COUNT(H$3:H32)</f>
        <v>251.36007375085134</v>
      </c>
      <c r="J32" s="48">
        <f>SUM(G$3:G32)/I32</f>
        <v>-1.9375190952141987</v>
      </c>
      <c r="K32" s="50">
        <f t="shared" si="5"/>
        <v>134259.32784103689</v>
      </c>
      <c r="L32" s="48">
        <f>SQRT(SUM(K$3:K32)/(COUNT(K$3:K32)-1))</f>
        <v>322.47062226585456</v>
      </c>
    </row>
    <row r="33" spans="1:12" x14ac:dyDescent="0.2">
      <c r="A33" s="8">
        <f>ArdiData!A33</f>
        <v>31</v>
      </c>
      <c r="B33" s="46">
        <f ca="1">ArdiData!C33</f>
        <v>5931.8240033368438</v>
      </c>
      <c r="C33" s="49">
        <v>4309.3917506051803</v>
      </c>
      <c r="D33">
        <f t="shared" si="0"/>
        <v>4076.2650463977275</v>
      </c>
      <c r="E33" s="49">
        <f t="shared" si="1"/>
        <v>78.015576134078628</v>
      </c>
      <c r="F33" s="49">
        <f t="shared" si="2"/>
        <v>4017.9833703458639</v>
      </c>
      <c r="G33" s="47">
        <f t="shared" si="3"/>
        <v>291.40838025931635</v>
      </c>
      <c r="H33" s="47">
        <f t="shared" si="4"/>
        <v>291.40838025931635</v>
      </c>
      <c r="I33" s="48">
        <f>SUM(H$3:H33)/COUNT(H$3:H33)</f>
        <v>252.65195460596314</v>
      </c>
      <c r="J33" s="48">
        <f>SUM(G$3:G33)/I33</f>
        <v>-0.77421353304974849</v>
      </c>
      <c r="K33" s="50">
        <f t="shared" si="5"/>
        <v>65650.209968293508</v>
      </c>
      <c r="L33" s="48">
        <f>SQRT(SUM(K$3:K33)/(COUNT(K$3:K33)-1))</f>
        <v>320.48307154874755</v>
      </c>
    </row>
    <row r="34" spans="1:12" x14ac:dyDescent="0.2">
      <c r="A34" s="8">
        <f>ArdiData!A34</f>
        <v>32</v>
      </c>
      <c r="B34" s="46">
        <f ca="1">ArdiData!C34</f>
        <v>6102.2340364483771</v>
      </c>
      <c r="C34" s="49">
        <v>3396.6468613345064</v>
      </c>
      <c r="D34">
        <f t="shared" si="0"/>
        <v>4002.7538702923466</v>
      </c>
      <c r="E34" s="49">
        <f t="shared" si="1"/>
        <v>-12.900475209597058</v>
      </c>
      <c r="F34" s="49">
        <f t="shared" si="2"/>
        <v>4154.2806225318063</v>
      </c>
      <c r="G34" s="47">
        <f t="shared" si="3"/>
        <v>-757.63376119729992</v>
      </c>
      <c r="H34" s="47">
        <f t="shared" si="4"/>
        <v>757.63376119729992</v>
      </c>
      <c r="I34" s="48">
        <f>SUM(H$3:H34)/COUNT(H$3:H34)</f>
        <v>268.43263606194239</v>
      </c>
      <c r="J34" s="48">
        <f>SUM(G$3:G34)/I34</f>
        <v>-3.5511342346045494</v>
      </c>
      <c r="K34" s="50">
        <f t="shared" si="5"/>
        <v>628562.23982764524</v>
      </c>
      <c r="L34" s="48">
        <f>SQRT(SUM(K$3:K34)/(COUNT(K$3:K34)-1))</f>
        <v>345.93697982423157</v>
      </c>
    </row>
    <row r="35" spans="1:12" x14ac:dyDescent="0.2">
      <c r="A35" s="8">
        <f>ArdiData!A35</f>
        <v>33</v>
      </c>
      <c r="B35" s="46">
        <f ca="1">ArdiData!C35</f>
        <v>5311.4864141722319</v>
      </c>
      <c r="C35" s="49">
        <v>3425.2650395092878</v>
      </c>
      <c r="D35">
        <f t="shared" ref="D35:D66" si="6">$N$1*C35+(1-$N$1)*F35</f>
        <v>3876.9357239680576</v>
      </c>
      <c r="E35" s="49">
        <f t="shared" ref="E35:E66" si="7">$N$2*(D35-D34)+(1-$N$2)*E34</f>
        <v>-80.651077878412252</v>
      </c>
      <c r="F35" s="49">
        <f t="shared" ref="F35:F66" si="8">D34+E34</f>
        <v>3989.8533950827496</v>
      </c>
      <c r="G35" s="47">
        <f t="shared" si="3"/>
        <v>-564.58835557346174</v>
      </c>
      <c r="H35" s="47">
        <f t="shared" si="4"/>
        <v>564.58835557346174</v>
      </c>
      <c r="I35" s="48">
        <f>SUM(H$3:H35)/COUNT(H$3:H35)</f>
        <v>277.40705180471571</v>
      </c>
      <c r="J35" s="48">
        <f>SUM(G$3:G35)/I35</f>
        <v>-5.4714855635561284</v>
      </c>
      <c r="K35" s="50">
        <f t="shared" si="5"/>
        <v>359728.5710878988</v>
      </c>
      <c r="L35" s="48">
        <f>SQRT(SUM(K$3:K35)/(COUNT(K$3:K35)-1))</f>
        <v>356.61484762078811</v>
      </c>
    </row>
    <row r="36" spans="1:12" x14ac:dyDescent="0.2">
      <c r="A36" s="8">
        <f>ArdiData!A36</f>
        <v>34</v>
      </c>
      <c r="B36" s="46">
        <f ca="1">ArdiData!C36</f>
        <v>6700.6647464579573</v>
      </c>
      <c r="C36" s="49">
        <v>3382.8091450329844</v>
      </c>
      <c r="D36">
        <f t="shared" si="6"/>
        <v>3713.5895458783134</v>
      </c>
      <c r="E36" s="49">
        <f t="shared" si="7"/>
        <v>-130.2681380052114</v>
      </c>
      <c r="F36" s="49">
        <f t="shared" si="8"/>
        <v>3796.2846460896453</v>
      </c>
      <c r="G36" s="47">
        <f t="shared" si="3"/>
        <v>-413.47550105666096</v>
      </c>
      <c r="H36" s="47">
        <f t="shared" si="4"/>
        <v>413.47550105666096</v>
      </c>
      <c r="I36" s="48">
        <f>SUM(H$3:H36)/COUNT(H$3:H36)</f>
        <v>281.40906501800822</v>
      </c>
      <c r="J36" s="48">
        <f>SUM(G$3:G36)/I36</f>
        <v>-6.8629778508067609</v>
      </c>
      <c r="K36" s="50">
        <f t="shared" si="5"/>
        <v>201296.61402111541</v>
      </c>
      <c r="L36" s="48">
        <f>SQRT(SUM(K$3:K36)/(COUNT(K$3:K36)-1))</f>
        <v>359.75030900722714</v>
      </c>
    </row>
    <row r="37" spans="1:12" x14ac:dyDescent="0.2">
      <c r="A37" s="8">
        <f>ArdiData!A37</f>
        <v>35</v>
      </c>
      <c r="B37" s="46">
        <f ca="1">ArdiData!C37</f>
        <v>5628.0791309232573</v>
      </c>
      <c r="C37" s="49">
        <v>3846.9349712677931</v>
      </c>
      <c r="D37">
        <f t="shared" si="6"/>
        <v>3636.0441205520401</v>
      </c>
      <c r="E37" s="49">
        <f t="shared" si="7"/>
        <v>-98.63451039784853</v>
      </c>
      <c r="F37" s="49">
        <f t="shared" si="8"/>
        <v>3583.3214078731021</v>
      </c>
      <c r="G37" s="47">
        <f t="shared" si="3"/>
        <v>263.61356339469103</v>
      </c>
      <c r="H37" s="47">
        <f t="shared" si="4"/>
        <v>263.61356339469103</v>
      </c>
      <c r="I37" s="48">
        <f>SUM(H$3:H37)/COUNT(H$3:H37)</f>
        <v>280.90062211448486</v>
      </c>
      <c r="J37" s="48">
        <f>SUM(G$3:G37)/I37</f>
        <v>-5.936941699475657</v>
      </c>
      <c r="K37" s="50">
        <f t="shared" si="5"/>
        <v>52179.420799527696</v>
      </c>
      <c r="L37" s="48">
        <f>SQRT(SUM(K$3:K37)/(COUNT(K$3:K37)-1))</f>
        <v>356.57887586371226</v>
      </c>
    </row>
    <row r="38" spans="1:12" x14ac:dyDescent="0.2">
      <c r="A38" s="8">
        <f>ArdiData!A38</f>
        <v>36</v>
      </c>
      <c r="B38" s="46">
        <f ca="1">ArdiData!C38</f>
        <v>5757.013806661259</v>
      </c>
      <c r="C38" s="49">
        <v>4335.4663999878339</v>
      </c>
      <c r="D38">
        <f t="shared" si="6"/>
        <v>3697.0209681209203</v>
      </c>
      <c r="E38" s="49">
        <f t="shared" si="7"/>
        <v>-2.8676956178112931</v>
      </c>
      <c r="F38" s="49">
        <f t="shared" si="8"/>
        <v>3537.4096101541918</v>
      </c>
      <c r="G38" s="47">
        <f t="shared" si="3"/>
        <v>798.05678983364214</v>
      </c>
      <c r="H38" s="47">
        <f t="shared" si="4"/>
        <v>798.05678983364214</v>
      </c>
      <c r="I38" s="48">
        <f>SUM(H$3:H38)/COUNT(H$3:H38)</f>
        <v>295.26607121779477</v>
      </c>
      <c r="J38" s="48">
        <f>SUM(G$3:G38)/I38</f>
        <v>-2.9452548456372956</v>
      </c>
      <c r="K38" s="50">
        <f t="shared" si="5"/>
        <v>581972.74062041682</v>
      </c>
      <c r="L38" s="48">
        <f>SQRT(SUM(K$3:K38)/(COUNT(K$3:K38)-1))</f>
        <v>374.35741366606908</v>
      </c>
    </row>
    <row r="39" spans="1:12" x14ac:dyDescent="0.2">
      <c r="A39" s="8">
        <f>ArdiData!A39</f>
        <v>37</v>
      </c>
      <c r="B39" s="46">
        <f ca="1">ArdiData!C39</f>
        <v>6207.1237322126499</v>
      </c>
      <c r="C39" s="49">
        <v>3778.0879495342488</v>
      </c>
      <c r="D39">
        <f t="shared" si="6"/>
        <v>3710.940207909337</v>
      </c>
      <c r="E39" s="49">
        <f t="shared" si="7"/>
        <v>7.2044656259254971</v>
      </c>
      <c r="F39" s="49">
        <f t="shared" si="8"/>
        <v>3694.1532725031088</v>
      </c>
      <c r="G39" s="47">
        <f t="shared" si="3"/>
        <v>83.934677031139927</v>
      </c>
      <c r="H39" s="47">
        <f t="shared" si="4"/>
        <v>83.934677031139927</v>
      </c>
      <c r="I39" s="48">
        <f>SUM(H$3:H39)/COUNT(H$3:H39)</f>
        <v>289.55441191545276</v>
      </c>
      <c r="J39" s="48">
        <f>SUM(G$3:G39)/I39</f>
        <v>-2.7134766995184791</v>
      </c>
      <c r="K39" s="50">
        <f t="shared" si="5"/>
        <v>2376.4909370970831</v>
      </c>
      <c r="L39" s="48">
        <f>SQRT(SUM(K$3:K39)/(COUNT(K$3:K39)-1))</f>
        <v>369.21079690233609</v>
      </c>
    </row>
    <row r="40" spans="1:12" x14ac:dyDescent="0.2">
      <c r="A40" s="8">
        <f>ArdiData!A40</f>
        <v>38</v>
      </c>
      <c r="B40" s="46">
        <f ca="1">ArdiData!C40</f>
        <v>7255.3811796132686</v>
      </c>
      <c r="C40" s="49">
        <v>4091.3217573787838</v>
      </c>
      <c r="D40">
        <f t="shared" si="6"/>
        <v>3792.780090303967</v>
      </c>
      <c r="E40" s="49">
        <f t="shared" si="7"/>
        <v>51.985715687148179</v>
      </c>
      <c r="F40" s="49">
        <f t="shared" si="8"/>
        <v>3718.1446735352624</v>
      </c>
      <c r="G40" s="47">
        <f t="shared" si="3"/>
        <v>373.17708384352136</v>
      </c>
      <c r="H40" s="47">
        <f t="shared" si="4"/>
        <v>373.17708384352136</v>
      </c>
      <c r="I40" s="48">
        <f>SUM(H$3:H40)/COUNT(H$3:H40)</f>
        <v>291.75500854513876</v>
      </c>
      <c r="J40" s="48">
        <f>SUM(G$3:G40)/I40</f>
        <v>-1.413933108428582</v>
      </c>
      <c r="K40" s="50">
        <f t="shared" si="5"/>
        <v>114238.37090131622</v>
      </c>
      <c r="L40" s="48">
        <f>SQRT(SUM(K$3:K40)/(COUNT(K$3:K40)-1))</f>
        <v>368.40182317074635</v>
      </c>
    </row>
    <row r="41" spans="1:12" x14ac:dyDescent="0.2">
      <c r="A41" s="8">
        <f>ArdiData!A41</f>
        <v>39</v>
      </c>
      <c r="B41" s="46">
        <f ca="1">ArdiData!C41</f>
        <v>6177.4036736091093</v>
      </c>
      <c r="C41" s="49">
        <v>5031.5420497583082</v>
      </c>
      <c r="D41">
        <f t="shared" si="6"/>
        <v>4082.1210547445539</v>
      </c>
      <c r="E41" s="49">
        <f t="shared" si="7"/>
        <v>194.39886493921145</v>
      </c>
      <c r="F41" s="49">
        <f t="shared" si="8"/>
        <v>3844.765805991115</v>
      </c>
      <c r="G41" s="47">
        <f t="shared" si="3"/>
        <v>1186.7762437671931</v>
      </c>
      <c r="H41" s="47">
        <f t="shared" si="4"/>
        <v>1186.7762437671931</v>
      </c>
      <c r="I41" s="48">
        <f>SUM(H$3:H41)/COUNT(H$3:H41)</f>
        <v>314.70427098672991</v>
      </c>
      <c r="J41" s="48">
        <f>SUM(G$3:G41)/I41</f>
        <v>2.4602595166813144</v>
      </c>
      <c r="K41" s="50">
        <f t="shared" si="5"/>
        <v>1326161.4460785284</v>
      </c>
      <c r="L41" s="48">
        <f>SQRT(SUM(K$3:K41)/(COUNT(K$3:K41)-1))</f>
        <v>408.71421841625329</v>
      </c>
    </row>
    <row r="42" spans="1:12" x14ac:dyDescent="0.2">
      <c r="A42" s="8">
        <f>ArdiData!A42</f>
        <v>40</v>
      </c>
      <c r="B42" s="46">
        <f ca="1">ArdiData!C42</f>
        <v>6829.5093419760024</v>
      </c>
      <c r="C42" s="49">
        <v>4204.3946084920954</v>
      </c>
      <c r="D42">
        <f t="shared" si="6"/>
        <v>4262.0948574454324</v>
      </c>
      <c r="E42" s="49">
        <f t="shared" si="7"/>
        <v>185.74382759621164</v>
      </c>
      <c r="F42" s="49">
        <f t="shared" si="8"/>
        <v>4276.5199196837657</v>
      </c>
      <c r="G42" s="47">
        <f t="shared" si="3"/>
        <v>-72.125311191670335</v>
      </c>
      <c r="H42" s="47">
        <f t="shared" si="4"/>
        <v>72.125311191670335</v>
      </c>
      <c r="I42" s="48">
        <f>SUM(H$3:H42)/COUNT(H$3:H42)</f>
        <v>308.63979699185342</v>
      </c>
      <c r="J42" s="48">
        <f>SUM(G$3:G42)/I42</f>
        <v>2.2749135830406861</v>
      </c>
      <c r="K42" s="50">
        <f t="shared" si="5"/>
        <v>11515.591100550831</v>
      </c>
      <c r="L42" s="48">
        <f>SQRT(SUM(K$3:K42)/(COUNT(K$3:K42)-1))</f>
        <v>403.80604191050412</v>
      </c>
    </row>
    <row r="43" spans="1:12" x14ac:dyDescent="0.2">
      <c r="A43" s="8">
        <f>ArdiData!A43</f>
        <v>41</v>
      </c>
      <c r="B43" s="46">
        <f ca="1">ArdiData!C43</f>
        <v>5908.5852801957562</v>
      </c>
      <c r="C43" s="49">
        <v>5586.0237690188087</v>
      </c>
      <c r="D43">
        <f t="shared" si="6"/>
        <v>4675.4757018370765</v>
      </c>
      <c r="E43" s="49">
        <f t="shared" si="7"/>
        <v>322.32603767347109</v>
      </c>
      <c r="F43" s="49">
        <f t="shared" si="8"/>
        <v>4447.8386850416437</v>
      </c>
      <c r="G43" s="47">
        <f t="shared" si="3"/>
        <v>1138.185083977165</v>
      </c>
      <c r="H43" s="47">
        <f t="shared" si="4"/>
        <v>1138.185083977165</v>
      </c>
      <c r="I43" s="48">
        <f>SUM(H$3:H43)/COUNT(H$3:H43)</f>
        <v>328.87260886954397</v>
      </c>
      <c r="J43" s="48">
        <f>SUM(G$3:G43)/I43</f>
        <v>5.5958261673013379</v>
      </c>
      <c r="K43" s="50">
        <f t="shared" si="5"/>
        <v>1216608.2785542971</v>
      </c>
      <c r="L43" s="48">
        <f>SQRT(SUM(K$3:K43)/(COUNT(K$3:K43)-1))</f>
        <v>435.19885507684825</v>
      </c>
    </row>
    <row r="44" spans="1:12" x14ac:dyDescent="0.2">
      <c r="A44" s="8">
        <f>ArdiData!A44</f>
        <v>42</v>
      </c>
      <c r="B44" s="46">
        <f ca="1">ArdiData!C44</f>
        <v>8243.5668812622116</v>
      </c>
      <c r="C44" s="49">
        <v>5777.5611763875086</v>
      </c>
      <c r="D44">
        <f t="shared" si="6"/>
        <v>5153.7536268859394</v>
      </c>
      <c r="E44" s="49">
        <f t="shared" si="7"/>
        <v>415.89717009870617</v>
      </c>
      <c r="F44" s="49">
        <f t="shared" si="8"/>
        <v>4997.8017395105471</v>
      </c>
      <c r="G44" s="47">
        <f t="shared" si="3"/>
        <v>779.75943687696144</v>
      </c>
      <c r="H44" s="47">
        <f t="shared" si="4"/>
        <v>779.75943687696144</v>
      </c>
      <c r="I44" s="48">
        <f>SUM(H$3:H44)/COUNT(H$3:H44)</f>
        <v>339.60800953638727</v>
      </c>
      <c r="J44" s="48">
        <f>SUM(G$3:G44)/I44</f>
        <v>7.7149929145504617</v>
      </c>
      <c r="K44" s="50">
        <f t="shared" si="5"/>
        <v>554390.47998805519</v>
      </c>
      <c r="L44" s="48">
        <f>SQRT(SUM(K$3:K44)/(COUNT(K$3:K44)-1))</f>
        <v>445.30921617417647</v>
      </c>
    </row>
    <row r="45" spans="1:12" x14ac:dyDescent="0.2">
      <c r="A45" s="8">
        <f>ArdiData!A45</f>
        <v>43</v>
      </c>
      <c r="B45" s="46">
        <f ca="1">ArdiData!C45</f>
        <v>6421.948272206082</v>
      </c>
      <c r="C45" s="49">
        <v>5672.6454679130029</v>
      </c>
      <c r="D45">
        <f t="shared" si="6"/>
        <v>5590.2497311703173</v>
      </c>
      <c r="E45" s="49">
        <f t="shared" si="7"/>
        <v>428.25653061010917</v>
      </c>
      <c r="F45" s="49">
        <f t="shared" si="8"/>
        <v>5569.6507969846452</v>
      </c>
      <c r="G45" s="47">
        <f t="shared" si="3"/>
        <v>102.99467092835766</v>
      </c>
      <c r="H45" s="47">
        <f t="shared" si="4"/>
        <v>102.99467092835766</v>
      </c>
      <c r="I45" s="48">
        <f>SUM(H$3:H45)/COUNT(H$3:H45)</f>
        <v>334.10537375480516</v>
      </c>
      <c r="J45" s="48">
        <f>SUM(G$3:G45)/I45</f>
        <v>8.1503270289348571</v>
      </c>
      <c r="K45" s="50">
        <f t="shared" si="5"/>
        <v>4598.0957299760239</v>
      </c>
      <c r="L45" s="48">
        <f>SQRT(SUM(K$3:K45)/(COUNT(K$3:K45)-1))</f>
        <v>440.10037583774471</v>
      </c>
    </row>
    <row r="46" spans="1:12" x14ac:dyDescent="0.2">
      <c r="A46" s="8">
        <f>ArdiData!A46</f>
        <v>44</v>
      </c>
      <c r="B46" s="46">
        <f ca="1">ArdiData!C46</f>
        <v>6156.1471627874334</v>
      </c>
      <c r="C46" s="49">
        <v>4442.4749424361789</v>
      </c>
      <c r="D46">
        <f t="shared" si="6"/>
        <v>5703.2999979115775</v>
      </c>
      <c r="E46" s="49">
        <f t="shared" si="7"/>
        <v>239.1327722887998</v>
      </c>
      <c r="F46" s="49">
        <f t="shared" si="8"/>
        <v>6018.5062617804269</v>
      </c>
      <c r="G46" s="47">
        <f t="shared" si="3"/>
        <v>-1576.031319344248</v>
      </c>
      <c r="H46" s="47">
        <f t="shared" si="4"/>
        <v>1576.031319344248</v>
      </c>
      <c r="I46" s="48">
        <f>SUM(H$3:H46)/COUNT(H$3:H46)</f>
        <v>362.33096342729255</v>
      </c>
      <c r="J46" s="48">
        <f>SUM(G$3:G46)/I46</f>
        <v>3.1657154774521339</v>
      </c>
      <c r="K46" s="50">
        <f t="shared" si="5"/>
        <v>2596019.3521900512</v>
      </c>
      <c r="L46" s="48">
        <f>SQRT(SUM(K$3:K46)/(COUNT(K$3:K46)-1))</f>
        <v>499.55630700434108</v>
      </c>
    </row>
    <row r="47" spans="1:12" x14ac:dyDescent="0.2">
      <c r="A47" s="8">
        <f>ArdiData!A47</f>
        <v>45</v>
      </c>
      <c r="B47" s="46">
        <f ca="1">ArdiData!C47</f>
        <v>7386.9046237966495</v>
      </c>
      <c r="C47" s="49">
        <v>6116.4376324786244</v>
      </c>
      <c r="D47">
        <f t="shared" si="6"/>
        <v>5977.2337426560271</v>
      </c>
      <c r="E47" s="49">
        <f t="shared" si="7"/>
        <v>260.01335576218963</v>
      </c>
      <c r="F47" s="49">
        <f t="shared" si="8"/>
        <v>5942.4327702003775</v>
      </c>
      <c r="G47" s="47">
        <f t="shared" si="3"/>
        <v>174.00486227824695</v>
      </c>
      <c r="H47" s="47">
        <f t="shared" si="4"/>
        <v>174.00486227824695</v>
      </c>
      <c r="I47" s="48">
        <f>SUM(H$3:H47)/COUNT(H$3:H47)</f>
        <v>358.14593895731372</v>
      </c>
      <c r="J47" s="48">
        <f>SUM(G$3:G47)/I47</f>
        <v>3.6885566956480855</v>
      </c>
      <c r="K47" s="50">
        <f t="shared" si="5"/>
        <v>19270.84004898545</v>
      </c>
      <c r="L47" s="48">
        <f>SQRT(SUM(K$3:K47)/(COUNT(K$3:K47)-1))</f>
        <v>494.29013623682994</v>
      </c>
    </row>
    <row r="48" spans="1:12" x14ac:dyDescent="0.2">
      <c r="A48" s="8">
        <f>ArdiData!A48</f>
        <v>46</v>
      </c>
      <c r="B48" s="46">
        <f ca="1">ArdiData!C48</f>
        <v>7837.8575036565844</v>
      </c>
      <c r="C48" s="49">
        <v>4831.7623955679137</v>
      </c>
      <c r="D48">
        <f t="shared" si="6"/>
        <v>5956.1501578481566</v>
      </c>
      <c r="E48" s="49">
        <f t="shared" si="7"/>
        <v>91.355191420153574</v>
      </c>
      <c r="F48" s="49">
        <f t="shared" si="8"/>
        <v>6237.2470984182164</v>
      </c>
      <c r="G48" s="47">
        <f t="shared" si="3"/>
        <v>-1405.4847028503027</v>
      </c>
      <c r="H48" s="47">
        <f t="shared" si="4"/>
        <v>1405.4847028503027</v>
      </c>
      <c r="I48" s="48">
        <f>SUM(H$3:H48)/COUNT(H$3:H48)</f>
        <v>380.91417295498735</v>
      </c>
      <c r="J48" s="48">
        <f>SUM(G$3:G48)/I48</f>
        <v>-0.22168537609156186</v>
      </c>
      <c r="K48" s="50">
        <f t="shared" si="5"/>
        <v>2075530.3769851164</v>
      </c>
      <c r="L48" s="48">
        <f>SQRT(SUM(K$3:K48)/(COUNT(K$3:K48)-1))</f>
        <v>533.86912427319294</v>
      </c>
    </row>
    <row r="49" spans="1:12" x14ac:dyDescent="0.2">
      <c r="A49" s="8">
        <f>ArdiData!A49</f>
        <v>47</v>
      </c>
      <c r="B49" s="46">
        <f ca="1">ArdiData!C49</f>
        <v>6885.2131958495856</v>
      </c>
      <c r="C49" s="49">
        <v>6206.0910692130574</v>
      </c>
      <c r="D49">
        <f t="shared" si="6"/>
        <v>6079.2224932572599</v>
      </c>
      <c r="E49" s="49">
        <f t="shared" si="7"/>
        <v>110.38547781352341</v>
      </c>
      <c r="F49" s="49">
        <f t="shared" si="8"/>
        <v>6047.5053492683101</v>
      </c>
      <c r="G49" s="47">
        <f t="shared" si="3"/>
        <v>158.58571994474732</v>
      </c>
      <c r="H49" s="47">
        <f t="shared" si="4"/>
        <v>158.58571994474732</v>
      </c>
      <c r="I49" s="48">
        <f>SUM(H$3:H49)/COUNT(H$3:H49)</f>
        <v>376.18378033774826</v>
      </c>
      <c r="J49" s="48">
        <f>SUM(G$3:G49)/I49</f>
        <v>0.19709148062696222</v>
      </c>
      <c r="K49" s="50">
        <f t="shared" si="5"/>
        <v>15227.636243918369</v>
      </c>
      <c r="L49" s="48">
        <f>SQRT(SUM(K$3:K49)/(COUNT(K$3:K49)-1))</f>
        <v>528.34768113912344</v>
      </c>
    </row>
    <row r="50" spans="1:12" x14ac:dyDescent="0.2">
      <c r="A50" s="8">
        <f>ArdiData!A50</f>
        <v>48</v>
      </c>
      <c r="B50" s="46">
        <f ca="1">ArdiData!C50</f>
        <v>6937.8196221393946</v>
      </c>
      <c r="C50" s="49">
        <v>5086.0787376555791</v>
      </c>
      <c r="D50">
        <f t="shared" si="6"/>
        <v>5968.9021243877432</v>
      </c>
      <c r="E50" s="49">
        <f t="shared" si="7"/>
        <v>-22.03803019630061</v>
      </c>
      <c r="F50" s="49">
        <f t="shared" si="8"/>
        <v>6189.6079710707836</v>
      </c>
      <c r="G50" s="47">
        <f t="shared" si="3"/>
        <v>-1103.5292334152045</v>
      </c>
      <c r="H50" s="47">
        <f t="shared" si="4"/>
        <v>1103.5292334152045</v>
      </c>
      <c r="I50" s="48">
        <f>SUM(H$3:H50)/COUNT(H$3:H50)</f>
        <v>391.33681061019524</v>
      </c>
      <c r="J50" s="48">
        <f>SUM(G$3:G50)/I50</f>
        <v>-2.630436461000206</v>
      </c>
      <c r="K50" s="50">
        <f t="shared" si="5"/>
        <v>1296671.0414401644</v>
      </c>
      <c r="L50" s="48">
        <f>SQRT(SUM(K$3:K50)/(COUNT(K$3:K50)-1))</f>
        <v>548.45294142540206</v>
      </c>
    </row>
    <row r="51" spans="1:12" x14ac:dyDescent="0.2">
      <c r="A51" s="8">
        <f>ArdiData!A51</f>
        <v>49</v>
      </c>
      <c r="B51" s="46">
        <f ca="1">ArdiData!C51</f>
        <v>8763.9565485774528</v>
      </c>
      <c r="C51" s="49">
        <v>5256.5559094460787</v>
      </c>
      <c r="D51">
        <f t="shared" si="6"/>
        <v>5808.8024572423701</v>
      </c>
      <c r="E51" s="49">
        <f t="shared" si="7"/>
        <v>-104.87501236574413</v>
      </c>
      <c r="F51" s="49">
        <f t="shared" si="8"/>
        <v>5946.8640941914427</v>
      </c>
      <c r="G51" s="47">
        <f t="shared" si="3"/>
        <v>-690.30818474536409</v>
      </c>
      <c r="H51" s="47">
        <f t="shared" si="4"/>
        <v>690.30818474536409</v>
      </c>
      <c r="I51" s="48">
        <f>SUM(H$3:H51)/COUNT(H$3:H51)</f>
        <v>397.43826722519873</v>
      </c>
      <c r="J51" s="48">
        <f>SUM(G$3:G51)/I51</f>
        <v>-4.3269482123912608</v>
      </c>
      <c r="K51" s="50">
        <f t="shared" si="5"/>
        <v>526340.95748953021</v>
      </c>
      <c r="L51" s="48">
        <f>SQRT(SUM(K$3:K51)/(COUNT(K$3:K51)-1))</f>
        <v>552.71998860415636</v>
      </c>
    </row>
    <row r="52" spans="1:12" x14ac:dyDescent="0.2">
      <c r="A52" s="8">
        <f>ArdiData!A52</f>
        <v>50</v>
      </c>
      <c r="B52" s="46">
        <f ca="1">ArdiData!C52</f>
        <v>7903.3585222370702</v>
      </c>
      <c r="C52" s="49">
        <v>5988.37014518462</v>
      </c>
      <c r="D52">
        <f t="shared" si="6"/>
        <v>5760.8159849382255</v>
      </c>
      <c r="E52" s="49">
        <f t="shared" si="7"/>
        <v>-70.741888328784427</v>
      </c>
      <c r="F52" s="49">
        <f t="shared" si="8"/>
        <v>5703.9274448766264</v>
      </c>
      <c r="G52" s="47">
        <f t="shared" si="3"/>
        <v>284.44270030799362</v>
      </c>
      <c r="H52" s="47">
        <f t="shared" si="4"/>
        <v>284.44270030799362</v>
      </c>
      <c r="I52" s="48">
        <f>SUM(H$3:H52)/COUNT(H$3:H52)</f>
        <v>395.1783558868546</v>
      </c>
      <c r="J52" s="48">
        <f>SUM(G$3:G52)/I52</f>
        <v>-3.6319096889225739</v>
      </c>
      <c r="K52" s="50">
        <f t="shared" si="5"/>
        <v>62129.196265612925</v>
      </c>
      <c r="L52" s="48">
        <f>SQRT(SUM(K$3:K52)/(COUNT(K$3:K52)-1))</f>
        <v>548.20858005014838</v>
      </c>
    </row>
    <row r="53" spans="1:12" x14ac:dyDescent="0.2">
      <c r="A53" s="8">
        <f>ArdiData!A53</f>
        <v>51</v>
      </c>
      <c r="B53" s="46">
        <f ca="1">ArdiData!C53</f>
        <v>7306.7209214430386</v>
      </c>
      <c r="C53" s="49">
        <v>6526.7676661512296</v>
      </c>
      <c r="D53">
        <f t="shared" si="6"/>
        <v>5857.4128105177988</v>
      </c>
      <c r="E53" s="49">
        <f t="shared" si="7"/>
        <v>29.661340016230206</v>
      </c>
      <c r="F53" s="49">
        <f t="shared" si="8"/>
        <v>5690.0740966094409</v>
      </c>
      <c r="G53" s="47">
        <f t="shared" si="3"/>
        <v>836.69356954178875</v>
      </c>
      <c r="H53" s="47">
        <f t="shared" si="4"/>
        <v>836.69356954178875</v>
      </c>
      <c r="I53" s="48">
        <f>SUM(H$3:H53)/COUNT(H$3:H53)</f>
        <v>403.83551693891218</v>
      </c>
      <c r="J53" s="48">
        <f>SUM(G$3:G53)/I53</f>
        <v>-1.4821839708237325</v>
      </c>
      <c r="K53" s="50">
        <f t="shared" si="5"/>
        <v>642415.32818475238</v>
      </c>
      <c r="L53" s="48">
        <f>SQRT(SUM(K$3:K53)/(COUNT(K$3:K53)-1))</f>
        <v>554.40986720970511</v>
      </c>
    </row>
    <row r="54" spans="1:12" x14ac:dyDescent="0.2">
      <c r="A54" s="8">
        <f>ArdiData!A54</f>
        <v>52</v>
      </c>
      <c r="B54" s="46">
        <f ca="1">ArdiData!C54</f>
        <v>10446.530907811186</v>
      </c>
      <c r="C54" s="49">
        <v>5794.3331193675949</v>
      </c>
      <c r="D54">
        <f t="shared" si="6"/>
        <v>5868.5259443007435</v>
      </c>
      <c r="E54" s="49">
        <f t="shared" si="7"/>
        <v>18.53241627625891</v>
      </c>
      <c r="F54" s="49">
        <f t="shared" si="8"/>
        <v>5887.0741505340293</v>
      </c>
      <c r="G54" s="47">
        <f t="shared" si="3"/>
        <v>-92.741031166434368</v>
      </c>
      <c r="H54" s="47">
        <f t="shared" si="4"/>
        <v>92.741031166434368</v>
      </c>
      <c r="I54" s="48">
        <f>SUM(H$3:H54)/COUNT(H$3:H54)</f>
        <v>397.85293067405684</v>
      </c>
      <c r="J54" s="48">
        <f>SUM(G$3:G54)/I54</f>
        <v>-1.7375756414597252</v>
      </c>
      <c r="K54" s="50">
        <f t="shared" si="5"/>
        <v>16365.174609239999</v>
      </c>
      <c r="L54" s="48">
        <f>SQRT(SUM(K$3:K54)/(COUNT(K$3:K54)-1))</f>
        <v>549.2397636659523</v>
      </c>
    </row>
    <row r="55" spans="1:12" x14ac:dyDescent="0.2">
      <c r="A55" s="8">
        <f>ArdiData!A55</f>
        <v>53</v>
      </c>
      <c r="B55" s="46">
        <f ca="1">ArdiData!C55</f>
        <v>9411.2822151008149</v>
      </c>
      <c r="C55" s="49">
        <v>5545.614554778329</v>
      </c>
      <c r="D55">
        <f t="shared" si="6"/>
        <v>5818.7695994172682</v>
      </c>
      <c r="E55" s="49">
        <f t="shared" si="7"/>
        <v>-22.440840419581626</v>
      </c>
      <c r="F55" s="49">
        <f t="shared" si="8"/>
        <v>5887.0583605770025</v>
      </c>
      <c r="G55" s="47">
        <f t="shared" si="3"/>
        <v>-341.44380579867357</v>
      </c>
      <c r="H55" s="47">
        <f t="shared" si="4"/>
        <v>341.44380579867357</v>
      </c>
      <c r="I55" s="48">
        <f>SUM(H$3:H55)/COUNT(H$3:H55)</f>
        <v>396.78860756320057</v>
      </c>
      <c r="J55" s="48">
        <f>SUM(G$3:G55)/I55</f>
        <v>-2.602754583514054</v>
      </c>
      <c r="K55" s="50">
        <f t="shared" si="5"/>
        <v>141849.56695779925</v>
      </c>
      <c r="L55" s="48">
        <f>SQRT(SUM(K$3:K55)/(COUNT(K$3:K55)-1))</f>
        <v>546.43476957000348</v>
      </c>
    </row>
    <row r="56" spans="1:12" x14ac:dyDescent="0.2">
      <c r="A56" s="8">
        <f>ArdiData!A56</f>
        <v>54</v>
      </c>
      <c r="B56" s="46">
        <f ca="1">ArdiData!C56</f>
        <v>10228.757454099497</v>
      </c>
      <c r="C56" s="49">
        <v>6272.3581433243171</v>
      </c>
      <c r="D56">
        <f t="shared" si="6"/>
        <v>5891.5346358630131</v>
      </c>
      <c r="E56" s="49">
        <f t="shared" si="7"/>
        <v>34.682685699614325</v>
      </c>
      <c r="F56" s="49">
        <f t="shared" si="8"/>
        <v>5796.3287589976862</v>
      </c>
      <c r="G56" s="47">
        <f t="shared" si="3"/>
        <v>476.02938432663086</v>
      </c>
      <c r="H56" s="47">
        <f t="shared" si="4"/>
        <v>476.02938432663086</v>
      </c>
      <c r="I56" s="48">
        <f>SUM(H$3:H56)/COUNT(H$3:H56)</f>
        <v>398.25602935511591</v>
      </c>
      <c r="J56" s="48">
        <f>SUM(G$3:G56)/I56</f>
        <v>-1.3978796092456376</v>
      </c>
      <c r="K56" s="50">
        <f t="shared" si="5"/>
        <v>194343.40880504763</v>
      </c>
      <c r="L56" s="48">
        <f>SQRT(SUM(K$3:K56)/(COUNT(K$3:K56)-1))</f>
        <v>544.63200651078773</v>
      </c>
    </row>
    <row r="57" spans="1:12" x14ac:dyDescent="0.2">
      <c r="A57" s="8">
        <f>ArdiData!A57</f>
        <v>55</v>
      </c>
      <c r="B57" s="46">
        <f ca="1">ArdiData!C57</f>
        <v>10622.292295611884</v>
      </c>
      <c r="C57" s="49">
        <v>5129.4309137141636</v>
      </c>
      <c r="D57">
        <f t="shared" si="6"/>
        <v>5766.8600399929346</v>
      </c>
      <c r="E57" s="49">
        <f t="shared" si="7"/>
        <v>-60.93168324220138</v>
      </c>
      <c r="F57" s="49">
        <f t="shared" si="8"/>
        <v>5926.2173215626271</v>
      </c>
      <c r="G57" s="47">
        <f t="shared" si="3"/>
        <v>-796.78640784846357</v>
      </c>
      <c r="H57" s="47">
        <f t="shared" si="4"/>
        <v>796.78640784846357</v>
      </c>
      <c r="I57" s="48">
        <f>SUM(H$3:H57)/COUNT(H$3:H57)</f>
        <v>405.50203623681313</v>
      </c>
      <c r="J57" s="48">
        <f>SUM(G$3:G57)/I57</f>
        <v>-3.3378387026216267</v>
      </c>
      <c r="K57" s="50">
        <f t="shared" si="5"/>
        <v>692177.10738324083</v>
      </c>
      <c r="L57" s="48">
        <f>SQRT(SUM(K$3:K57)/(COUNT(K$3:K57)-1))</f>
        <v>551.31577126283844</v>
      </c>
    </row>
    <row r="58" spans="1:12" x14ac:dyDescent="0.2">
      <c r="A58" s="8">
        <f>ArdiData!A58</f>
        <v>56</v>
      </c>
      <c r="B58" s="46">
        <f ca="1">ArdiData!C58</f>
        <v>9619.3629524820026</v>
      </c>
      <c r="C58" s="49">
        <v>5666.7623903768372</v>
      </c>
      <c r="D58">
        <f t="shared" si="6"/>
        <v>5698.0951634759549</v>
      </c>
      <c r="E58" s="49">
        <f t="shared" si="7"/>
        <v>-65.631599207068376</v>
      </c>
      <c r="F58" s="49">
        <f t="shared" si="8"/>
        <v>5705.9283567507337</v>
      </c>
      <c r="G58" s="47">
        <f t="shared" si="3"/>
        <v>-39.165966373896481</v>
      </c>
      <c r="H58" s="47">
        <f t="shared" si="4"/>
        <v>39.165966373896481</v>
      </c>
      <c r="I58" s="48">
        <f>SUM(H$3:H58)/COUNT(H$3:H58)</f>
        <v>398.96032070354676</v>
      </c>
      <c r="J58" s="48">
        <f>SUM(G$3:G58)/I58</f>
        <v>-3.4907390150005657</v>
      </c>
      <c r="K58" s="50">
        <f t="shared" si="5"/>
        <v>5528.1273196494303</v>
      </c>
      <c r="L58" s="48">
        <f>SQRT(SUM(K$3:K58)/(COUNT(K$3:K58)-1))</f>
        <v>546.37280692430852</v>
      </c>
    </row>
    <row r="59" spans="1:12" x14ac:dyDescent="0.2">
      <c r="A59" s="8">
        <f>ArdiData!A59</f>
        <v>57</v>
      </c>
      <c r="B59" s="46">
        <f ca="1">ArdiData!C59</f>
        <v>9350.7044234837558</v>
      </c>
      <c r="C59" s="49">
        <v>6383.3602430207802</v>
      </c>
      <c r="D59">
        <f t="shared" si="6"/>
        <v>5782.6429000192647</v>
      </c>
      <c r="E59" s="49">
        <f t="shared" si="7"/>
        <v>24.476002243158554</v>
      </c>
      <c r="F59" s="49">
        <f t="shared" si="8"/>
        <v>5632.4635642688863</v>
      </c>
      <c r="G59" s="47">
        <f t="shared" si="3"/>
        <v>750.89667875189389</v>
      </c>
      <c r="H59" s="47">
        <f t="shared" si="4"/>
        <v>750.89667875189389</v>
      </c>
      <c r="I59" s="48">
        <f>SUM(H$3:H59)/COUNT(H$3:H59)</f>
        <v>405.13464277457041</v>
      </c>
      <c r="J59" s="48">
        <f>SUM(G$3:G59)/I59</f>
        <v>-1.5840898565719927</v>
      </c>
      <c r="K59" s="50">
        <f t="shared" si="5"/>
        <v>512242.61876532721</v>
      </c>
      <c r="L59" s="48">
        <f>SQRT(SUM(K$3:K59)/(COUNT(K$3:K59)-1))</f>
        <v>549.85421845272583</v>
      </c>
    </row>
    <row r="60" spans="1:12" x14ac:dyDescent="0.2">
      <c r="A60" s="8">
        <f>ArdiData!A60</f>
        <v>58</v>
      </c>
      <c r="B60" s="46">
        <f ca="1">ArdiData!C60</f>
        <v>9473.0758560578779</v>
      </c>
      <c r="C60" s="49">
        <v>6421.0416971132518</v>
      </c>
      <c r="D60">
        <f t="shared" si="6"/>
        <v>5929.9034612325886</v>
      </c>
      <c r="E60" s="49">
        <f t="shared" si="7"/>
        <v>98.146737625257728</v>
      </c>
      <c r="F60" s="49">
        <f t="shared" si="8"/>
        <v>5807.118902262423</v>
      </c>
      <c r="G60" s="47">
        <f t="shared" si="3"/>
        <v>613.92279485082872</v>
      </c>
      <c r="H60" s="47">
        <f t="shared" si="4"/>
        <v>613.92279485082872</v>
      </c>
      <c r="I60" s="48">
        <f>SUM(H$3:H60)/COUNT(H$3:H60)</f>
        <v>408.73443850002315</v>
      </c>
      <c r="J60" s="48">
        <f>SUM(G$3:G60)/I60</f>
        <v>-6.8129525411361885E-2</v>
      </c>
      <c r="K60" s="50">
        <f t="shared" si="5"/>
        <v>334936.95944895776</v>
      </c>
      <c r="L60" s="48">
        <f>SQRT(SUM(K$3:K60)/(COUNT(K$3:K60)-1))</f>
        <v>550.3740037188652</v>
      </c>
    </row>
    <row r="61" spans="1:12" x14ac:dyDescent="0.2">
      <c r="A61" s="8">
        <f>ArdiData!A61</f>
        <v>59</v>
      </c>
      <c r="B61" s="46">
        <f ca="1">ArdiData!C61</f>
        <v>10276.826012953461</v>
      </c>
      <c r="C61" s="49">
        <v>6732.3029027761122</v>
      </c>
      <c r="D61">
        <f t="shared" si="6"/>
        <v>6168.9007396415</v>
      </c>
      <c r="E61" s="49">
        <f t="shared" si="7"/>
        <v>182.6570620954499</v>
      </c>
      <c r="F61" s="49">
        <f t="shared" si="8"/>
        <v>6028.0501988578462</v>
      </c>
      <c r="G61" s="47">
        <f t="shared" si="3"/>
        <v>704.25270391826598</v>
      </c>
      <c r="H61" s="47">
        <f t="shared" si="4"/>
        <v>704.25270391826598</v>
      </c>
      <c r="I61" s="48">
        <f>SUM(H$3:H61)/COUNT(H$3:H61)</f>
        <v>413.74322265965441</v>
      </c>
      <c r="J61" s="48">
        <f>SUM(G$3:G61)/I61</f>
        <v>1.6348444725108937</v>
      </c>
      <c r="K61" s="50">
        <f t="shared" si="5"/>
        <v>447651.04243269475</v>
      </c>
      <c r="L61" s="48">
        <f>SQRT(SUM(K$3:K61)/(COUNT(K$3:K61)-1))</f>
        <v>552.63645605743909</v>
      </c>
    </row>
    <row r="62" spans="1:12" x14ac:dyDescent="0.2">
      <c r="A62" s="8">
        <f>ArdiData!A62</f>
        <v>60</v>
      </c>
      <c r="B62" s="46">
        <f ca="1">ArdiData!C62</f>
        <v>10838.945242235726</v>
      </c>
      <c r="C62" s="49">
        <v>5383.813648815224</v>
      </c>
      <c r="D62">
        <f t="shared" si="6"/>
        <v>6158.0089711526052</v>
      </c>
      <c r="E62" s="49">
        <f t="shared" si="7"/>
        <v>66.527763744843114</v>
      </c>
      <c r="F62" s="49">
        <f t="shared" si="8"/>
        <v>6351.5578017369498</v>
      </c>
      <c r="G62" s="47">
        <f t="shared" si="3"/>
        <v>-967.7441529217258</v>
      </c>
      <c r="H62" s="47">
        <f t="shared" si="4"/>
        <v>967.7441529217258</v>
      </c>
      <c r="I62" s="48">
        <f>SUM(H$3:H62)/COUNT(H$3:H62)</f>
        <v>422.97657149735556</v>
      </c>
      <c r="J62" s="48">
        <f>SUM(G$3:G62)/I62</f>
        <v>-0.68878125161021431</v>
      </c>
      <c r="K62" s="50">
        <f t="shared" si="5"/>
        <v>1005867.7102186256</v>
      </c>
      <c r="L62" s="48">
        <f>SQRT(SUM(K$3:K62)/(COUNT(K$3:K62)-1))</f>
        <v>563.27548064890027</v>
      </c>
    </row>
    <row r="63" spans="1:12" x14ac:dyDescent="0.2">
      <c r="A63" s="8">
        <f>ArdiData!A63</f>
        <v>61</v>
      </c>
      <c r="B63" s="46">
        <f ca="1">ArdiData!C63</f>
        <v>12187.203051060656</v>
      </c>
      <c r="C63" s="49">
        <v>6306.029263075081</v>
      </c>
      <c r="D63">
        <f t="shared" si="6"/>
        <v>6240.8352405329751</v>
      </c>
      <c r="E63" s="49">
        <f t="shared" si="7"/>
        <v>76.306867126159204</v>
      </c>
      <c r="F63" s="49">
        <f t="shared" si="8"/>
        <v>6224.5367348974487</v>
      </c>
      <c r="G63" s="47">
        <f t="shared" si="3"/>
        <v>81.492528177632266</v>
      </c>
      <c r="H63" s="47">
        <f t="shared" si="4"/>
        <v>81.492528177632266</v>
      </c>
      <c r="I63" s="48">
        <f>SUM(H$3:H63)/COUNT(H$3:H63)</f>
        <v>417.37847242654038</v>
      </c>
      <c r="J63" s="48">
        <f>SUM(G$3:G63)/I63</f>
        <v>-0.50277102918154692</v>
      </c>
      <c r="K63" s="50">
        <f t="shared" si="5"/>
        <v>2144.3490998992256</v>
      </c>
      <c r="L63" s="48">
        <f>SQRT(SUM(K$3:K63)/(COUNT(K$3:K63)-1))</f>
        <v>558.59378663471591</v>
      </c>
    </row>
    <row r="64" spans="1:12" x14ac:dyDescent="0.2">
      <c r="A64" s="8">
        <f>ArdiData!A64</f>
        <v>62</v>
      </c>
      <c r="B64" s="46">
        <f ca="1">ArdiData!C64</f>
        <v>11326.37595166975</v>
      </c>
      <c r="C64" s="49">
        <v>6344.73822659077</v>
      </c>
      <c r="D64">
        <f t="shared" si="6"/>
        <v>6322.6613314454617</v>
      </c>
      <c r="E64" s="49">
        <f t="shared" si="7"/>
        <v>79.61840139795558</v>
      </c>
      <c r="F64" s="49">
        <f t="shared" si="8"/>
        <v>6317.1421076591341</v>
      </c>
      <c r="G64" s="47">
        <f t="shared" si="3"/>
        <v>27.596118931635829</v>
      </c>
      <c r="H64" s="47">
        <f t="shared" si="4"/>
        <v>27.596118931635829</v>
      </c>
      <c r="I64" s="48">
        <f>SUM(H$3:H64)/COUNT(H$3:H64)</f>
        <v>411.09166027339677</v>
      </c>
      <c r="J64" s="48">
        <f>SUM(G$3:G64)/I64</f>
        <v>-0.44333102035510163</v>
      </c>
      <c r="K64" s="50">
        <f t="shared" si="5"/>
        <v>57.597354328994768</v>
      </c>
      <c r="L64" s="48">
        <f>SQRT(SUM(K$3:K64)/(COUNT(K$3:K64)-1))</f>
        <v>553.99708091449918</v>
      </c>
    </row>
    <row r="65" spans="1:12" x14ac:dyDescent="0.2">
      <c r="A65" s="8">
        <f>ArdiData!A65</f>
        <v>63</v>
      </c>
      <c r="B65" s="46">
        <f ca="1">ArdiData!C65</f>
        <v>12648.086095902263</v>
      </c>
      <c r="C65" s="49">
        <v>6433.484918596806</v>
      </c>
      <c r="D65">
        <f t="shared" si="6"/>
        <v>6408.5207699940947</v>
      </c>
      <c r="E65" s="49">
        <f t="shared" si="7"/>
        <v>83.363023688362091</v>
      </c>
      <c r="F65" s="49">
        <f t="shared" si="8"/>
        <v>6402.2797328434172</v>
      </c>
      <c r="G65" s="47">
        <f t="shared" si="3"/>
        <v>31.205185753388832</v>
      </c>
      <c r="H65" s="47">
        <f t="shared" si="4"/>
        <v>31.205185753388832</v>
      </c>
      <c r="I65" s="48">
        <f>SUM(H$3:H65)/COUNT(H$3:H65)</f>
        <v>405.06171623339668</v>
      </c>
      <c r="J65" s="48">
        <f>SUM(G$3:G65)/I65</f>
        <v>-0.37289255785421366</v>
      </c>
      <c r="K65" s="50">
        <f t="shared" si="5"/>
        <v>15.842193134416243</v>
      </c>
      <c r="L65" s="48">
        <f>SQRT(SUM(K$3:K65)/(COUNT(K$3:K65)-1))</f>
        <v>549.51143325981809</v>
      </c>
    </row>
    <row r="66" spans="1:12" x14ac:dyDescent="0.2">
      <c r="A66" s="8">
        <f>ArdiData!A66</f>
        <v>64</v>
      </c>
      <c r="B66" s="46">
        <f ca="1">ArdiData!C66</f>
        <v>12749.125000187707</v>
      </c>
      <c r="C66" s="49">
        <v>7126.6521295344728</v>
      </c>
      <c r="D66">
        <f t="shared" si="6"/>
        <v>6618.8374608528602</v>
      </c>
      <c r="E66" s="49">
        <f t="shared" si="7"/>
        <v>159.53522399060412</v>
      </c>
      <c r="F66" s="49">
        <f t="shared" si="8"/>
        <v>6491.8837936824566</v>
      </c>
      <c r="G66" s="47">
        <f t="shared" si="3"/>
        <v>634.76833585201621</v>
      </c>
      <c r="H66" s="47">
        <f t="shared" si="4"/>
        <v>634.76833585201621</v>
      </c>
      <c r="I66" s="48">
        <f>SUM(H$3:H66)/COUNT(H$3:H66)</f>
        <v>408.65088216493757</v>
      </c>
      <c r="J66" s="48">
        <f>SUM(G$3:G66)/I66</f>
        <v>1.1837092675152703</v>
      </c>
      <c r="K66" s="50">
        <f t="shared" si="5"/>
        <v>359499.68375592289</v>
      </c>
      <c r="L66" s="48">
        <f>SQRT(SUM(K$3:K66)/(COUNT(K$3:K66)-1))</f>
        <v>550.34180189206938</v>
      </c>
    </row>
    <row r="67" spans="1:12" x14ac:dyDescent="0.2">
      <c r="A67" s="8">
        <f>ArdiData!A67</f>
        <v>65</v>
      </c>
      <c r="B67" s="46">
        <f ca="1">ArdiData!C67</f>
        <v>12373.444288289213</v>
      </c>
      <c r="C67" s="49">
        <v>7865.1338288516981</v>
      </c>
      <c r="D67">
        <f t="shared" ref="D67:D77" si="9">$N$1*C67+(1-$N$1)*F67</f>
        <v>6995.7249136451119</v>
      </c>
      <c r="E67" s="49">
        <f t="shared" ref="E67:E77" si="10">$N$2*(D67-D66)+(1-$N$2)*E66</f>
        <v>289.94656127159266</v>
      </c>
      <c r="F67" s="49">
        <f t="shared" ref="F67:F78" si="11">D66+E66</f>
        <v>6778.3726848434644</v>
      </c>
      <c r="G67" s="47">
        <f t="shared" si="3"/>
        <v>1086.7611440082337</v>
      </c>
      <c r="H67" s="47">
        <f t="shared" si="4"/>
        <v>1086.7611440082337</v>
      </c>
      <c r="I67" s="48">
        <f>SUM(H$3:H67)/COUNT(H$3:H67)</f>
        <v>419.0833477317575</v>
      </c>
      <c r="J67" s="48">
        <f>SUM(G$3:G67)/I67</f>
        <v>3.7474287368019708</v>
      </c>
      <c r="K67" s="50">
        <f t="shared" si="5"/>
        <v>1105811.5222199268</v>
      </c>
      <c r="L67" s="48">
        <f>SQRT(SUM(K$3:K67)/(COUNT(K$3:K67)-1))</f>
        <v>561.62439841857861</v>
      </c>
    </row>
    <row r="68" spans="1:12" x14ac:dyDescent="0.2">
      <c r="A68" s="8">
        <f>ArdiData!A68</f>
        <v>66</v>
      </c>
      <c r="B68" s="46">
        <f ca="1">ArdiData!C68</f>
        <v>9761.9765014304885</v>
      </c>
      <c r="C68" s="49">
        <v>7010.35704845092</v>
      </c>
      <c r="D68">
        <f t="shared" si="9"/>
        <v>7230.6085896235481</v>
      </c>
      <c r="E68" s="49">
        <f t="shared" si="10"/>
        <v>256.90883009569882</v>
      </c>
      <c r="F68" s="49">
        <f t="shared" si="11"/>
        <v>7285.6714749167049</v>
      </c>
      <c r="G68" s="47">
        <f t="shared" ref="G68:G77" si="12">C68-F68</f>
        <v>-275.31442646578489</v>
      </c>
      <c r="H68" s="47">
        <f t="shared" ref="H68:H78" si="13">ABS(G68)</f>
        <v>275.31442646578489</v>
      </c>
      <c r="I68" s="48">
        <f>SUM(H$3:H68)/COUNT(H$3:H68)</f>
        <v>416.90503074287915</v>
      </c>
      <c r="J68" s="48">
        <f>SUM(G$3:G68)/I68</f>
        <v>3.1066321066731284</v>
      </c>
      <c r="K68" s="50">
        <f t="shared" ref="K68:K77" si="14">(G68-$G$78)^2</f>
        <v>96410.149075691224</v>
      </c>
      <c r="L68" s="48">
        <f>SQRT(SUM(K$3:K68)/(COUNT(K$3:K68)-1))</f>
        <v>558.61664166752325</v>
      </c>
    </row>
    <row r="69" spans="1:12" x14ac:dyDescent="0.2">
      <c r="A69" s="8">
        <f>ArdiData!A69</f>
        <v>67</v>
      </c>
      <c r="B69" s="46">
        <f ca="1">ArdiData!C69</f>
        <v>11974.239768791618</v>
      </c>
      <c r="C69" s="49">
        <v>9422.7261880039478</v>
      </c>
      <c r="D69">
        <f t="shared" si="9"/>
        <v>7874.5591733761876</v>
      </c>
      <c r="E69" s="49">
        <f t="shared" si="10"/>
        <v>489.13388228986321</v>
      </c>
      <c r="F69" s="49">
        <f t="shared" si="11"/>
        <v>7487.5174197192473</v>
      </c>
      <c r="G69" s="47">
        <f t="shared" si="12"/>
        <v>1935.2087682847005</v>
      </c>
      <c r="H69" s="47">
        <f t="shared" si="13"/>
        <v>1935.2087682847005</v>
      </c>
      <c r="I69" s="48">
        <f>SUM(H$3:H69)/COUNT(H$3:H69)</f>
        <v>439.56628055693619</v>
      </c>
      <c r="J69" s="48">
        <f>SUM(G$3:G69)/I69</f>
        <v>7.3490153023820293</v>
      </c>
      <c r="K69" s="50">
        <f t="shared" si="14"/>
        <v>3610088.7581698275</v>
      </c>
      <c r="L69" s="48">
        <f>SQRT(SUM(K$3:K69)/(COUNT(K$3:K69)-1))</f>
        <v>601.68330364956819</v>
      </c>
    </row>
    <row r="70" spans="1:12" x14ac:dyDescent="0.2">
      <c r="A70" s="8">
        <f>ArdiData!A70</f>
        <v>68</v>
      </c>
      <c r="B70" s="46">
        <f ca="1">ArdiData!C70</f>
        <v>13248.582331378499</v>
      </c>
      <c r="C70" s="49">
        <v>7040.5275765927445</v>
      </c>
      <c r="D70">
        <f t="shared" si="9"/>
        <v>8099.0599598513891</v>
      </c>
      <c r="E70" s="49">
        <f t="shared" si="10"/>
        <v>330.3540248010662</v>
      </c>
      <c r="F70" s="49">
        <f t="shared" si="11"/>
        <v>8363.69305566605</v>
      </c>
      <c r="G70" s="47">
        <f t="shared" si="12"/>
        <v>-1323.1654790733055</v>
      </c>
      <c r="H70" s="47">
        <f t="shared" si="13"/>
        <v>1323.1654790733055</v>
      </c>
      <c r="I70" s="48">
        <f>SUM(H$3:H70)/COUNT(H$3:H70)</f>
        <v>452.56038641747102</v>
      </c>
      <c r="J70" s="48">
        <f>SUM(G$3:G70)/I70</f>
        <v>4.2142748247334074</v>
      </c>
      <c r="K70" s="50">
        <f t="shared" si="14"/>
        <v>1845117.1406041181</v>
      </c>
      <c r="L70" s="48">
        <f>SQRT(SUM(K$3:K70)/(COUNT(K$3:K70)-1))</f>
        <v>619.80523904616064</v>
      </c>
    </row>
    <row r="71" spans="1:12" x14ac:dyDescent="0.2">
      <c r="A71" s="8">
        <f>ArdiData!A71</f>
        <v>69</v>
      </c>
      <c r="B71" s="46">
        <f ca="1">ArdiData!C71</f>
        <v>11557.279188157168</v>
      </c>
      <c r="C71" s="49">
        <v>9903.7758241325882</v>
      </c>
      <c r="D71">
        <f t="shared" si="9"/>
        <v>8724.2863525484827</v>
      </c>
      <c r="E71" s="49">
        <f t="shared" si="10"/>
        <v>507.27744553868263</v>
      </c>
      <c r="F71" s="49">
        <f t="shared" si="11"/>
        <v>8429.4139846524558</v>
      </c>
      <c r="G71" s="47">
        <f t="shared" si="12"/>
        <v>1474.3618394801324</v>
      </c>
      <c r="H71" s="47">
        <f t="shared" si="13"/>
        <v>1474.3618394801324</v>
      </c>
      <c r="I71" s="48">
        <f>SUM(H$3:H71)/COUNT(H$3:H71)</f>
        <v>467.3691031285241</v>
      </c>
      <c r="J71" s="48">
        <f>SUM(G$3:G71)/I71</f>
        <v>7.235342815763727</v>
      </c>
      <c r="K71" s="50">
        <f t="shared" si="14"/>
        <v>2071228.7922492027</v>
      </c>
      <c r="L71" s="48">
        <f>SQRT(SUM(K$3:K71)/(COUNT(K$3:K71)-1))</f>
        <v>639.50636516214115</v>
      </c>
    </row>
    <row r="72" spans="1:12" x14ac:dyDescent="0.2">
      <c r="A72" s="8">
        <f>ArdiData!A72</f>
        <v>70</v>
      </c>
      <c r="B72" s="46">
        <f ca="1">ArdiData!C72</f>
        <v>10314.005482666207</v>
      </c>
      <c r="C72" s="49">
        <v>7385.6932650971721</v>
      </c>
      <c r="D72">
        <f t="shared" si="9"/>
        <v>8862.3896914891666</v>
      </c>
      <c r="E72" s="49">
        <f t="shared" si="10"/>
        <v>285.77298157988338</v>
      </c>
      <c r="F72" s="49">
        <f t="shared" si="11"/>
        <v>9231.5637980871652</v>
      </c>
      <c r="G72" s="47">
        <f t="shared" si="12"/>
        <v>-1845.8705329899931</v>
      </c>
      <c r="H72" s="47">
        <f t="shared" si="13"/>
        <v>1845.8705329899931</v>
      </c>
      <c r="I72" s="48">
        <f>SUM(H$3:H72)/COUNT(H$3:H72)</f>
        <v>487.06198069797369</v>
      </c>
      <c r="J72" s="48">
        <f>SUM(G$3:G72)/I72</f>
        <v>3.1529973812371912</v>
      </c>
      <c r="K72" s="50">
        <f t="shared" si="14"/>
        <v>3538371.464477106</v>
      </c>
      <c r="L72" s="48">
        <f>SQRT(SUM(K$3:K72)/(COUNT(K$3:K72)-1))</f>
        <v>674.03416739305192</v>
      </c>
    </row>
    <row r="73" spans="1:12" x14ac:dyDescent="0.2">
      <c r="A73" s="8">
        <f>ArdiData!A73</f>
        <v>71</v>
      </c>
      <c r="B73" s="46">
        <f ca="1">ArdiData!C73</f>
        <v>9795.5946977226904</v>
      </c>
      <c r="C73" s="49">
        <v>9011.9704290236768</v>
      </c>
      <c r="D73">
        <f t="shared" si="9"/>
        <v>9120.9242242599757</v>
      </c>
      <c r="E73" s="49">
        <f t="shared" si="10"/>
        <v>269.42991229443885</v>
      </c>
      <c r="F73" s="49">
        <f t="shared" si="11"/>
        <v>9148.1626730690496</v>
      </c>
      <c r="G73" s="47">
        <f t="shared" si="12"/>
        <v>-136.19224404537272</v>
      </c>
      <c r="H73" s="47">
        <f t="shared" si="13"/>
        <v>136.19224404537272</v>
      </c>
      <c r="I73" s="48">
        <f>SUM(H$3:H73)/COUNT(H$3:H73)</f>
        <v>482.1201534211765</v>
      </c>
      <c r="J73" s="48">
        <f>SUM(G$3:G73)/I73</f>
        <v>2.9028301257776583</v>
      </c>
      <c r="K73" s="50">
        <f t="shared" si="14"/>
        <v>29370.300654045848</v>
      </c>
      <c r="L73" s="48">
        <f>SQRT(SUM(K$3:K73)/(COUNT(K$3:K73)-1))</f>
        <v>669.51573499879032</v>
      </c>
    </row>
    <row r="74" spans="1:12" x14ac:dyDescent="0.2">
      <c r="A74" s="8">
        <f>ArdiData!A74</f>
        <v>72</v>
      </c>
      <c r="B74" s="46">
        <f ca="1">ArdiData!C74</f>
        <v>12340.706995846545</v>
      </c>
      <c r="C74" s="49">
        <v>10014.199326672129</v>
      </c>
      <c r="D74">
        <f t="shared" si="9"/>
        <v>9515.1231745779587</v>
      </c>
      <c r="E74" s="49">
        <f t="shared" si="10"/>
        <v>344.29133510856531</v>
      </c>
      <c r="F74" s="49">
        <f t="shared" si="11"/>
        <v>9390.3541365544152</v>
      </c>
      <c r="G74" s="47">
        <f t="shared" si="12"/>
        <v>623.84519011771408</v>
      </c>
      <c r="H74" s="47">
        <f t="shared" si="13"/>
        <v>623.84519011771408</v>
      </c>
      <c r="I74" s="48">
        <f>SUM(H$3:H74)/COUNT(H$3:H74)</f>
        <v>484.08855670862835</v>
      </c>
      <c r="J74" s="48">
        <f>SUM(G$3:G74)/I74</f>
        <v>4.179727175271994</v>
      </c>
      <c r="K74" s="50">
        <f t="shared" si="14"/>
        <v>346520.33553307143</v>
      </c>
      <c r="L74" s="48">
        <f>SQRT(SUM(K$3:K74)/(COUNT(K$3:K74)-1))</f>
        <v>668.44482842799141</v>
      </c>
    </row>
    <row r="75" spans="1:12" x14ac:dyDescent="0.2">
      <c r="A75" s="8">
        <f>ArdiData!A75</f>
        <v>73</v>
      </c>
      <c r="B75" s="46">
        <f ca="1">ArdiData!C75</f>
        <v>13252.831651656925</v>
      </c>
      <c r="C75" s="49">
        <v>10910.3731121908</v>
      </c>
      <c r="D75">
        <f t="shared" si="9"/>
        <v>10069.606230187379</v>
      </c>
      <c r="E75" s="49">
        <f t="shared" si="10"/>
        <v>470.40636740907826</v>
      </c>
      <c r="F75" s="49">
        <f t="shared" si="11"/>
        <v>9859.4145096865232</v>
      </c>
      <c r="G75" s="47">
        <f t="shared" si="12"/>
        <v>1050.9586025042772</v>
      </c>
      <c r="H75" s="47">
        <f t="shared" si="13"/>
        <v>1050.9586025042772</v>
      </c>
      <c r="I75" s="48">
        <f>SUM(H$3:H75)/COUNT(H$3:H75)</f>
        <v>491.85389980171948</v>
      </c>
      <c r="J75" s="48">
        <f>SUM(G$3:G75)/I75</f>
        <v>6.2504672616337391</v>
      </c>
      <c r="K75" s="50">
        <f t="shared" si="14"/>
        <v>1031795.1765479931</v>
      </c>
      <c r="L75" s="48">
        <f>SQRT(SUM(K$3:K75)/(COUNT(K$3:K75)-1))</f>
        <v>674.49474784678841</v>
      </c>
    </row>
    <row r="76" spans="1:12" x14ac:dyDescent="0.2">
      <c r="A76" s="8">
        <f>ArdiData!A76</f>
        <v>74</v>
      </c>
      <c r="B76" s="46">
        <f ca="1">ArdiData!C76</f>
        <v>13796.705916830384</v>
      </c>
      <c r="C76" s="49">
        <v>8358.5918304447059</v>
      </c>
      <c r="D76">
        <f t="shared" si="9"/>
        <v>10103.728444166107</v>
      </c>
      <c r="E76" s="49">
        <f t="shared" si="10"/>
        <v>208.63587535086799</v>
      </c>
      <c r="F76" s="49">
        <f t="shared" si="11"/>
        <v>10540.012597596457</v>
      </c>
      <c r="G76" s="47">
        <f t="shared" si="12"/>
        <v>-2181.4207671517506</v>
      </c>
      <c r="H76" s="47">
        <f t="shared" si="13"/>
        <v>2181.4207671517506</v>
      </c>
      <c r="I76" s="48">
        <f>SUM(H$3:H76)/COUNT(H$3:H76)</f>
        <v>514.68588449563879</v>
      </c>
      <c r="J76" s="48">
        <f>SUM(G$3:G76)/I76</f>
        <v>1.734836641072375</v>
      </c>
      <c r="K76" s="50">
        <f t="shared" si="14"/>
        <v>4913342.9490877027</v>
      </c>
      <c r="L76" s="48">
        <f>SQRT(SUM(K$3:K76)/(COUNT(K$3:K76)-1))</f>
        <v>718.34332635563669</v>
      </c>
    </row>
    <row r="77" spans="1:12" x14ac:dyDescent="0.2">
      <c r="A77" s="8">
        <f>ArdiData!A77</f>
        <v>75</v>
      </c>
      <c r="B77" s="46">
        <f ca="1">ArdiData!C77</f>
        <v>15291.369481980548</v>
      </c>
      <c r="C77" s="49">
        <v>12058.374214587961</v>
      </c>
      <c r="D77">
        <f t="shared" si="9"/>
        <v>10661.566298531172</v>
      </c>
      <c r="E77" s="49">
        <f t="shared" si="10"/>
        <v>418.15706275938624</v>
      </c>
      <c r="F77" s="49">
        <f t="shared" si="11"/>
        <v>10312.364319516975</v>
      </c>
      <c r="G77" s="47">
        <f t="shared" si="12"/>
        <v>1746.0098950709853</v>
      </c>
      <c r="H77" s="47">
        <f t="shared" si="13"/>
        <v>1746.0098950709853</v>
      </c>
      <c r="I77" s="48">
        <f>SUM(H$3:H77)/COUNT(H$3:H77)</f>
        <v>531.10353796997686</v>
      </c>
      <c r="J77" s="48">
        <f>SUM(G$3:G77)/I77</f>
        <v>4.9687219863444785</v>
      </c>
      <c r="K77" s="50">
        <f t="shared" si="14"/>
        <v>2926920.4152448913</v>
      </c>
      <c r="L77" s="48">
        <f>SQRT(SUM(K$3:K77)/(COUNT(K$3:K77)-1))</f>
        <v>740.67328059241811</v>
      </c>
    </row>
    <row r="78" spans="1:12" x14ac:dyDescent="0.2">
      <c r="A78" s="8">
        <f>ArdiData!A78</f>
        <v>0</v>
      </c>
      <c r="B78" s="1"/>
      <c r="C78" s="1"/>
      <c r="E78" s="49"/>
      <c r="F78" s="49">
        <f t="shared" si="11"/>
        <v>11079.723361290558</v>
      </c>
      <c r="G78" s="1">
        <f>AVERAGE(G3:G77)</f>
        <v>35.185411015156845</v>
      </c>
      <c r="H78" s="1">
        <f t="shared" si="13"/>
        <v>35.185411015156845</v>
      </c>
      <c r="I78" s="48">
        <f>1.25*I77</f>
        <v>663.8794224624711</v>
      </c>
      <c r="J78" s="48"/>
      <c r="K78" s="1"/>
      <c r="L78" s="1"/>
    </row>
  </sheetData>
  <conditionalFormatting sqref="M6:M15">
    <cfRule type="expression" dxfId="5" priority="3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51"/>
  <sheetViews>
    <sheetView tabSelected="1" zoomScale="98" zoomScaleNormal="98" workbookViewId="0">
      <selection activeCell="G5" sqref="G5"/>
    </sheetView>
  </sheetViews>
  <sheetFormatPr defaultRowHeight="12.75" x14ac:dyDescent="0.2"/>
  <cols>
    <col min="1" max="1" width="4.42578125" bestFit="1" customWidth="1"/>
    <col min="2" max="2" width="6.28515625" bestFit="1" customWidth="1"/>
    <col min="3" max="3" width="6.7109375" bestFit="1" customWidth="1"/>
    <col min="4" max="6" width="6.28515625" customWidth="1"/>
    <col min="7" max="7" width="8.42578125" bestFit="1" customWidth="1"/>
    <col min="8" max="8" width="6.28515625" customWidth="1"/>
    <col min="9" max="10" width="8" bestFit="1" customWidth="1"/>
    <col min="11" max="11" width="7.140625" bestFit="1" customWidth="1"/>
    <col min="12" max="12" width="6.28515625" bestFit="1" customWidth="1"/>
    <col min="13" max="13" width="8" customWidth="1"/>
    <col min="15" max="15" width="6.42578125" customWidth="1"/>
    <col min="16" max="16" width="7.28515625" customWidth="1"/>
    <col min="17" max="24" width="4" customWidth="1"/>
    <col min="25" max="25" width="4.140625" customWidth="1"/>
  </cols>
  <sheetData>
    <row r="1" spans="1:20" x14ac:dyDescent="0.2">
      <c r="A1" s="8" t="str">
        <f>ArdiData!A2</f>
        <v>Per.</v>
      </c>
      <c r="B1" s="52" t="s">
        <v>29</v>
      </c>
      <c r="C1" s="52" t="s">
        <v>28</v>
      </c>
      <c r="D1" s="52" t="s">
        <v>6</v>
      </c>
      <c r="E1" s="52" t="s">
        <v>13</v>
      </c>
      <c r="F1" s="52" t="s">
        <v>7</v>
      </c>
      <c r="G1" s="4" t="s">
        <v>31</v>
      </c>
      <c r="H1" s="52" t="s">
        <v>24</v>
      </c>
      <c r="I1" s="52" t="s">
        <v>32</v>
      </c>
      <c r="J1" s="2" t="s">
        <v>6</v>
      </c>
      <c r="K1" s="2" t="s">
        <v>13</v>
      </c>
      <c r="L1" s="5" t="s">
        <v>7</v>
      </c>
      <c r="M1" s="5" t="s">
        <v>30</v>
      </c>
      <c r="N1">
        <v>0.5</v>
      </c>
      <c r="O1" s="53" t="s">
        <v>25</v>
      </c>
      <c r="P1" s="6">
        <v>0.5</v>
      </c>
      <c r="Q1" t="str">
        <f>" F(next) ~ N ( "&amp;ROUND(I78,0)&amp;", "&amp;ROUND(1.25*L77,0)&amp;")"</f>
        <v xml:space="preserve"> F(next) ~ N ( 0, 0)</v>
      </c>
      <c r="T1" s="7"/>
    </row>
    <row r="2" spans="1:20" x14ac:dyDescent="0.2">
      <c r="A2" s="8">
        <v>0</v>
      </c>
      <c r="B2" s="3"/>
      <c r="C2" s="3"/>
      <c r="D2" s="3"/>
      <c r="E2" s="3"/>
      <c r="F2" s="3"/>
      <c r="I2" s="3"/>
      <c r="J2" s="2"/>
      <c r="K2" s="2"/>
      <c r="L2" s="5"/>
      <c r="M2" s="5"/>
      <c r="O2" s="53" t="s">
        <v>26</v>
      </c>
      <c r="P2" s="6">
        <v>0.5</v>
      </c>
      <c r="T2" s="7"/>
    </row>
    <row r="3" spans="1:20" x14ac:dyDescent="0.2">
      <c r="A3" s="8">
        <f>ArdiData!A3</f>
        <v>1</v>
      </c>
      <c r="B3" s="49">
        <f ca="1">ROUND(ArdiData!C3/10,0)</f>
        <v>116</v>
      </c>
      <c r="C3" s="49">
        <f ca="1">B3</f>
        <v>116</v>
      </c>
      <c r="D3" s="3"/>
      <c r="E3" s="3"/>
      <c r="F3" s="3"/>
      <c r="G3" s="3">
        <f ca="1">INTERCEPT(B3:B23,A3:A23)</f>
        <v>98.728571428571456</v>
      </c>
      <c r="H3" s="3">
        <f ca="1">SLOPE(B3:B23,A3:A23)</f>
        <v>15.674025974025975</v>
      </c>
      <c r="I3" s="49">
        <f ca="1">G3+H3</f>
        <v>114.40259740259744</v>
      </c>
      <c r="J3" s="47">
        <f t="shared" ref="J3:J23" ca="1" si="0">B3-I3</f>
        <v>1.5974025974025636</v>
      </c>
      <c r="K3" s="47">
        <f ca="1">ABS(J3)</f>
        <v>1.5974025974025636</v>
      </c>
      <c r="L3" s="48">
        <f ca="1">AVERAGE($K$3:K3)</f>
        <v>1.5974025974025636</v>
      </c>
      <c r="M3" s="48">
        <f ca="1">SUM(J$3:J3)/L3</f>
        <v>1</v>
      </c>
    </row>
    <row r="4" spans="1:20" x14ac:dyDescent="0.2">
      <c r="A4" s="8">
        <f>ArdiData!A4</f>
        <v>2</v>
      </c>
      <c r="B4" s="49">
        <f ca="1">ROUND(ArdiData!C4/10,0)</f>
        <v>131</v>
      </c>
      <c r="C4" s="55">
        <f t="shared" ref="C4:C23" ca="1" si="1">(1-$N$1)*C3+$N$1*B3</f>
        <v>116</v>
      </c>
      <c r="D4" s="3">
        <f ca="1">B4-C4</f>
        <v>15</v>
      </c>
      <c r="E4" s="3">
        <f ca="1">ABS(D4)</f>
        <v>15</v>
      </c>
      <c r="F4" s="3">
        <f ca="1">AVERAGE($E$4:E4)</f>
        <v>15</v>
      </c>
      <c r="G4">
        <f ca="1">(1-$P$1)*I3+$P$1*B3</f>
        <v>115.20129870129873</v>
      </c>
      <c r="H4" s="49">
        <f ca="1">(1-$P$2)*H3+$P$2*(B4-B3)</f>
        <v>15.337012987012987</v>
      </c>
      <c r="I4" s="49">
        <f t="shared" ref="I4:I23" ca="1" si="2">G4+H4</f>
        <v>130.53831168831172</v>
      </c>
      <c r="J4" s="47">
        <f t="shared" ca="1" si="0"/>
        <v>0.46168831168827751</v>
      </c>
      <c r="K4" s="47">
        <f t="shared" ref="K4:K23" ca="1" si="3">ABS(J4)</f>
        <v>0.46168831168827751</v>
      </c>
      <c r="L4" s="48">
        <f ca="1">AVERAGE($K$3:K4)</f>
        <v>1.0295454545454206</v>
      </c>
      <c r="M4" s="48">
        <f ca="1">SUM(J$3:J4)/L4</f>
        <v>2</v>
      </c>
      <c r="O4" s="54">
        <f ca="1">F23</f>
        <v>37.614820194244388</v>
      </c>
    </row>
    <row r="5" spans="1:20" x14ac:dyDescent="0.2">
      <c r="A5" s="8">
        <f>ArdiData!A5</f>
        <v>3</v>
      </c>
      <c r="B5" s="49">
        <f ca="1">ROUND(ArdiData!C5/10,0)</f>
        <v>167</v>
      </c>
      <c r="C5" s="55">
        <f t="shared" ca="1" si="1"/>
        <v>123.5</v>
      </c>
      <c r="D5" s="3">
        <f t="shared" ref="D5:D23" ca="1" si="4">B5-C5</f>
        <v>43.5</v>
      </c>
      <c r="E5" s="3">
        <f t="shared" ref="E5:E23" ca="1" si="5">ABS(D5)</f>
        <v>43.5</v>
      </c>
      <c r="F5" s="3">
        <f ca="1">AVERAGE($E$4:E5)</f>
        <v>29.25</v>
      </c>
      <c r="G5">
        <f t="shared" ref="G5:G23" ca="1" si="6">(1-$P$1)*I4+$P$1*B4</f>
        <v>130.76915584415588</v>
      </c>
      <c r="H5" s="49">
        <f t="shared" ref="H5:H23" ca="1" si="7">(1-$P$2)*H4+$P$2*(B5-B4)</f>
        <v>25.668506493506491</v>
      </c>
      <c r="I5" s="49">
        <f t="shared" ca="1" si="2"/>
        <v>156.43766233766237</v>
      </c>
      <c r="J5" s="47">
        <f t="shared" ca="1" si="0"/>
        <v>10.562337662337626</v>
      </c>
      <c r="K5" s="47">
        <f t="shared" ca="1" si="3"/>
        <v>10.562337662337626</v>
      </c>
      <c r="L5" s="48">
        <f ca="1">AVERAGE($K$3:K5)</f>
        <v>4.2071428571428227</v>
      </c>
      <c r="M5" s="48">
        <f ca="1">SUM(J$3:J5)/L5</f>
        <v>3</v>
      </c>
      <c r="N5" s="7">
        <f>L77</f>
        <v>0</v>
      </c>
      <c r="O5">
        <f t="dataTable" ref="O5:O15" dt2D="0" dtr="0" r1="N1" ca="1"/>
        <v>80.95</v>
      </c>
    </row>
    <row r="6" spans="1:20" x14ac:dyDescent="0.2">
      <c r="A6" s="8">
        <f>ArdiData!A6</f>
        <v>4</v>
      </c>
      <c r="B6" s="49">
        <f ca="1">ROUND(ArdiData!C6/10,0)</f>
        <v>165</v>
      </c>
      <c r="C6" s="55">
        <f t="shared" ca="1" si="1"/>
        <v>145.25</v>
      </c>
      <c r="D6" s="3">
        <f t="shared" ca="1" si="4"/>
        <v>19.75</v>
      </c>
      <c r="E6" s="3">
        <f t="shared" ca="1" si="5"/>
        <v>19.75</v>
      </c>
      <c r="F6" s="3">
        <f ca="1">AVERAGE($E$4:E6)</f>
        <v>26.083333333333332</v>
      </c>
      <c r="G6">
        <f t="shared" ca="1" si="6"/>
        <v>161.71883116883117</v>
      </c>
      <c r="H6" s="49">
        <f t="shared" ca="1" si="7"/>
        <v>11.834253246753246</v>
      </c>
      <c r="I6" s="49">
        <f t="shared" ca="1" si="2"/>
        <v>173.55308441558441</v>
      </c>
      <c r="J6" s="47">
        <f t="shared" ca="1" si="0"/>
        <v>-8.5530844155844079</v>
      </c>
      <c r="K6" s="47">
        <f t="shared" ca="1" si="3"/>
        <v>8.5530844155844079</v>
      </c>
      <c r="L6" s="48">
        <f ca="1">AVERAGE($K$3:K6)</f>
        <v>5.2936282467532187</v>
      </c>
      <c r="M6" s="48">
        <f ca="1">SUM(J$3:J6)/L6</f>
        <v>0.76853605243989842</v>
      </c>
      <c r="N6">
        <v>0.1</v>
      </c>
      <c r="O6">
        <v>105.68827750784233</v>
      </c>
    </row>
    <row r="7" spans="1:20" x14ac:dyDescent="0.2">
      <c r="A7" s="8">
        <f>ArdiData!A7</f>
        <v>5</v>
      </c>
      <c r="B7" s="49">
        <f ca="1">ROUND(ArdiData!C7/10,0)</f>
        <v>162</v>
      </c>
      <c r="C7" s="55">
        <f t="shared" ca="1" si="1"/>
        <v>155.125</v>
      </c>
      <c r="D7" s="3">
        <f t="shared" ca="1" si="4"/>
        <v>6.875</v>
      </c>
      <c r="E7" s="3">
        <f t="shared" ca="1" si="5"/>
        <v>6.875</v>
      </c>
      <c r="F7" s="3">
        <f ca="1">AVERAGE($E$4:E7)</f>
        <v>21.28125</v>
      </c>
      <c r="G7">
        <f t="shared" ca="1" si="6"/>
        <v>169.2765422077922</v>
      </c>
      <c r="H7" s="49">
        <f t="shared" ca="1" si="7"/>
        <v>4.4171266233766229</v>
      </c>
      <c r="I7" s="49">
        <f t="shared" ca="1" si="2"/>
        <v>173.69366883116882</v>
      </c>
      <c r="J7" s="47">
        <f t="shared" ca="1" si="0"/>
        <v>-11.693668831168821</v>
      </c>
      <c r="K7" s="47">
        <f t="shared" ca="1" si="3"/>
        <v>11.693668831168821</v>
      </c>
      <c r="L7" s="48">
        <f ca="1">AVERAGE($K$3:K7)</f>
        <v>6.5736363636363393</v>
      </c>
      <c r="M7" s="48">
        <f ca="1">SUM(J$3:J7)/L7</f>
        <v>-1.1599857755299778</v>
      </c>
      <c r="N7">
        <v>0.2</v>
      </c>
      <c r="O7">
        <v>48.936743593212711</v>
      </c>
    </row>
    <row r="8" spans="1:20" x14ac:dyDescent="0.2">
      <c r="A8" s="8">
        <f>ArdiData!A8</f>
        <v>6</v>
      </c>
      <c r="B8" s="49">
        <f ca="1">ROUND(ArdiData!C8/10,0)</f>
        <v>210</v>
      </c>
      <c r="C8" s="55">
        <f t="shared" ca="1" si="1"/>
        <v>158.5625</v>
      </c>
      <c r="D8" s="3">
        <f t="shared" ca="1" si="4"/>
        <v>51.4375</v>
      </c>
      <c r="E8" s="3">
        <f t="shared" ca="1" si="5"/>
        <v>51.4375</v>
      </c>
      <c r="F8" s="3">
        <f ca="1">AVERAGE($E$4:E8)</f>
        <v>27.3125</v>
      </c>
      <c r="G8">
        <f t="shared" ca="1" si="6"/>
        <v>167.8468344155844</v>
      </c>
      <c r="H8" s="49">
        <f t="shared" ca="1" si="7"/>
        <v>26.208563311688312</v>
      </c>
      <c r="I8" s="49">
        <f t="shared" ca="1" si="2"/>
        <v>194.05539772727272</v>
      </c>
      <c r="J8" s="47">
        <f t="shared" ca="1" si="0"/>
        <v>15.94460227272728</v>
      </c>
      <c r="K8" s="47">
        <f t="shared" ca="1" si="3"/>
        <v>15.94460227272728</v>
      </c>
      <c r="L8" s="48">
        <f ca="1">AVERAGE($K$3:K8)</f>
        <v>8.1354640151514968</v>
      </c>
      <c r="M8" s="48">
        <f ca="1">SUM(J$3:J8)/L8</f>
        <v>1.0225941116460828</v>
      </c>
      <c r="N8">
        <v>0.30000000000000004</v>
      </c>
      <c r="O8">
        <v>18.916821494964729</v>
      </c>
    </row>
    <row r="9" spans="1:20" x14ac:dyDescent="0.2">
      <c r="A9" s="8">
        <f>ArdiData!A9</f>
        <v>7</v>
      </c>
      <c r="B9" s="49">
        <f ca="1">ROUND(ArdiData!C9/10,0)</f>
        <v>232</v>
      </c>
      <c r="C9" s="55">
        <f t="shared" ca="1" si="1"/>
        <v>184.28125</v>
      </c>
      <c r="D9" s="3">
        <f t="shared" ca="1" si="4"/>
        <v>47.71875</v>
      </c>
      <c r="E9" s="3">
        <f t="shared" ca="1" si="5"/>
        <v>47.71875</v>
      </c>
      <c r="F9" s="3">
        <f ca="1">AVERAGE($E$4:E9)</f>
        <v>30.713541666666668</v>
      </c>
      <c r="G9">
        <f t="shared" ca="1" si="6"/>
        <v>202.02769886363637</v>
      </c>
      <c r="H9" s="49">
        <f t="shared" ca="1" si="7"/>
        <v>24.104281655844154</v>
      </c>
      <c r="I9" s="49">
        <f t="shared" ca="1" si="2"/>
        <v>226.13198051948052</v>
      </c>
      <c r="J9" s="47">
        <f t="shared" ca="1" si="0"/>
        <v>5.8680194805194787</v>
      </c>
      <c r="K9" s="47">
        <f t="shared" ca="1" si="3"/>
        <v>5.8680194805194787</v>
      </c>
      <c r="L9" s="48">
        <f ca="1">AVERAGE($K$3:K9)</f>
        <v>7.8115433673469221</v>
      </c>
      <c r="M9" s="48">
        <f ca="1">SUM(J$3:J9)/L9</f>
        <v>1.8161964173720651</v>
      </c>
      <c r="N9">
        <v>0.4</v>
      </c>
      <c r="O9">
        <v>36.91639858409507</v>
      </c>
    </row>
    <row r="10" spans="1:20" x14ac:dyDescent="0.2">
      <c r="A10" s="8">
        <f>ArdiData!A10</f>
        <v>8</v>
      </c>
      <c r="B10" s="49">
        <f ca="1">ROUND(ArdiData!C10/10,0)</f>
        <v>221</v>
      </c>
      <c r="C10" s="55">
        <f t="shared" ca="1" si="1"/>
        <v>208.140625</v>
      </c>
      <c r="D10" s="3">
        <f t="shared" ca="1" si="4"/>
        <v>12.859375</v>
      </c>
      <c r="E10" s="3">
        <f t="shared" ca="1" si="5"/>
        <v>12.859375</v>
      </c>
      <c r="F10" s="3">
        <f ca="1">AVERAGE($E$4:E10)</f>
        <v>28.162946428571427</v>
      </c>
      <c r="G10">
        <f t="shared" ca="1" si="6"/>
        <v>229.06599025974026</v>
      </c>
      <c r="H10" s="49">
        <f t="shared" ca="1" si="7"/>
        <v>6.5521408279220772</v>
      </c>
      <c r="I10" s="49">
        <f t="shared" ca="1" si="2"/>
        <v>235.61813108766233</v>
      </c>
      <c r="J10" s="47">
        <f t="shared" ca="1" si="0"/>
        <v>-14.618131087662334</v>
      </c>
      <c r="K10" s="47">
        <f t="shared" ca="1" si="3"/>
        <v>14.618131087662334</v>
      </c>
      <c r="L10" s="48">
        <f ca="1">AVERAGE($K$3:K10)</f>
        <v>8.6623668323863487</v>
      </c>
      <c r="M10" s="48">
        <f ca="1">SUM(J$3:J10)/L10</f>
        <v>-4.9736292410240635E-2</v>
      </c>
      <c r="N10">
        <v>0.5</v>
      </c>
      <c r="O10">
        <v>40.790607070922853</v>
      </c>
    </row>
    <row r="11" spans="1:20" x14ac:dyDescent="0.2">
      <c r="A11" s="8">
        <f>ArdiData!A11</f>
        <v>9</v>
      </c>
      <c r="B11" s="49">
        <f ca="1">ROUND(ArdiData!C11/10,0)</f>
        <v>191</v>
      </c>
      <c r="C11" s="55">
        <f t="shared" ca="1" si="1"/>
        <v>214.5703125</v>
      </c>
      <c r="D11" s="3">
        <f t="shared" ca="1" si="4"/>
        <v>-23.5703125</v>
      </c>
      <c r="E11" s="3">
        <f t="shared" ca="1" si="5"/>
        <v>23.5703125</v>
      </c>
      <c r="F11" s="3">
        <f ca="1">AVERAGE($E$4:E11)</f>
        <v>27.5888671875</v>
      </c>
      <c r="G11">
        <f t="shared" ca="1" si="6"/>
        <v>228.30906554383117</v>
      </c>
      <c r="H11" s="49">
        <f t="shared" ca="1" si="7"/>
        <v>-11.723929586038961</v>
      </c>
      <c r="I11" s="49">
        <f t="shared" ca="1" si="2"/>
        <v>216.5851359577922</v>
      </c>
      <c r="J11" s="47">
        <f t="shared" ca="1" si="0"/>
        <v>-25.585135957792204</v>
      </c>
      <c r="K11" s="47">
        <f t="shared" ca="1" si="3"/>
        <v>25.585135957792204</v>
      </c>
      <c r="L11" s="48">
        <f ca="1">AVERAGE($K$3:K11)</f>
        <v>10.542674512986999</v>
      </c>
      <c r="M11" s="48">
        <f ca="1">SUM(J$3:J11)/L11</f>
        <v>-2.4676821745264692</v>
      </c>
      <c r="N11">
        <v>0.6</v>
      </c>
      <c r="O11">
        <v>32.648317932267233</v>
      </c>
    </row>
    <row r="12" spans="1:20" x14ac:dyDescent="0.2">
      <c r="A12" s="8">
        <f>ArdiData!A12</f>
        <v>10</v>
      </c>
      <c r="B12" s="49">
        <f ca="1">ROUND(ArdiData!C12/10,0)</f>
        <v>254</v>
      </c>
      <c r="C12" s="55">
        <f t="shared" ca="1" si="1"/>
        <v>202.78515625</v>
      </c>
      <c r="D12" s="3">
        <f t="shared" ca="1" si="4"/>
        <v>51.21484375</v>
      </c>
      <c r="E12" s="3">
        <f t="shared" ca="1" si="5"/>
        <v>51.21484375</v>
      </c>
      <c r="F12" s="3">
        <f ca="1">AVERAGE($E$4:E12)</f>
        <v>30.213975694444443</v>
      </c>
      <c r="G12">
        <f t="shared" ca="1" si="6"/>
        <v>203.7925679788961</v>
      </c>
      <c r="H12" s="49">
        <f t="shared" ca="1" si="7"/>
        <v>25.638035206980518</v>
      </c>
      <c r="I12" s="49">
        <f t="shared" ca="1" si="2"/>
        <v>229.43060318587663</v>
      </c>
      <c r="J12" s="47">
        <f t="shared" ca="1" si="0"/>
        <v>24.569396814123365</v>
      </c>
      <c r="K12" s="47">
        <f t="shared" ca="1" si="3"/>
        <v>24.569396814123365</v>
      </c>
      <c r="L12" s="48">
        <f ca="1">AVERAGE($K$3:K12)</f>
        <v>11.945346743100636</v>
      </c>
      <c r="M12" s="48">
        <f ca="1">SUM(J$3:J12)/L12</f>
        <v>-0.1210993020562324</v>
      </c>
      <c r="N12">
        <v>0.70000000000000007</v>
      </c>
      <c r="O12">
        <v>40.429235162629418</v>
      </c>
    </row>
    <row r="13" spans="1:20" x14ac:dyDescent="0.2">
      <c r="A13" s="8">
        <f>ArdiData!A13</f>
        <v>11</v>
      </c>
      <c r="B13" s="49">
        <f ca="1">ROUND(ArdiData!C13/10,0)</f>
        <v>250</v>
      </c>
      <c r="C13" s="55">
        <f t="shared" ca="1" si="1"/>
        <v>228.392578125</v>
      </c>
      <c r="D13" s="3">
        <f t="shared" ca="1" si="4"/>
        <v>21.607421875</v>
      </c>
      <c r="E13" s="3">
        <f t="shared" ca="1" si="5"/>
        <v>21.607421875</v>
      </c>
      <c r="F13" s="3">
        <f ca="1">AVERAGE($E$4:E13)</f>
        <v>29.353320312499999</v>
      </c>
      <c r="G13">
        <f t="shared" ca="1" si="6"/>
        <v>241.71530159293832</v>
      </c>
      <c r="H13" s="49">
        <f t="shared" ca="1" si="7"/>
        <v>10.819017603490259</v>
      </c>
      <c r="I13" s="49">
        <f t="shared" ca="1" si="2"/>
        <v>252.53431919642858</v>
      </c>
      <c r="J13" s="47">
        <f t="shared" ca="1" si="0"/>
        <v>-2.5343191964285836</v>
      </c>
      <c r="K13" s="47">
        <f t="shared" ca="1" si="3"/>
        <v>2.5343191964285836</v>
      </c>
      <c r="L13" s="48">
        <f ca="1">AVERAGE($K$3:K13)</f>
        <v>11.089798784312267</v>
      </c>
      <c r="M13" s="48">
        <f ca="1">SUM(J$3:J13)/L13</f>
        <v>-0.35896885302095538</v>
      </c>
      <c r="N13">
        <v>0.8</v>
      </c>
      <c r="O13">
        <v>30.036377354102779</v>
      </c>
    </row>
    <row r="14" spans="1:20" x14ac:dyDescent="0.2">
      <c r="A14" s="8">
        <f>ArdiData!A14</f>
        <v>12</v>
      </c>
      <c r="B14" s="49">
        <f ca="1">ROUND(ArdiData!C14/10,0)</f>
        <v>284</v>
      </c>
      <c r="C14" s="55">
        <f t="shared" ca="1" si="1"/>
        <v>239.1962890625</v>
      </c>
      <c r="D14" s="3">
        <f t="shared" ca="1" si="4"/>
        <v>44.8037109375</v>
      </c>
      <c r="E14" s="3">
        <f t="shared" ca="1" si="5"/>
        <v>44.8037109375</v>
      </c>
      <c r="F14" s="3">
        <f ca="1">AVERAGE($E$4:E14)</f>
        <v>30.75790127840909</v>
      </c>
      <c r="G14">
        <f t="shared" ca="1" si="6"/>
        <v>251.26715959821428</v>
      </c>
      <c r="H14" s="49">
        <f t="shared" ca="1" si="7"/>
        <v>22.40950880174513</v>
      </c>
      <c r="I14" s="49">
        <f t="shared" ca="1" si="2"/>
        <v>273.6766683999594</v>
      </c>
      <c r="J14" s="47">
        <f t="shared" ca="1" si="0"/>
        <v>10.323331600040603</v>
      </c>
      <c r="K14" s="47">
        <f t="shared" ca="1" si="3"/>
        <v>10.323331600040603</v>
      </c>
      <c r="L14" s="48">
        <f ca="1">AVERAGE($K$3:K14)</f>
        <v>11.025926518956297</v>
      </c>
      <c r="M14" s="48">
        <f ca="1">SUM(J$3:J14)/L14</f>
        <v>0.57522959538126983</v>
      </c>
      <c r="N14">
        <v>0.9</v>
      </c>
      <c r="O14">
        <v>31.106978460939352</v>
      </c>
    </row>
    <row r="15" spans="1:20" x14ac:dyDescent="0.2">
      <c r="A15" s="8">
        <f>ArdiData!A15</f>
        <v>13</v>
      </c>
      <c r="B15" s="49">
        <f ca="1">ROUND(ArdiData!C15/10,0)</f>
        <v>316</v>
      </c>
      <c r="C15" s="55">
        <f t="shared" ca="1" si="1"/>
        <v>261.59814453125</v>
      </c>
      <c r="D15" s="3">
        <f t="shared" ca="1" si="4"/>
        <v>54.40185546875</v>
      </c>
      <c r="E15" s="3">
        <f t="shared" ca="1" si="5"/>
        <v>54.40185546875</v>
      </c>
      <c r="F15" s="3">
        <f ca="1">AVERAGE($E$4:E15)</f>
        <v>32.728230794270836</v>
      </c>
      <c r="G15">
        <f t="shared" ca="1" si="6"/>
        <v>278.83833419997973</v>
      </c>
      <c r="H15" s="49">
        <f t="shared" ca="1" si="7"/>
        <v>27.204754400872567</v>
      </c>
      <c r="I15" s="49">
        <f t="shared" ca="1" si="2"/>
        <v>306.04308860085229</v>
      </c>
      <c r="J15" s="47">
        <f t="shared" ca="1" si="0"/>
        <v>9.9569113991477138</v>
      </c>
      <c r="K15" s="47">
        <f t="shared" ca="1" si="3"/>
        <v>9.9569113991477138</v>
      </c>
      <c r="L15" s="48">
        <f ca="1">AVERAGE($K$3:K15)</f>
        <v>10.943694586663328</v>
      </c>
      <c r="M15" s="48">
        <f ca="1">SUM(J$3:J15)/L15</f>
        <v>1.4893828149420367</v>
      </c>
      <c r="N15">
        <v>1</v>
      </c>
      <c r="O15">
        <v>33.15</v>
      </c>
    </row>
    <row r="16" spans="1:20" x14ac:dyDescent="0.2">
      <c r="A16" s="8">
        <f>ArdiData!A16</f>
        <v>14</v>
      </c>
      <c r="B16" s="49">
        <f ca="1">ROUND(ArdiData!C16/10,0)</f>
        <v>330</v>
      </c>
      <c r="C16" s="55">
        <f t="shared" ca="1" si="1"/>
        <v>288.799072265625</v>
      </c>
      <c r="D16" s="3">
        <f t="shared" ca="1" si="4"/>
        <v>41.200927734375</v>
      </c>
      <c r="E16" s="3">
        <f t="shared" ca="1" si="5"/>
        <v>41.200927734375</v>
      </c>
      <c r="F16" s="3">
        <f ca="1">AVERAGE($E$4:E16)</f>
        <v>33.379976712740387</v>
      </c>
      <c r="G16">
        <f t="shared" ca="1" si="6"/>
        <v>311.02154430042617</v>
      </c>
      <c r="H16" s="49">
        <f t="shared" ca="1" si="7"/>
        <v>20.602377200436283</v>
      </c>
      <c r="I16" s="49">
        <f t="shared" ca="1" si="2"/>
        <v>331.62392150086248</v>
      </c>
      <c r="J16" s="47">
        <f t="shared" ca="1" si="0"/>
        <v>-1.6239215008624797</v>
      </c>
      <c r="K16" s="47">
        <f t="shared" ca="1" si="3"/>
        <v>1.6239215008624797</v>
      </c>
      <c r="L16" s="48">
        <f ca="1">AVERAGE($K$3:K16)</f>
        <v>10.277996509106126</v>
      </c>
      <c r="M16" s="48">
        <f ca="1">SUM(J$3:J16)/L16</f>
        <v>1.4278492053860792</v>
      </c>
      <c r="N16">
        <f>MIN(O5:O15)</f>
        <v>18.916821494964729</v>
      </c>
    </row>
    <row r="17" spans="1:26" x14ac:dyDescent="0.2">
      <c r="A17" s="8">
        <f>ArdiData!A17</f>
        <v>15</v>
      </c>
      <c r="B17" s="49">
        <f ca="1">ROUND(ArdiData!C17/10,0)</f>
        <v>361</v>
      </c>
      <c r="C17" s="55">
        <f t="shared" ca="1" si="1"/>
        <v>309.3995361328125</v>
      </c>
      <c r="D17" s="3">
        <f t="shared" ca="1" si="4"/>
        <v>51.6004638671875</v>
      </c>
      <c r="E17" s="3">
        <f t="shared" ca="1" si="5"/>
        <v>51.6004638671875</v>
      </c>
      <c r="F17" s="3">
        <f ca="1">AVERAGE($E$4:E17)</f>
        <v>34.681440080915181</v>
      </c>
      <c r="G17">
        <f t="shared" ca="1" si="6"/>
        <v>330.81196075043124</v>
      </c>
      <c r="H17" s="49">
        <f t="shared" ca="1" si="7"/>
        <v>25.80118860021814</v>
      </c>
      <c r="I17" s="49">
        <f t="shared" ca="1" si="2"/>
        <v>356.61314935064939</v>
      </c>
      <c r="J17" s="47">
        <f t="shared" ca="1" si="0"/>
        <v>4.3868506493506061</v>
      </c>
      <c r="K17" s="47">
        <f t="shared" ca="1" si="3"/>
        <v>4.3868506493506061</v>
      </c>
      <c r="L17" s="48">
        <f ca="1">AVERAGE($K$3:K17)</f>
        <v>9.8852534517890902</v>
      </c>
      <c r="M17" s="48">
        <f ca="1">SUM(J$3:J17)/L17</f>
        <v>1.9283551899611318</v>
      </c>
      <c r="N17" s="56">
        <f ca="1">L23</f>
        <v>13.241914532342358</v>
      </c>
      <c r="O17">
        <v>0</v>
      </c>
      <c r="P17">
        <v>0.1</v>
      </c>
      <c r="Q17">
        <v>0.2</v>
      </c>
      <c r="R17">
        <v>0.3</v>
      </c>
      <c r="S17">
        <v>0.4</v>
      </c>
      <c r="T17">
        <v>0.5</v>
      </c>
      <c r="U17">
        <v>0.6</v>
      </c>
      <c r="V17">
        <v>0.7</v>
      </c>
      <c r="W17">
        <v>0.8</v>
      </c>
      <c r="X17">
        <v>0.9</v>
      </c>
      <c r="Y17">
        <v>1</v>
      </c>
    </row>
    <row r="18" spans="1:26" x14ac:dyDescent="0.2">
      <c r="A18" s="8">
        <f>ArdiData!A18</f>
        <v>16</v>
      </c>
      <c r="B18" s="49">
        <f ca="1">ROUND(ArdiData!C18/10,0)</f>
        <v>301</v>
      </c>
      <c r="C18" s="55">
        <f t="shared" ca="1" si="1"/>
        <v>335.19976806640625</v>
      </c>
      <c r="D18" s="3">
        <f t="shared" ca="1" si="4"/>
        <v>-34.19976806640625</v>
      </c>
      <c r="E18" s="3">
        <f t="shared" ca="1" si="5"/>
        <v>34.19976806640625</v>
      </c>
      <c r="F18" s="3">
        <f ca="1">AVERAGE($E$4:E18)</f>
        <v>34.649328613281249</v>
      </c>
      <c r="G18">
        <f t="shared" ca="1" si="6"/>
        <v>358.80657467532467</v>
      </c>
      <c r="H18" s="49">
        <f t="shared" ca="1" si="7"/>
        <v>-17.09940569989093</v>
      </c>
      <c r="I18" s="49">
        <f t="shared" ca="1" si="2"/>
        <v>341.70716897543372</v>
      </c>
      <c r="J18" s="47">
        <f t="shared" ca="1" si="0"/>
        <v>-40.707168975433717</v>
      </c>
      <c r="K18" s="47">
        <f t="shared" ca="1" si="3"/>
        <v>40.707168975433717</v>
      </c>
      <c r="L18" s="48">
        <f ca="1">AVERAGE($K$3:K18)</f>
        <v>11.81162317201688</v>
      </c>
      <c r="M18" s="48">
        <f ca="1">SUM(J$3:J18)/L18</f>
        <v>-1.8325075954737799</v>
      </c>
      <c r="N18">
        <v>0</v>
      </c>
      <c r="O18">
        <f t="dataTable" ref="O18:Y28" dt2D="1" dtr="1" r1="P2" r2="P1" ca="1"/>
        <v>23.120098948670403</v>
      </c>
      <c r="P18">
        <v>16.051016584976736</v>
      </c>
      <c r="Q18">
        <v>13.547894319665183</v>
      </c>
      <c r="R18">
        <v>19.050403518184662</v>
      </c>
      <c r="S18">
        <v>40.351504936396474</v>
      </c>
      <c r="T18">
        <v>27.854905021237279</v>
      </c>
      <c r="U18">
        <v>29.308310848211075</v>
      </c>
      <c r="V18">
        <v>24.318641819892047</v>
      </c>
      <c r="W18">
        <v>22.358084021093305</v>
      </c>
      <c r="X18">
        <v>10.179934662946213</v>
      </c>
      <c r="Y18">
        <v>10.580086580086585</v>
      </c>
    </row>
    <row r="19" spans="1:26" x14ac:dyDescent="0.2">
      <c r="A19" s="8">
        <f>ArdiData!A19</f>
        <v>17</v>
      </c>
      <c r="B19" s="49">
        <f ca="1">ROUND(ArdiData!C19/10,0)</f>
        <v>360</v>
      </c>
      <c r="C19" s="55">
        <f t="shared" ca="1" si="1"/>
        <v>318.09988403320312</v>
      </c>
      <c r="D19" s="3">
        <f t="shared" ca="1" si="4"/>
        <v>41.900115966796875</v>
      </c>
      <c r="E19" s="3">
        <f t="shared" ca="1" si="5"/>
        <v>41.900115966796875</v>
      </c>
      <c r="F19" s="3">
        <f ca="1">AVERAGE($E$4:E19)</f>
        <v>35.102502822875977</v>
      </c>
      <c r="G19">
        <f t="shared" ca="1" si="6"/>
        <v>321.35358448771683</v>
      </c>
      <c r="H19" s="49">
        <f t="shared" ca="1" si="7"/>
        <v>20.950297150054535</v>
      </c>
      <c r="I19" s="49">
        <f t="shared" ca="1" si="2"/>
        <v>342.30388163777138</v>
      </c>
      <c r="J19" s="47">
        <f t="shared" ca="1" si="0"/>
        <v>17.696118362228617</v>
      </c>
      <c r="K19" s="47">
        <f t="shared" ca="1" si="3"/>
        <v>17.696118362228617</v>
      </c>
      <c r="L19" s="48">
        <f ca="1">AVERAGE($K$3:K19)</f>
        <v>12.157769947911689</v>
      </c>
      <c r="M19" s="48">
        <f ca="1">SUM(J$3:J19)/L19</f>
        <v>-0.32479400681904552</v>
      </c>
      <c r="N19">
        <v>0.1</v>
      </c>
      <c r="O19">
        <v>15.279922106768069</v>
      </c>
      <c r="P19">
        <v>24.719869970875795</v>
      </c>
      <c r="Q19">
        <v>16.038826213819636</v>
      </c>
      <c r="R19">
        <v>13.162867991887454</v>
      </c>
      <c r="S19">
        <v>12.767423486239924</v>
      </c>
      <c r="T19">
        <v>9.7202444232082907</v>
      </c>
      <c r="U19">
        <v>18.508399409589128</v>
      </c>
      <c r="V19">
        <v>12.10684388506813</v>
      </c>
      <c r="W19">
        <v>10.228426572222672</v>
      </c>
      <c r="X19">
        <v>8.3467758342037861</v>
      </c>
      <c r="Y19">
        <v>2.4600671089749708</v>
      </c>
    </row>
    <row r="20" spans="1:26" x14ac:dyDescent="0.2">
      <c r="A20" s="8">
        <f>ArdiData!A20</f>
        <v>18</v>
      </c>
      <c r="B20" s="49">
        <f ca="1">ROUND(ArdiData!C20/10,0)</f>
        <v>385</v>
      </c>
      <c r="C20" s="55">
        <f t="shared" ca="1" si="1"/>
        <v>339.04994201660156</v>
      </c>
      <c r="D20" s="3">
        <f t="shared" ca="1" si="4"/>
        <v>45.950057983398438</v>
      </c>
      <c r="E20" s="3">
        <f t="shared" ca="1" si="5"/>
        <v>45.950057983398438</v>
      </c>
      <c r="F20" s="3">
        <f ca="1">AVERAGE($E$4:E20)</f>
        <v>35.740594302906707</v>
      </c>
      <c r="G20">
        <f t="shared" ca="1" si="6"/>
        <v>351.15194081888569</v>
      </c>
      <c r="H20" s="49">
        <f t="shared" ca="1" si="7"/>
        <v>22.975148575027269</v>
      </c>
      <c r="I20" s="49">
        <f t="shared" ca="1" si="2"/>
        <v>374.12708939391297</v>
      </c>
      <c r="J20" s="47">
        <f t="shared" ca="1" si="0"/>
        <v>10.872910606087032</v>
      </c>
      <c r="K20" s="47">
        <f t="shared" ca="1" si="3"/>
        <v>10.872910606087032</v>
      </c>
      <c r="L20" s="48">
        <f ca="1">AVERAGE($K$3:K20)</f>
        <v>12.086388873365873</v>
      </c>
      <c r="M20" s="48">
        <f ca="1">SUM(J$3:J20)/L20</f>
        <v>0.57288739120242704</v>
      </c>
      <c r="N20">
        <v>0.2</v>
      </c>
      <c r="O20">
        <v>21.948582248486144</v>
      </c>
      <c r="P20">
        <v>20.27027934984535</v>
      </c>
      <c r="Q20">
        <v>18.558785227548576</v>
      </c>
      <c r="R20">
        <v>20.087600947067777</v>
      </c>
      <c r="S20">
        <v>24.268132008809317</v>
      </c>
      <c r="T20">
        <v>14.160287647566964</v>
      </c>
      <c r="U20">
        <v>10.411702952463203</v>
      </c>
      <c r="V20">
        <v>10.407354683429162</v>
      </c>
      <c r="W20">
        <v>5.3850070090813231</v>
      </c>
      <c r="X20">
        <v>6.7385643639138078</v>
      </c>
      <c r="Y20">
        <v>2.0659050900530636</v>
      </c>
    </row>
    <row r="21" spans="1:26" x14ac:dyDescent="0.2">
      <c r="A21" s="8">
        <f>ArdiData!A21</f>
        <v>19</v>
      </c>
      <c r="B21" s="49">
        <f ca="1">ROUND(ArdiData!C21/10,0)</f>
        <v>365</v>
      </c>
      <c r="C21" s="55">
        <f t="shared" ca="1" si="1"/>
        <v>362.02497100830078</v>
      </c>
      <c r="D21" s="3">
        <f t="shared" ca="1" si="4"/>
        <v>2.9750289916992187</v>
      </c>
      <c r="E21" s="3">
        <f t="shared" ca="1" si="5"/>
        <v>2.9750289916992187</v>
      </c>
      <c r="F21" s="3">
        <f ca="1">AVERAGE($E$4:E21)</f>
        <v>33.920285118950737</v>
      </c>
      <c r="G21">
        <f t="shared" ca="1" si="6"/>
        <v>379.56354469695646</v>
      </c>
      <c r="H21" s="49">
        <f t="shared" ca="1" si="7"/>
        <v>1.4875742875136346</v>
      </c>
      <c r="I21" s="49">
        <f t="shared" ca="1" si="2"/>
        <v>381.05111898447007</v>
      </c>
      <c r="J21" s="47">
        <f t="shared" ca="1" si="0"/>
        <v>-16.051118984470065</v>
      </c>
      <c r="K21" s="47">
        <f t="shared" ca="1" si="3"/>
        <v>16.051118984470065</v>
      </c>
      <c r="L21" s="48">
        <f ca="1">AVERAGE($K$3:K21)</f>
        <v>12.295058879213462</v>
      </c>
      <c r="M21" s="48">
        <f ca="1">SUM(J$3:J21)/L21</f>
        <v>-0.74232903505487879</v>
      </c>
      <c r="N21">
        <v>0.3</v>
      </c>
      <c r="O21">
        <v>17.818267005367577</v>
      </c>
      <c r="P21">
        <v>27.081184734632622</v>
      </c>
      <c r="Q21">
        <v>28.822280754448531</v>
      </c>
      <c r="R21">
        <v>23.024712993549219</v>
      </c>
      <c r="S21">
        <v>20.43212569910613</v>
      </c>
      <c r="T21">
        <v>14.28290379011152</v>
      </c>
      <c r="U21">
        <v>13.803275523804396</v>
      </c>
      <c r="V21">
        <v>12.132169888886112</v>
      </c>
      <c r="W21">
        <v>11.286348378297694</v>
      </c>
      <c r="X21">
        <v>3.8124064377293498</v>
      </c>
      <c r="Y21">
        <v>3.233951630265917</v>
      </c>
    </row>
    <row r="22" spans="1:26" x14ac:dyDescent="0.2">
      <c r="A22" s="8">
        <f>ArdiData!A22</f>
        <v>20</v>
      </c>
      <c r="B22" s="49">
        <f ca="1">ROUND(ArdiData!C22/10,0)</f>
        <v>412</v>
      </c>
      <c r="C22" s="55">
        <f t="shared" ca="1" si="1"/>
        <v>363.51248550415039</v>
      </c>
      <c r="D22" s="3">
        <f t="shared" ca="1" si="4"/>
        <v>48.487514495849609</v>
      </c>
      <c r="E22" s="3">
        <f t="shared" ca="1" si="5"/>
        <v>48.487514495849609</v>
      </c>
      <c r="F22" s="3">
        <f ca="1">AVERAGE($E$4:E22)</f>
        <v>34.686981401945417</v>
      </c>
      <c r="G22">
        <f t="shared" ca="1" si="6"/>
        <v>373.02555949223506</v>
      </c>
      <c r="H22" s="49">
        <f t="shared" ca="1" si="7"/>
        <v>24.243787143756819</v>
      </c>
      <c r="I22" s="49">
        <f t="shared" ca="1" si="2"/>
        <v>397.26934663599189</v>
      </c>
      <c r="J22" s="47">
        <f t="shared" ca="1" si="0"/>
        <v>14.730653364008106</v>
      </c>
      <c r="K22" s="47">
        <f t="shared" ca="1" si="3"/>
        <v>14.730653364008106</v>
      </c>
      <c r="L22" s="48">
        <f ca="1">AVERAGE($K$3:K22)</f>
        <v>12.416838603453195</v>
      </c>
      <c r="M22" s="48">
        <f ca="1">SUM(J$3:J22)/L22</f>
        <v>0.4512963685217139</v>
      </c>
      <c r="N22">
        <v>0.4</v>
      </c>
      <c r="O22">
        <v>25.821886517855233</v>
      </c>
      <c r="P22">
        <v>30.121355282533667</v>
      </c>
      <c r="Q22">
        <v>12.784553162921565</v>
      </c>
      <c r="R22">
        <v>21.41345760319037</v>
      </c>
      <c r="S22">
        <v>24.152201264184413</v>
      </c>
      <c r="T22">
        <v>11.545992356613729</v>
      </c>
      <c r="U22">
        <v>8.5567824465971878</v>
      </c>
      <c r="V22">
        <v>8.4395182256408781</v>
      </c>
      <c r="W22">
        <v>10.107285174701989</v>
      </c>
      <c r="X22">
        <v>6.564396153067217</v>
      </c>
      <c r="Y22">
        <v>0.80342496407645703</v>
      </c>
    </row>
    <row r="23" spans="1:26" x14ac:dyDescent="0.2">
      <c r="A23" s="8">
        <f>ArdiData!A23</f>
        <v>21</v>
      </c>
      <c r="B23" s="49">
        <f ca="1">ROUND(ArdiData!C23/10,0)</f>
        <v>481</v>
      </c>
      <c r="C23" s="55">
        <f t="shared" ca="1" si="1"/>
        <v>387.7562427520752</v>
      </c>
      <c r="D23" s="3">
        <f t="shared" ca="1" si="4"/>
        <v>93.243757247924805</v>
      </c>
      <c r="E23" s="3">
        <f t="shared" ca="1" si="5"/>
        <v>93.243757247924805</v>
      </c>
      <c r="F23" s="59">
        <f ca="1">AVERAGE($E$4:E23)</f>
        <v>37.614820194244388</v>
      </c>
      <c r="G23">
        <f t="shared" ca="1" si="6"/>
        <v>404.63467331799598</v>
      </c>
      <c r="H23" s="49">
        <f t="shared" ca="1" si="7"/>
        <v>46.62189357187841</v>
      </c>
      <c r="I23" s="49">
        <f t="shared" ca="1" si="2"/>
        <v>451.25656688987436</v>
      </c>
      <c r="J23" s="47">
        <f t="shared" ca="1" si="0"/>
        <v>29.743433110125636</v>
      </c>
      <c r="K23" s="47">
        <f t="shared" ca="1" si="3"/>
        <v>29.743433110125636</v>
      </c>
      <c r="L23" s="48">
        <f ca="1">AVERAGE($K$3:K23)</f>
        <v>13.241914532342358</v>
      </c>
      <c r="M23" s="48">
        <f ca="1">SUM(J$3:J23)/L23</f>
        <v>2.6693351021147058</v>
      </c>
      <c r="N23">
        <v>0.5</v>
      </c>
      <c r="O23">
        <v>26.645377540588377</v>
      </c>
      <c r="P23">
        <v>20.031867817582164</v>
      </c>
      <c r="Q23">
        <v>24.741322634298761</v>
      </c>
      <c r="R23">
        <v>19.55304308733206</v>
      </c>
      <c r="S23">
        <v>14.510698400143204</v>
      </c>
      <c r="T23">
        <v>10.223684921728607</v>
      </c>
      <c r="U23">
        <v>14.455168713755544</v>
      </c>
      <c r="V23">
        <v>11.445221468723719</v>
      </c>
      <c r="W23">
        <v>6.4727143902405695</v>
      </c>
      <c r="X23">
        <v>4.6177785927106445</v>
      </c>
      <c r="Y23">
        <v>3.2702519965894332</v>
      </c>
    </row>
    <row r="24" spans="1:26" x14ac:dyDescent="0.2">
      <c r="N24">
        <v>0.6</v>
      </c>
      <c r="O24">
        <v>16.003560273586864</v>
      </c>
      <c r="P24">
        <v>45.651196072019374</v>
      </c>
      <c r="Q24">
        <v>20.998470421636732</v>
      </c>
      <c r="R24">
        <v>27.713300523241408</v>
      </c>
      <c r="S24">
        <v>19.938763242539792</v>
      </c>
      <c r="T24">
        <v>11.055770949301509</v>
      </c>
      <c r="U24">
        <v>16.540166736279499</v>
      </c>
      <c r="V24">
        <v>11.439869954341924</v>
      </c>
      <c r="W24">
        <v>7.9859777694694261</v>
      </c>
      <c r="X24">
        <v>5.3612358249692607</v>
      </c>
      <c r="Y24">
        <v>0.80086579734356111</v>
      </c>
    </row>
    <row r="25" spans="1:26" x14ac:dyDescent="0.2">
      <c r="N25">
        <v>0.7</v>
      </c>
      <c r="O25">
        <v>24.313932902816543</v>
      </c>
      <c r="P25">
        <v>32.497820138566567</v>
      </c>
      <c r="Q25">
        <v>27.934855819337578</v>
      </c>
      <c r="R25">
        <v>13.429550233033968</v>
      </c>
      <c r="S25">
        <v>24.482624299698283</v>
      </c>
      <c r="T25">
        <v>8.1888909692771534</v>
      </c>
      <c r="U25">
        <v>19.076895110211556</v>
      </c>
      <c r="V25">
        <v>7.1485373680663837</v>
      </c>
      <c r="W25">
        <v>12.647321665732202</v>
      </c>
      <c r="X25">
        <v>5.86530861220327</v>
      </c>
      <c r="Y25">
        <v>0.96239361544476698</v>
      </c>
    </row>
    <row r="26" spans="1:26" x14ac:dyDescent="0.2">
      <c r="N26">
        <v>0.8</v>
      </c>
      <c r="O26">
        <v>35.550154830994948</v>
      </c>
      <c r="P26">
        <v>19.895143354537453</v>
      </c>
      <c r="Q26">
        <v>20.249855848828872</v>
      </c>
      <c r="R26">
        <v>26.613361412978726</v>
      </c>
      <c r="S26">
        <v>19.608452181305136</v>
      </c>
      <c r="T26">
        <v>17.571239918134477</v>
      </c>
      <c r="U26">
        <v>11.842768328657439</v>
      </c>
      <c r="V26">
        <v>12.028271591019418</v>
      </c>
      <c r="W26">
        <v>8.4491074526285868</v>
      </c>
      <c r="X26">
        <v>4.4289518036688715</v>
      </c>
      <c r="Y26">
        <v>0.47464440321582491</v>
      </c>
    </row>
    <row r="27" spans="1:26" x14ac:dyDescent="0.2">
      <c r="N27">
        <v>0.9</v>
      </c>
      <c r="O27">
        <v>44.202042701712607</v>
      </c>
      <c r="P27">
        <v>18.33051965113653</v>
      </c>
      <c r="Q27">
        <v>28.930579980938145</v>
      </c>
      <c r="R27">
        <v>27.552078966517303</v>
      </c>
      <c r="S27">
        <v>18.356862666438818</v>
      </c>
      <c r="T27">
        <v>15.912212767619446</v>
      </c>
      <c r="U27">
        <v>22.621389471167308</v>
      </c>
      <c r="V27">
        <v>10.451183775140755</v>
      </c>
      <c r="W27">
        <v>8.8167533840247962</v>
      </c>
      <c r="X27">
        <v>6.9018466838135248</v>
      </c>
      <c r="Y27">
        <v>0.42373851897661058</v>
      </c>
    </row>
    <row r="28" spans="1:26" x14ac:dyDescent="0.2">
      <c r="C28" s="58" t="s">
        <v>34</v>
      </c>
      <c r="N28">
        <v>1</v>
      </c>
      <c r="O28">
        <v>25.843537414965983</v>
      </c>
      <c r="P28">
        <v>43.735287738509768</v>
      </c>
      <c r="Q28">
        <v>26.087166659186384</v>
      </c>
      <c r="R28">
        <v>16.857517656172782</v>
      </c>
      <c r="S28">
        <v>27.08922878290117</v>
      </c>
      <c r="T28">
        <v>24.930285310479835</v>
      </c>
      <c r="U28">
        <v>22.814232050280786</v>
      </c>
      <c r="V28">
        <v>12.040467107971969</v>
      </c>
      <c r="W28">
        <v>10.839854747116306</v>
      </c>
      <c r="X28">
        <v>4.9057152126025763</v>
      </c>
      <c r="Y28">
        <v>0.58833230261801694</v>
      </c>
    </row>
    <row r="29" spans="1:26" x14ac:dyDescent="0.2">
      <c r="Z29" s="57">
        <f>MIN(O18:Y28)</f>
        <v>0.42373851897661058</v>
      </c>
    </row>
    <row r="30" spans="1:26" x14ac:dyDescent="0.2">
      <c r="G30" s="58" t="s">
        <v>33</v>
      </c>
    </row>
    <row r="31" spans="1:26" x14ac:dyDescent="0.2">
      <c r="G31">
        <v>963.15548157519095</v>
      </c>
    </row>
    <row r="32" spans="1:26" x14ac:dyDescent="0.2">
      <c r="G32">
        <v>1493.3384644848786</v>
      </c>
    </row>
    <row r="33" spans="7:7" x14ac:dyDescent="0.2">
      <c r="G33">
        <v>1264.8332605620974</v>
      </c>
    </row>
    <row r="34" spans="7:7" x14ac:dyDescent="0.2">
      <c r="G34">
        <v>1191.8832101847142</v>
      </c>
    </row>
    <row r="35" spans="7:7" x14ac:dyDescent="0.2">
      <c r="G35">
        <v>1697.9527967726167</v>
      </c>
    </row>
    <row r="36" spans="7:7" x14ac:dyDescent="0.2">
      <c r="G36">
        <v>1509.8728747997</v>
      </c>
    </row>
    <row r="37" spans="7:7" x14ac:dyDescent="0.2">
      <c r="G37">
        <v>1332.1230954034852</v>
      </c>
    </row>
    <row r="38" spans="7:7" x14ac:dyDescent="0.2">
      <c r="G38">
        <v>1425.4365999529061</v>
      </c>
    </row>
    <row r="39" spans="7:7" x14ac:dyDescent="0.2">
      <c r="G39">
        <v>1458.1009054435947</v>
      </c>
    </row>
    <row r="40" spans="7:7" x14ac:dyDescent="0.2">
      <c r="G40">
        <v>1743.5313252612307</v>
      </c>
    </row>
    <row r="41" spans="7:7" x14ac:dyDescent="0.2">
      <c r="G41">
        <v>1531.7976010456621</v>
      </c>
    </row>
    <row r="42" spans="7:7" x14ac:dyDescent="0.2">
      <c r="G42">
        <v>2044.3582999968971</v>
      </c>
    </row>
    <row r="43" spans="7:7" x14ac:dyDescent="0.2">
      <c r="G43">
        <v>1703.4172980150627</v>
      </c>
    </row>
    <row r="44" spans="7:7" x14ac:dyDescent="0.2">
      <c r="G44">
        <v>2298.0240716391145</v>
      </c>
    </row>
    <row r="45" spans="7:7" x14ac:dyDescent="0.2">
      <c r="G45">
        <v>2421.4191904794839</v>
      </c>
    </row>
    <row r="46" spans="7:7" x14ac:dyDescent="0.2">
      <c r="G46">
        <v>1873.4439960140373</v>
      </c>
    </row>
    <row r="47" spans="7:7" x14ac:dyDescent="0.2">
      <c r="G47">
        <v>1902.2676412916496</v>
      </c>
    </row>
    <row r="48" spans="7:7" x14ac:dyDescent="0.2">
      <c r="G48">
        <v>1954.6003960807061</v>
      </c>
    </row>
    <row r="49" spans="7:7" x14ac:dyDescent="0.2">
      <c r="G49">
        <v>2350.5232634011691</v>
      </c>
    </row>
    <row r="50" spans="7:7" x14ac:dyDescent="0.2">
      <c r="G50">
        <v>2377.6825272441906</v>
      </c>
    </row>
    <row r="51" spans="7:7" x14ac:dyDescent="0.2">
      <c r="G51">
        <v>3067.1892163631896</v>
      </c>
    </row>
  </sheetData>
  <conditionalFormatting sqref="N6:N15 N18:N28">
    <cfRule type="expression" dxfId="3" priority="4">
      <formula>$O5=$O$16</formula>
    </cfRule>
  </conditionalFormatting>
  <conditionalFormatting sqref="O6:O15">
    <cfRule type="cellIs" dxfId="2" priority="3" operator="equal">
      <formula>$Y$16</formula>
    </cfRule>
  </conditionalFormatting>
  <conditionalFormatting sqref="O18:Y28">
    <cfRule type="cellIs" dxfId="1" priority="2" operator="equal">
      <formula>$Z$29</formula>
    </cfRule>
  </conditionalFormatting>
  <conditionalFormatting sqref="O5:O15">
    <cfRule type="cellIs" dxfId="0" priority="5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ArdiData</vt:lpstr>
      <vt:lpstr>Set2ESTR</vt:lpstr>
      <vt:lpstr>ESTAES</vt:lpstr>
    </vt:vector>
  </TitlesOfParts>
  <Company>WLU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 Keller</dc:creator>
  <cp:lastModifiedBy>Asef-Vaziri, Ardavan</cp:lastModifiedBy>
  <dcterms:created xsi:type="dcterms:W3CDTF">2000-06-19T14:08:17Z</dcterms:created>
  <dcterms:modified xsi:type="dcterms:W3CDTF">2017-02-09T02:31:21Z</dcterms:modified>
</cp:coreProperties>
</file>