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ink/ink1.xml" ContentType="application/inkml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Adv-2020\"/>
    </mc:Choice>
  </mc:AlternateContent>
  <xr:revisionPtr revIDLastSave="0" documentId="8_{845A8AFB-3B44-4A44-B31F-82C49B184EF4}" xr6:coauthVersionLast="45" xr6:coauthVersionMax="45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0.ArdiData28Fixed" sheetId="24" r:id="rId1"/>
    <sheet name="Stationary" sheetId="31" r:id="rId2"/>
    <sheet name="Trend" sheetId="33" r:id="rId3"/>
    <sheet name="TrendAdj" sheetId="32" r:id="rId4"/>
    <sheet name="TrendAndSeas" sheetId="34" r:id="rId5"/>
    <sheet name="1.Trend&amp;Season" sheetId="17" r:id="rId6"/>
    <sheet name="0.Regression" sheetId="11" r:id="rId7"/>
    <sheet name="TrAdES" sheetId="14" r:id="rId8"/>
    <sheet name="TrAdES2" sheetId="15" r:id="rId9"/>
    <sheet name="Sheet1" sheetId="18" r:id="rId10"/>
  </sheets>
  <externalReferences>
    <externalReference r:id="rId11"/>
    <externalReference r:id="rId12"/>
  </externalReferences>
  <definedNames>
    <definedName name="solver_adj" localSheetId="6" hidden="1">'0.Regression'!$M$20:$M$21</definedName>
    <definedName name="solver_adj" localSheetId="1" hidden="1">Stationary!$K$1</definedName>
    <definedName name="solver_adj" localSheetId="7" hidden="1">TrAdES!$N$1:$N$2</definedName>
    <definedName name="solver_adj" localSheetId="8" hidden="1">TrAdES2!$P$1:$P$2</definedName>
    <definedName name="solver_adj" localSheetId="2" hidden="1">Trend!$K$1</definedName>
    <definedName name="solver_adj" localSheetId="3" hidden="1">TrendAdj!$H$1,TrendAdj!$J$1</definedName>
    <definedName name="solver_adj" localSheetId="4" hidden="1">TrendAndSeas!$I$1,TrendAndSeas!$K$1</definedName>
    <definedName name="solver_cvg" localSheetId="6" hidden="1">0.0001</definedName>
    <definedName name="solver_cvg" localSheetId="1" hidden="1">0.0001</definedName>
    <definedName name="solver_cvg" localSheetId="7" hidden="1">0.0001</definedName>
    <definedName name="solver_cvg" localSheetId="8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6" hidden="1">2</definedName>
    <definedName name="solver_drv" localSheetId="1" hidden="1">1</definedName>
    <definedName name="solver_drv" localSheetId="7" hidden="1">1</definedName>
    <definedName name="solver_drv" localSheetId="8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eng" localSheetId="6" hidden="1">1</definedName>
    <definedName name="solver_eng" localSheetId="1" hidden="1">1</definedName>
    <definedName name="solver_eng" localSheetId="7" hidden="1">1</definedName>
    <definedName name="solver_eng" localSheetId="8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6" hidden="1">1</definedName>
    <definedName name="solver_est" localSheetId="1" hidden="1">1</definedName>
    <definedName name="solver_est" localSheetId="7" hidden="1">1</definedName>
    <definedName name="solver_est" localSheetId="8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6" hidden="1">2147483647</definedName>
    <definedName name="solver_itr" localSheetId="1" hidden="1">2147483647</definedName>
    <definedName name="solver_itr" localSheetId="7" hidden="1">2147483647</definedName>
    <definedName name="solver_itr" localSheetId="8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7" hidden="1">TrAdES!$N$1</definedName>
    <definedName name="solver_lhs1" localSheetId="8" hidden="1">TrAdES2!$P$1</definedName>
    <definedName name="solver_lhs1" localSheetId="3" hidden="1">TrendAdj!$H$1</definedName>
    <definedName name="solver_lhs1" localSheetId="4" hidden="1">TrendAndSeas!$I$1</definedName>
    <definedName name="solver_lhs2" localSheetId="7" hidden="1">TrAdES!$N$1</definedName>
    <definedName name="solver_lhs2" localSheetId="8" hidden="1">TrAdES2!$P$1</definedName>
    <definedName name="solver_lhs2" localSheetId="3" hidden="1">TrendAdj!$H$1</definedName>
    <definedName name="solver_lhs2" localSheetId="4" hidden="1">TrendAndSeas!$I$1</definedName>
    <definedName name="solver_lhs3" localSheetId="3" hidden="1">TrendAdj!$J$1</definedName>
    <definedName name="solver_lhs3" localSheetId="4" hidden="1">TrendAndSeas!$K$1</definedName>
    <definedName name="solver_lhs4" localSheetId="3" hidden="1">TrendAdj!$J$1</definedName>
    <definedName name="solver_lhs4" localSheetId="4" hidden="1">TrendAndSeas!$K$1</definedName>
    <definedName name="solver_mip" localSheetId="6" hidden="1">2147483647</definedName>
    <definedName name="solver_mip" localSheetId="1" hidden="1">2147483647</definedName>
    <definedName name="solver_mip" localSheetId="7" hidden="1">2147483647</definedName>
    <definedName name="solver_mip" localSheetId="8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6" hidden="1">30</definedName>
    <definedName name="solver_mni" localSheetId="1" hidden="1">30</definedName>
    <definedName name="solver_mni" localSheetId="7" hidden="1">30</definedName>
    <definedName name="solver_mni" localSheetId="8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6" hidden="1">0.075</definedName>
    <definedName name="solver_mrt" localSheetId="1" hidden="1">0.075</definedName>
    <definedName name="solver_mrt" localSheetId="7" hidden="1">0.075</definedName>
    <definedName name="solver_mrt" localSheetId="8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6" hidden="1">2</definedName>
    <definedName name="solver_msl" localSheetId="1" hidden="1">2</definedName>
    <definedName name="solver_msl" localSheetId="7" hidden="1">2</definedName>
    <definedName name="solver_msl" localSheetId="8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6" hidden="1">1</definedName>
    <definedName name="solver_neg" localSheetId="1" hidden="1">1</definedName>
    <definedName name="solver_neg" localSheetId="7" hidden="1">1</definedName>
    <definedName name="solver_neg" localSheetId="8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6" hidden="1">2147483647</definedName>
    <definedName name="solver_nod" localSheetId="1" hidden="1">2147483647</definedName>
    <definedName name="solver_nod" localSheetId="7" hidden="1">2147483647</definedName>
    <definedName name="solver_nod" localSheetId="8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6" hidden="1">0</definedName>
    <definedName name="solver_num" localSheetId="1" hidden="1">0</definedName>
    <definedName name="solver_num" localSheetId="7" hidden="1">0</definedName>
    <definedName name="solver_num" localSheetId="8" hidden="1">0</definedName>
    <definedName name="solver_num" localSheetId="2" hidden="1">0</definedName>
    <definedName name="solver_num" localSheetId="3" hidden="1">4</definedName>
    <definedName name="solver_num" localSheetId="4" hidden="1">4</definedName>
    <definedName name="solver_nwt" localSheetId="6" hidden="1">1</definedName>
    <definedName name="solver_nwt" localSheetId="1" hidden="1">1</definedName>
    <definedName name="solver_nwt" localSheetId="7" hidden="1">1</definedName>
    <definedName name="solver_nwt" localSheetId="8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6" hidden="1">'0.Regression'!$M$22</definedName>
    <definedName name="solver_opt" localSheetId="1" hidden="1">Stationary!$J$30</definedName>
    <definedName name="solver_opt" localSheetId="7" hidden="1">TrAdES!$M$5</definedName>
    <definedName name="solver_opt" localSheetId="8" hidden="1">TrAdES2!$O$4</definedName>
    <definedName name="solver_opt" localSheetId="2" hidden="1">Trend!$J$30</definedName>
    <definedName name="solver_opt" localSheetId="3" hidden="1">TrendAdj!$G$31</definedName>
    <definedName name="solver_opt" localSheetId="4" hidden="1">TrendAndSeas!$H$31</definedName>
    <definedName name="solver_pre" localSheetId="6" hidden="1">0.000001</definedName>
    <definedName name="solver_pre" localSheetId="1" hidden="1">0.000001</definedName>
    <definedName name="solver_pre" localSheetId="7" hidden="1">0.000001</definedName>
    <definedName name="solver_pre" localSheetId="8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6" hidden="1">2</definedName>
    <definedName name="solver_rbv" localSheetId="1" hidden="1">1</definedName>
    <definedName name="solver_rbv" localSheetId="7" hidden="1">1</definedName>
    <definedName name="solver_rbv" localSheetId="8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el1" localSheetId="7" hidden="1">1</definedName>
    <definedName name="solver_rel1" localSheetId="8" hidden="1">1</definedName>
    <definedName name="solver_rel1" localSheetId="3" hidden="1">1</definedName>
    <definedName name="solver_rel1" localSheetId="4" hidden="1">1</definedName>
    <definedName name="solver_rel2" localSheetId="7" hidden="1">3</definedName>
    <definedName name="solver_rel2" localSheetId="8" hidden="1">3</definedName>
    <definedName name="solver_rel2" localSheetId="3" hidden="1">3</definedName>
    <definedName name="solver_rel2" localSheetId="4" hidden="1">3</definedName>
    <definedName name="solver_rel3" localSheetId="3" hidden="1">1</definedName>
    <definedName name="solver_rel3" localSheetId="4" hidden="1">1</definedName>
    <definedName name="solver_rel4" localSheetId="3" hidden="1">3</definedName>
    <definedName name="solver_rel4" localSheetId="4" hidden="1">3</definedName>
    <definedName name="solver_rhs1" localSheetId="7" hidden="1">1</definedName>
    <definedName name="solver_rhs1" localSheetId="8" hidden="1">1</definedName>
    <definedName name="solver_rhs1" localSheetId="3" hidden="1">1</definedName>
    <definedName name="solver_rhs1" localSheetId="4" hidden="1">1</definedName>
    <definedName name="solver_rhs2" localSheetId="7" hidden="1">0</definedName>
    <definedName name="solver_rhs2" localSheetId="8" hidden="1">0</definedName>
    <definedName name="solver_rhs2" localSheetId="3" hidden="1">0</definedName>
    <definedName name="solver_rhs2" localSheetId="4" hidden="1">0</definedName>
    <definedName name="solver_rhs3" localSheetId="3" hidden="1">1</definedName>
    <definedName name="solver_rhs3" localSheetId="4" hidden="1">1</definedName>
    <definedName name="solver_rhs4" localSheetId="3" hidden="1">0</definedName>
    <definedName name="solver_rhs4" localSheetId="4" hidden="1">0</definedName>
    <definedName name="solver_rlx" localSheetId="6" hidden="1">2</definedName>
    <definedName name="solver_rlx" localSheetId="1" hidden="1">2</definedName>
    <definedName name="solver_rlx" localSheetId="7" hidden="1">2</definedName>
    <definedName name="solver_rlx" localSheetId="8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6" hidden="1">0</definedName>
    <definedName name="solver_rsd" localSheetId="1" hidden="1">0</definedName>
    <definedName name="solver_rsd" localSheetId="7" hidden="1">0</definedName>
    <definedName name="solver_rsd" localSheetId="8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6" hidden="1">2</definedName>
    <definedName name="solver_scl" localSheetId="1" hidden="1">1</definedName>
    <definedName name="solver_scl" localSheetId="7" hidden="1">1</definedName>
    <definedName name="solver_scl" localSheetId="8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ho" localSheetId="6" hidden="1">2</definedName>
    <definedName name="solver_sho" localSheetId="1" hidden="1">2</definedName>
    <definedName name="solver_sho" localSheetId="7" hidden="1">2</definedName>
    <definedName name="solver_sho" localSheetId="8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6" hidden="1">100</definedName>
    <definedName name="solver_ssz" localSheetId="1" hidden="1">100</definedName>
    <definedName name="solver_ssz" localSheetId="7" hidden="1">100</definedName>
    <definedName name="solver_ssz" localSheetId="8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6" hidden="1">2147483647</definedName>
    <definedName name="solver_tim" localSheetId="1" hidden="1">2147483647</definedName>
    <definedName name="solver_tim" localSheetId="7" hidden="1">2147483647</definedName>
    <definedName name="solver_tim" localSheetId="8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6" hidden="1">0.01</definedName>
    <definedName name="solver_tol" localSheetId="1" hidden="1">0.01</definedName>
    <definedName name="solver_tol" localSheetId="7" hidden="1">0.01</definedName>
    <definedName name="solver_tol" localSheetId="8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0" hidden="1">2</definedName>
    <definedName name="solver_typ" localSheetId="6" hidden="1">2</definedName>
    <definedName name="solver_typ" localSheetId="5" hidden="1">2</definedName>
    <definedName name="solver_typ" localSheetId="1" hidden="1">2</definedName>
    <definedName name="solver_typ" localSheetId="7" hidden="1">2</definedName>
    <definedName name="solver_typ" localSheetId="8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val" localSheetId="6" hidden="1">0</definedName>
    <definedName name="solver_val" localSheetId="1" hidden="1">0</definedName>
    <definedName name="solver_val" localSheetId="7" hidden="1">0</definedName>
    <definedName name="solver_val" localSheetId="8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0" hidden="1">17</definedName>
    <definedName name="solver_ver" localSheetId="6" hidden="1">3</definedName>
    <definedName name="solver_ver" localSheetId="5" hidden="1">17</definedName>
    <definedName name="solver_ver" localSheetId="1" hidden="1">3</definedName>
    <definedName name="solver_ver" localSheetId="7" hidden="1">3</definedName>
    <definedName name="solver_ver" localSheetId="8" hidden="1">3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4" l="1"/>
  <c r="I17" i="34"/>
  <c r="I15" i="34"/>
  <c r="I16" i="34"/>
  <c r="I14" i="34"/>
  <c r="I11" i="34"/>
  <c r="I12" i="34"/>
  <c r="I13" i="34"/>
  <c r="I10" i="34"/>
  <c r="D3" i="34"/>
  <c r="C3" i="34"/>
  <c r="C8" i="34" s="1"/>
  <c r="D8" i="34" s="1"/>
  <c r="D6" i="17"/>
  <c r="AA18" i="34"/>
  <c r="O7" i="34"/>
  <c r="O8" i="34" s="1"/>
  <c r="O9" i="34" s="1"/>
  <c r="O10" i="34" s="1"/>
  <c r="O11" i="34" s="1"/>
  <c r="O12" i="34" s="1"/>
  <c r="O13" i="34" s="1"/>
  <c r="O14" i="34" s="1"/>
  <c r="O15" i="34" s="1"/>
  <c r="O16" i="34" s="1"/>
  <c r="O17" i="34" s="1"/>
  <c r="P6" i="34"/>
  <c r="Q6" i="34" s="1"/>
  <c r="R6" i="34" s="1"/>
  <c r="S6" i="34" s="1"/>
  <c r="T6" i="34" s="1"/>
  <c r="U6" i="34" s="1"/>
  <c r="V6" i="34" s="1"/>
  <c r="W6" i="34" s="1"/>
  <c r="X6" i="34" s="1"/>
  <c r="Y6" i="34" s="1"/>
  <c r="Z6" i="34" s="1"/>
  <c r="D31" i="33"/>
  <c r="D3" i="33"/>
  <c r="Y18" i="32"/>
  <c r="N6" i="32"/>
  <c r="O6" i="32" s="1"/>
  <c r="P6" i="32" s="1"/>
  <c r="Q6" i="32" s="1"/>
  <c r="R6" i="32" s="1"/>
  <c r="S6" i="32" s="1"/>
  <c r="T6" i="32" s="1"/>
  <c r="U6" i="32" s="1"/>
  <c r="V6" i="32" s="1"/>
  <c r="W6" i="32" s="1"/>
  <c r="X6" i="32" s="1"/>
  <c r="M7" i="32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D3" i="32"/>
  <c r="C3" i="32"/>
  <c r="C15" i="34" l="1"/>
  <c r="D15" i="34" s="1"/>
  <c r="C14" i="34"/>
  <c r="D14" i="34" s="1"/>
  <c r="C5" i="34"/>
  <c r="D5" i="34" s="1"/>
  <c r="J5" i="34" s="1"/>
  <c r="C6" i="34"/>
  <c r="D6" i="34" s="1"/>
  <c r="C13" i="34"/>
  <c r="D13" i="34" s="1"/>
  <c r="C4" i="34"/>
  <c r="D4" i="34" s="1"/>
  <c r="C7" i="34"/>
  <c r="D7" i="34" s="1"/>
  <c r="C11" i="34"/>
  <c r="D11" i="34" s="1"/>
  <c r="C12" i="34"/>
  <c r="D12" i="34" s="1"/>
  <c r="C10" i="34"/>
  <c r="D10" i="34" s="1"/>
  <c r="C9" i="34"/>
  <c r="D9" i="34" s="1"/>
  <c r="G4" i="34"/>
  <c r="E4" i="32"/>
  <c r="J4" i="34" l="1"/>
  <c r="J7" i="34"/>
  <c r="J6" i="34"/>
  <c r="H4" i="34"/>
  <c r="C4" i="32"/>
  <c r="J8" i="34" l="1"/>
  <c r="F5" i="34"/>
  <c r="G5" i="34" s="1"/>
  <c r="D4" i="32"/>
  <c r="E5" i="32" s="1"/>
  <c r="C5" i="32" s="1"/>
  <c r="K8" i="34" l="1"/>
  <c r="E5" i="34"/>
  <c r="E7" i="34"/>
  <c r="E4" i="34"/>
  <c r="E6" i="34"/>
  <c r="H5" i="34"/>
  <c r="D5" i="32"/>
  <c r="F6" i="34" l="1"/>
  <c r="E6" i="32"/>
  <c r="C6" i="32" s="1"/>
  <c r="G6" i="34" l="1"/>
  <c r="D6" i="32"/>
  <c r="H6" i="34" l="1"/>
  <c r="E7" i="32"/>
  <c r="C7" i="32" s="1"/>
  <c r="F7" i="34" l="1"/>
  <c r="D7" i="32"/>
  <c r="G7" i="34" l="1"/>
  <c r="E8" i="32"/>
  <c r="C8" i="32" s="1"/>
  <c r="D8" i="32" s="1"/>
  <c r="H7" i="34" l="1"/>
  <c r="E9" i="32"/>
  <c r="C9" i="32" s="1"/>
  <c r="D9" i="32" s="1"/>
  <c r="F8" i="34" l="1"/>
  <c r="E10" i="32"/>
  <c r="C10" i="32" s="1"/>
  <c r="G8" i="34" l="1"/>
  <c r="D10" i="32"/>
  <c r="C3" i="33"/>
  <c r="C4" i="33" s="1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E3" i="33"/>
  <c r="M17" i="33"/>
  <c r="L6" i="33"/>
  <c r="L7" i="33" s="1"/>
  <c r="L8" i="33" s="1"/>
  <c r="L9" i="33" s="1"/>
  <c r="L10" i="33" s="1"/>
  <c r="L11" i="33" s="1"/>
  <c r="L12" i="33" s="1"/>
  <c r="L13" i="33" s="1"/>
  <c r="L14" i="33" s="1"/>
  <c r="L15" i="33" s="1"/>
  <c r="L16" i="33" s="1"/>
  <c r="M17" i="31"/>
  <c r="L7" i="31"/>
  <c r="L8" i="31" s="1"/>
  <c r="L9" i="31" s="1"/>
  <c r="L10" i="31" s="1"/>
  <c r="L11" i="31" s="1"/>
  <c r="L12" i="31" s="1"/>
  <c r="L13" i="31" s="1"/>
  <c r="L14" i="31" s="1"/>
  <c r="L15" i="31" s="1"/>
  <c r="L16" i="31" s="1"/>
  <c r="L6" i="31"/>
  <c r="I3" i="31"/>
  <c r="J3" i="31"/>
  <c r="H3" i="31"/>
  <c r="C4" i="31"/>
  <c r="H8" i="34" l="1"/>
  <c r="E11" i="32"/>
  <c r="C11" i="32" s="1"/>
  <c r="F4" i="32"/>
  <c r="D4" i="33"/>
  <c r="H3" i="33"/>
  <c r="G3" i="33"/>
  <c r="F3" i="33"/>
  <c r="G3" i="31"/>
  <c r="F3" i="31"/>
  <c r="E3" i="31"/>
  <c r="D4" i="31"/>
  <c r="E4" i="31" s="1"/>
  <c r="D3" i="31"/>
  <c r="C5" i="3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C3" i="31"/>
  <c r="A35" i="24"/>
  <c r="B35" i="24"/>
  <c r="C35" i="24"/>
  <c r="D35" i="24"/>
  <c r="E35" i="24"/>
  <c r="A36" i="24"/>
  <c r="B36" i="24"/>
  <c r="C36" i="24"/>
  <c r="D36" i="24"/>
  <c r="E36" i="24"/>
  <c r="A37" i="24"/>
  <c r="B37" i="24"/>
  <c r="C37" i="24"/>
  <c r="D37" i="24"/>
  <c r="E37" i="24"/>
  <c r="A38" i="24"/>
  <c r="B38" i="24"/>
  <c r="C38" i="24"/>
  <c r="D38" i="24"/>
  <c r="E38" i="24"/>
  <c r="A39" i="24"/>
  <c r="B39" i="24"/>
  <c r="C39" i="24"/>
  <c r="D39" i="24"/>
  <c r="E39" i="24"/>
  <c r="A40" i="24"/>
  <c r="B40" i="24"/>
  <c r="C40" i="24"/>
  <c r="D40" i="24"/>
  <c r="E40" i="24"/>
  <c r="A41" i="24"/>
  <c r="B41" i="24"/>
  <c r="C41" i="24"/>
  <c r="D41" i="24"/>
  <c r="E41" i="24"/>
  <c r="A42" i="24"/>
  <c r="B42" i="24"/>
  <c r="C42" i="24"/>
  <c r="D42" i="24"/>
  <c r="E42" i="24"/>
  <c r="A43" i="24"/>
  <c r="B43" i="24"/>
  <c r="C43" i="24"/>
  <c r="D43" i="24"/>
  <c r="E43" i="24"/>
  <c r="A44" i="24"/>
  <c r="B44" i="24"/>
  <c r="C44" i="24"/>
  <c r="D44" i="24"/>
  <c r="E44" i="24"/>
  <c r="A45" i="24"/>
  <c r="B45" i="24"/>
  <c r="C45" i="24"/>
  <c r="D45" i="24"/>
  <c r="E45" i="24"/>
  <c r="A46" i="24"/>
  <c r="B46" i="24"/>
  <c r="C46" i="24"/>
  <c r="D46" i="24"/>
  <c r="E46" i="24"/>
  <c r="A47" i="24"/>
  <c r="B47" i="24"/>
  <c r="C47" i="24"/>
  <c r="D47" i="24"/>
  <c r="E47" i="24"/>
  <c r="A48" i="24"/>
  <c r="B48" i="24"/>
  <c r="C48" i="24"/>
  <c r="D48" i="24"/>
  <c r="E48" i="24"/>
  <c r="A49" i="24"/>
  <c r="B49" i="24"/>
  <c r="C49" i="24"/>
  <c r="D49" i="24"/>
  <c r="E49" i="24"/>
  <c r="A50" i="24"/>
  <c r="B50" i="24"/>
  <c r="C50" i="24"/>
  <c r="D50" i="24"/>
  <c r="E50" i="24"/>
  <c r="A51" i="24"/>
  <c r="B51" i="24"/>
  <c r="C51" i="24"/>
  <c r="D51" i="24"/>
  <c r="E51" i="24"/>
  <c r="A52" i="24"/>
  <c r="B52" i="24"/>
  <c r="C52" i="24"/>
  <c r="D52" i="24"/>
  <c r="E52" i="24"/>
  <c r="A53" i="24"/>
  <c r="B53" i="24"/>
  <c r="C53" i="24"/>
  <c r="D53" i="24"/>
  <c r="E53" i="24"/>
  <c r="A54" i="24"/>
  <c r="B54" i="24"/>
  <c r="C54" i="24"/>
  <c r="D54" i="24"/>
  <c r="E54" i="24"/>
  <c r="A55" i="24"/>
  <c r="B55" i="24"/>
  <c r="C55" i="24"/>
  <c r="D55" i="24"/>
  <c r="E55" i="24"/>
  <c r="A56" i="24"/>
  <c r="B56" i="24"/>
  <c r="C56" i="24"/>
  <c r="D56" i="24"/>
  <c r="E56" i="24"/>
  <c r="A57" i="24"/>
  <c r="B57" i="24"/>
  <c r="C57" i="24"/>
  <c r="D57" i="24"/>
  <c r="E57" i="24"/>
  <c r="A58" i="24"/>
  <c r="B58" i="24"/>
  <c r="C58" i="24"/>
  <c r="D58" i="24"/>
  <c r="E58" i="24"/>
  <c r="A59" i="24"/>
  <c r="B59" i="24"/>
  <c r="C59" i="24"/>
  <c r="D59" i="24"/>
  <c r="E59" i="24"/>
  <c r="A60" i="24"/>
  <c r="B60" i="24"/>
  <c r="C60" i="24"/>
  <c r="D60" i="24"/>
  <c r="E60" i="24"/>
  <c r="A61" i="24"/>
  <c r="B61" i="24"/>
  <c r="C61" i="24"/>
  <c r="D61" i="24"/>
  <c r="E61" i="24"/>
  <c r="A62" i="24"/>
  <c r="B62" i="24"/>
  <c r="C62" i="24"/>
  <c r="D62" i="24"/>
  <c r="E62" i="24"/>
  <c r="F9" i="34" l="1"/>
  <c r="D11" i="32"/>
  <c r="F5" i="32"/>
  <c r="G5" i="32" s="1"/>
  <c r="G4" i="32"/>
  <c r="F4" i="33"/>
  <c r="E4" i="33"/>
  <c r="I3" i="33"/>
  <c r="J3" i="33"/>
  <c r="G4" i="31"/>
  <c r="H4" i="31"/>
  <c r="D15" i="31"/>
  <c r="D30" i="31"/>
  <c r="D22" i="31"/>
  <c r="D14" i="31"/>
  <c r="D6" i="31"/>
  <c r="D23" i="31"/>
  <c r="D7" i="31"/>
  <c r="D29" i="31"/>
  <c r="D21" i="31"/>
  <c r="D13" i="31"/>
  <c r="D5" i="31"/>
  <c r="D28" i="31"/>
  <c r="D12" i="31"/>
  <c r="F4" i="31"/>
  <c r="D27" i="31"/>
  <c r="D19" i="31"/>
  <c r="D11" i="31"/>
  <c r="D20" i="31"/>
  <c r="D18" i="31"/>
  <c r="D10" i="31"/>
  <c r="D26" i="31"/>
  <c r="D25" i="31"/>
  <c r="D17" i="31"/>
  <c r="D9" i="31"/>
  <c r="D24" i="31"/>
  <c r="D16" i="31"/>
  <c r="D8" i="31"/>
  <c r="BB30" i="24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R7" i="24"/>
  <c r="Q7" i="24"/>
  <c r="P7" i="24"/>
  <c r="O7" i="24"/>
  <c r="BB6" i="24"/>
  <c r="AT6" i="24"/>
  <c r="AQ6" i="24"/>
  <c r="AO6" i="24"/>
  <c r="BB5" i="24"/>
  <c r="AT5" i="24"/>
  <c r="AQ5" i="24"/>
  <c r="AO5" i="24"/>
  <c r="R5" i="24"/>
  <c r="Q5" i="24"/>
  <c r="P5" i="24"/>
  <c r="O5" i="24"/>
  <c r="BB4" i="24"/>
  <c r="AT4" i="24"/>
  <c r="AQ4" i="24"/>
  <c r="AO4" i="24"/>
  <c r="R4" i="24"/>
  <c r="R6" i="24" s="1"/>
  <c r="Q4" i="24"/>
  <c r="Q6" i="24" s="1"/>
  <c r="P4" i="24"/>
  <c r="O4" i="24"/>
  <c r="BB3" i="24"/>
  <c r="AT3" i="24"/>
  <c r="AQ3" i="24"/>
  <c r="AO3" i="24"/>
  <c r="R3" i="24"/>
  <c r="Q3" i="24"/>
  <c r="P3" i="24"/>
  <c r="O3" i="24"/>
  <c r="R2" i="24"/>
  <c r="Q2" i="24"/>
  <c r="P2" i="24"/>
  <c r="O2" i="24"/>
  <c r="G9" i="34" l="1"/>
  <c r="H9" i="34" s="1"/>
  <c r="E12" i="32"/>
  <c r="C12" i="32" s="1"/>
  <c r="D5" i="33"/>
  <c r="E5" i="33" s="1"/>
  <c r="I4" i="33"/>
  <c r="D6" i="33"/>
  <c r="G4" i="33"/>
  <c r="H4" i="33"/>
  <c r="I4" i="31"/>
  <c r="J4" i="31"/>
  <c r="F9" i="31"/>
  <c r="E9" i="31"/>
  <c r="G9" i="31" s="1"/>
  <c r="F17" i="31"/>
  <c r="E17" i="31"/>
  <c r="G17" i="31" s="1"/>
  <c r="F26" i="31"/>
  <c r="E26" i="31"/>
  <c r="G26" i="31" s="1"/>
  <c r="E12" i="31"/>
  <c r="G12" i="31" s="1"/>
  <c r="F12" i="31"/>
  <c r="E6" i="31"/>
  <c r="G6" i="31" s="1"/>
  <c r="F6" i="31"/>
  <c r="F19" i="31"/>
  <c r="E19" i="31"/>
  <c r="G19" i="31" s="1"/>
  <c r="F10" i="31"/>
  <c r="E10" i="31"/>
  <c r="G10" i="31" s="1"/>
  <c r="E28" i="31"/>
  <c r="G28" i="31" s="1"/>
  <c r="F28" i="31"/>
  <c r="E14" i="31"/>
  <c r="G14" i="31" s="1"/>
  <c r="F14" i="31"/>
  <c r="F8" i="31"/>
  <c r="E8" i="31"/>
  <c r="G8" i="31" s="1"/>
  <c r="F18" i="31"/>
  <c r="E18" i="31"/>
  <c r="G18" i="31" s="1"/>
  <c r="E5" i="31"/>
  <c r="F5" i="31"/>
  <c r="E22" i="31"/>
  <c r="G22" i="31" s="1"/>
  <c r="F22" i="31"/>
  <c r="E29" i="31"/>
  <c r="G29" i="31" s="1"/>
  <c r="F29" i="31"/>
  <c r="F27" i="31"/>
  <c r="E27" i="31"/>
  <c r="G27" i="31" s="1"/>
  <c r="E23" i="31"/>
  <c r="G23" i="31" s="1"/>
  <c r="F23" i="31"/>
  <c r="F16" i="31"/>
  <c r="E16" i="31"/>
  <c r="G16" i="31" s="1"/>
  <c r="E20" i="31"/>
  <c r="G20" i="31" s="1"/>
  <c r="F20" i="31"/>
  <c r="E13" i="31"/>
  <c r="G13" i="31" s="1"/>
  <c r="F13" i="31"/>
  <c r="E30" i="31"/>
  <c r="G30" i="31" s="1"/>
  <c r="F30" i="31"/>
  <c r="E7" i="31"/>
  <c r="G7" i="31" s="1"/>
  <c r="F7" i="31"/>
  <c r="F25" i="31"/>
  <c r="E25" i="31"/>
  <c r="G25" i="31" s="1"/>
  <c r="F24" i="31"/>
  <c r="E24" i="31"/>
  <c r="G24" i="31" s="1"/>
  <c r="F11" i="31"/>
  <c r="E11" i="31"/>
  <c r="G11" i="31" s="1"/>
  <c r="E21" i="31"/>
  <c r="G21" i="31" s="1"/>
  <c r="F21" i="31"/>
  <c r="E15" i="31"/>
  <c r="G15" i="31" s="1"/>
  <c r="F15" i="31"/>
  <c r="O6" i="24"/>
  <c r="P6" i="24"/>
  <c r="P10" i="24" s="1"/>
  <c r="R10" i="24"/>
  <c r="AQ8" i="24"/>
  <c r="AQ10" i="24"/>
  <c r="O9" i="24"/>
  <c r="O8" i="24"/>
  <c r="P8" i="24"/>
  <c r="Q9" i="24"/>
  <c r="R9" i="24"/>
  <c r="O10" i="24"/>
  <c r="Y2" i="24"/>
  <c r="Y3" i="24" s="1"/>
  <c r="Y4" i="24" s="1"/>
  <c r="G2" i="24" s="1"/>
  <c r="Q8" i="24"/>
  <c r="R8" i="24"/>
  <c r="Q10" i="24"/>
  <c r="P9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D12" i="32" l="1"/>
  <c r="G5" i="33"/>
  <c r="J5" i="33" s="1"/>
  <c r="H5" i="33"/>
  <c r="F5" i="33"/>
  <c r="I5" i="33" s="1"/>
  <c r="J4" i="33"/>
  <c r="F6" i="33"/>
  <c r="E6" i="33"/>
  <c r="H6" i="33" s="1"/>
  <c r="D7" i="33"/>
  <c r="I15" i="31"/>
  <c r="I9" i="31"/>
  <c r="I17" i="31"/>
  <c r="I6" i="31"/>
  <c r="I8" i="31"/>
  <c r="I5" i="31"/>
  <c r="I19" i="31"/>
  <c r="I26" i="31"/>
  <c r="I7" i="31"/>
  <c r="I11" i="31"/>
  <c r="I18" i="31"/>
  <c r="I28" i="31"/>
  <c r="I24" i="31"/>
  <c r="I10" i="31"/>
  <c r="I20" i="31"/>
  <c r="G5" i="31"/>
  <c r="H11" i="31"/>
  <c r="H29" i="31"/>
  <c r="H22" i="31"/>
  <c r="H9" i="31"/>
  <c r="H12" i="31"/>
  <c r="H18" i="31"/>
  <c r="H16" i="31"/>
  <c r="H17" i="31"/>
  <c r="H20" i="31"/>
  <c r="H26" i="31"/>
  <c r="H19" i="31"/>
  <c r="H25" i="31"/>
  <c r="H5" i="31"/>
  <c r="H28" i="31"/>
  <c r="H27" i="31"/>
  <c r="H30" i="31"/>
  <c r="H7" i="31"/>
  <c r="H24" i="31"/>
  <c r="H15" i="31"/>
  <c r="H13" i="31"/>
  <c r="H6" i="31"/>
  <c r="H8" i="31"/>
  <c r="H23" i="31"/>
  <c r="H21" i="31"/>
  <c r="H14" i="31"/>
  <c r="H10" i="31"/>
  <c r="I22" i="31"/>
  <c r="I12" i="31"/>
  <c r="I16" i="31"/>
  <c r="I14" i="31"/>
  <c r="I30" i="31"/>
  <c r="I29" i="31"/>
  <c r="I25" i="31"/>
  <c r="I21" i="31"/>
  <c r="I23" i="31"/>
  <c r="I27" i="31"/>
  <c r="I13" i="31"/>
  <c r="AS8" i="24"/>
  <c r="AS10" i="24"/>
  <c r="Y5" i="24"/>
  <c r="Y6" i="24" s="1"/>
  <c r="AS12" i="24"/>
  <c r="AS14" i="24"/>
  <c r="AS9" i="24"/>
  <c r="AS7" i="24"/>
  <c r="AS11" i="24"/>
  <c r="AS13" i="24"/>
  <c r="H2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F10" i="34" l="1"/>
  <c r="E13" i="32"/>
  <c r="C13" i="32" s="1"/>
  <c r="F6" i="32"/>
  <c r="G6" i="32"/>
  <c r="G6" i="33"/>
  <c r="I6" i="33"/>
  <c r="F7" i="33"/>
  <c r="E7" i="33"/>
  <c r="D8" i="33"/>
  <c r="J17" i="31"/>
  <c r="J28" i="31"/>
  <c r="J26" i="31"/>
  <c r="J25" i="31"/>
  <c r="J5" i="31"/>
  <c r="J8" i="31"/>
  <c r="J21" i="31"/>
  <c r="J13" i="31"/>
  <c r="J16" i="31"/>
  <c r="J6" i="31"/>
  <c r="J29" i="31"/>
  <c r="J7" i="31"/>
  <c r="J24" i="31"/>
  <c r="J14" i="31"/>
  <c r="J27" i="31"/>
  <c r="J15" i="31"/>
  <c r="J19" i="31"/>
  <c r="J22" i="31"/>
  <c r="J23" i="31"/>
  <c r="J11" i="31"/>
  <c r="J30" i="31"/>
  <c r="M5" i="31" s="1"/>
  <c r="J12" i="31"/>
  <c r="J10" i="31"/>
  <c r="J9" i="31"/>
  <c r="J20" i="31"/>
  <c r="J18" i="31"/>
  <c r="AR23" i="24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G10" i="34" l="1"/>
  <c r="H10" i="34" s="1"/>
  <c r="D13" i="32"/>
  <c r="E8" i="33"/>
  <c r="F8" i="33"/>
  <c r="I8" i="33" s="1"/>
  <c r="J6" i="33"/>
  <c r="D9" i="33"/>
  <c r="I7" i="33"/>
  <c r="G7" i="33"/>
  <c r="H7" i="33"/>
  <c r="J2" i="24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E14" i="32" l="1"/>
  <c r="C14" i="32" s="1"/>
  <c r="F7" i="32"/>
  <c r="G7" i="32" s="1"/>
  <c r="G8" i="33"/>
  <c r="H8" i="33"/>
  <c r="E9" i="33"/>
  <c r="F9" i="33"/>
  <c r="I9" i="33" s="1"/>
  <c r="J7" i="33"/>
  <c r="D10" i="33"/>
  <c r="AU14" i="24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F11" i="34" l="1"/>
  <c r="D14" i="32"/>
  <c r="D11" i="33"/>
  <c r="G9" i="33"/>
  <c r="H9" i="33"/>
  <c r="F10" i="33"/>
  <c r="I10" i="33" s="1"/>
  <c r="E10" i="33"/>
  <c r="J8" i="33"/>
  <c r="AW28" i="24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N1" i="14"/>
  <c r="G11" i="34" l="1"/>
  <c r="H11" i="34" s="1"/>
  <c r="E15" i="32"/>
  <c r="C15" i="32" s="1"/>
  <c r="F8" i="32"/>
  <c r="G10" i="33"/>
  <c r="D12" i="33"/>
  <c r="J9" i="33"/>
  <c r="F11" i="33"/>
  <c r="I11" i="33" s="1"/>
  <c r="E11" i="33"/>
  <c r="H10" i="33"/>
  <c r="AW19" i="24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D15" i="32" l="1"/>
  <c r="G8" i="32"/>
  <c r="F12" i="33"/>
  <c r="I12" i="33" s="1"/>
  <c r="E12" i="33"/>
  <c r="D13" i="33"/>
  <c r="G11" i="33"/>
  <c r="J11" i="33" s="1"/>
  <c r="H11" i="33"/>
  <c r="J10" i="33"/>
  <c r="AW32" i="24"/>
  <c r="AW88" i="24" s="1"/>
  <c r="H5" i="24"/>
  <c r="J4" i="24"/>
  <c r="C4" i="17"/>
  <c r="F12" i="34" l="1"/>
  <c r="E16" i="32"/>
  <c r="C16" i="32" s="1"/>
  <c r="D14" i="33"/>
  <c r="F13" i="33"/>
  <c r="I13" i="33" s="1"/>
  <c r="E13" i="33"/>
  <c r="G12" i="33"/>
  <c r="J12" i="33" s="1"/>
  <c r="H12" i="33"/>
  <c r="I5" i="24"/>
  <c r="G6" i="24"/>
  <c r="F5" i="24"/>
  <c r="G25" i="17"/>
  <c r="G49" i="17"/>
  <c r="A78" i="17"/>
  <c r="G78" i="17" s="1"/>
  <c r="D4" i="11"/>
  <c r="E4" i="11" s="1"/>
  <c r="D7" i="11"/>
  <c r="E7" i="11" s="1"/>
  <c r="D12" i="11"/>
  <c r="E12" i="11" s="1"/>
  <c r="D15" i="11"/>
  <c r="D20" i="11"/>
  <c r="E20" i="11" s="1"/>
  <c r="D23" i="11"/>
  <c r="E23" i="11" s="1"/>
  <c r="D28" i="11"/>
  <c r="E28" i="11" s="1"/>
  <c r="D31" i="11"/>
  <c r="E31" i="11" s="1"/>
  <c r="D36" i="11"/>
  <c r="D39" i="11"/>
  <c r="E39" i="11" s="1"/>
  <c r="D44" i="11"/>
  <c r="D47" i="11"/>
  <c r="E47" i="11" s="1"/>
  <c r="D52" i="11"/>
  <c r="E52" i="11" s="1"/>
  <c r="M5" i="11"/>
  <c r="M6" i="11"/>
  <c r="D3" i="18"/>
  <c r="E3" i="18"/>
  <c r="D4" i="18"/>
  <c r="F4" i="18" s="1"/>
  <c r="G4" i="18" s="1"/>
  <c r="D5" i="18"/>
  <c r="E5" i="18"/>
  <c r="D6" i="18"/>
  <c r="E6" i="18" s="1"/>
  <c r="D7" i="18"/>
  <c r="E7" i="18"/>
  <c r="D8" i="18"/>
  <c r="F8" i="18" s="1"/>
  <c r="D9" i="18"/>
  <c r="E9" i="18" s="1"/>
  <c r="F9" i="18"/>
  <c r="D10" i="18"/>
  <c r="E10" i="18" s="1"/>
  <c r="F10" i="18"/>
  <c r="A3" i="17"/>
  <c r="C3" i="17"/>
  <c r="A4" i="17"/>
  <c r="G4" i="17" s="1"/>
  <c r="A5" i="17"/>
  <c r="G5" i="17" s="1"/>
  <c r="A6" i="17"/>
  <c r="G6" i="17" s="1"/>
  <c r="A7" i="17"/>
  <c r="G7" i="17" s="1"/>
  <c r="A8" i="17"/>
  <c r="G8" i="17" s="1"/>
  <c r="A9" i="17"/>
  <c r="G9" i="17" s="1"/>
  <c r="A10" i="17"/>
  <c r="G10" i="17" s="1"/>
  <c r="A11" i="17"/>
  <c r="G11" i="17" s="1"/>
  <c r="A12" i="17"/>
  <c r="G12" i="17" s="1"/>
  <c r="A13" i="17"/>
  <c r="G13" i="17" s="1"/>
  <c r="A14" i="17"/>
  <c r="G14" i="17" s="1"/>
  <c r="A15" i="17"/>
  <c r="G15" i="17" s="1"/>
  <c r="A16" i="17"/>
  <c r="G16" i="17" s="1"/>
  <c r="A17" i="17"/>
  <c r="G17" i="17" s="1"/>
  <c r="A18" i="17"/>
  <c r="G18" i="17" s="1"/>
  <c r="A19" i="17"/>
  <c r="G19" i="17" s="1"/>
  <c r="A20" i="17"/>
  <c r="G20" i="17" s="1"/>
  <c r="A21" i="17"/>
  <c r="G21" i="17" s="1"/>
  <c r="A22" i="17"/>
  <c r="G22" i="17" s="1"/>
  <c r="A23" i="17"/>
  <c r="G23" i="17" s="1"/>
  <c r="A24" i="17"/>
  <c r="G24" i="17" s="1"/>
  <c r="A25" i="17"/>
  <c r="A26" i="17"/>
  <c r="G26" i="17" s="1"/>
  <c r="A27" i="17"/>
  <c r="G27" i="17" s="1"/>
  <c r="A28" i="17"/>
  <c r="G28" i="17" s="1"/>
  <c r="A29" i="17"/>
  <c r="G29" i="17" s="1"/>
  <c r="A30" i="17"/>
  <c r="G30" i="17" s="1"/>
  <c r="A31" i="17"/>
  <c r="G31" i="17" s="1"/>
  <c r="A32" i="17"/>
  <c r="G32" i="17" s="1"/>
  <c r="A33" i="17"/>
  <c r="G33" i="17" s="1"/>
  <c r="A34" i="17"/>
  <c r="G34" i="17" s="1"/>
  <c r="A35" i="17"/>
  <c r="G35" i="17" s="1"/>
  <c r="A36" i="17"/>
  <c r="G36" i="17" s="1"/>
  <c r="A37" i="17"/>
  <c r="G37" i="17" s="1"/>
  <c r="A38" i="17"/>
  <c r="G38" i="17" s="1"/>
  <c r="A39" i="17"/>
  <c r="G39" i="17" s="1"/>
  <c r="A40" i="17"/>
  <c r="G40" i="17" s="1"/>
  <c r="A41" i="17"/>
  <c r="G41" i="17" s="1"/>
  <c r="A42" i="17"/>
  <c r="G42" i="17" s="1"/>
  <c r="A43" i="17"/>
  <c r="G43" i="17" s="1"/>
  <c r="A44" i="17"/>
  <c r="G44" i="17" s="1"/>
  <c r="A45" i="17"/>
  <c r="G45" i="17" s="1"/>
  <c r="A46" i="17"/>
  <c r="G46" i="17" s="1"/>
  <c r="A47" i="17"/>
  <c r="G47" i="17" s="1"/>
  <c r="A48" i="17"/>
  <c r="G48" i="17" s="1"/>
  <c r="A49" i="17"/>
  <c r="A50" i="17"/>
  <c r="G50" i="17" s="1"/>
  <c r="A51" i="17"/>
  <c r="G51" i="17" s="1"/>
  <c r="A52" i="17"/>
  <c r="G52" i="17" s="1"/>
  <c r="A53" i="17"/>
  <c r="G53" i="17" s="1"/>
  <c r="A54" i="17"/>
  <c r="G54" i="17" s="1"/>
  <c r="A55" i="17"/>
  <c r="G55" i="17" s="1"/>
  <c r="A56" i="17"/>
  <c r="G56" i="17" s="1"/>
  <c r="A57" i="17"/>
  <c r="G57" i="17" s="1"/>
  <c r="A58" i="17"/>
  <c r="G58" i="17" s="1"/>
  <c r="A59" i="17"/>
  <c r="G59" i="17" s="1"/>
  <c r="A60" i="17"/>
  <c r="G60" i="17" s="1"/>
  <c r="A61" i="17"/>
  <c r="G61" i="17" s="1"/>
  <c r="A62" i="17"/>
  <c r="G62" i="17" s="1"/>
  <c r="A63" i="17"/>
  <c r="G63" i="17" s="1"/>
  <c r="A64" i="17"/>
  <c r="G64" i="17" s="1"/>
  <c r="A65" i="17"/>
  <c r="G65" i="17" s="1"/>
  <c r="A66" i="17"/>
  <c r="G66" i="17" s="1"/>
  <c r="A67" i="17"/>
  <c r="G67" i="17" s="1"/>
  <c r="A68" i="17"/>
  <c r="G68" i="17" s="1"/>
  <c r="A69" i="17"/>
  <c r="G69" i="17" s="1"/>
  <c r="A70" i="17"/>
  <c r="G70" i="17" s="1"/>
  <c r="A71" i="17"/>
  <c r="G71" i="17" s="1"/>
  <c r="A72" i="17"/>
  <c r="G72" i="17" s="1"/>
  <c r="A73" i="17"/>
  <c r="G73" i="17" s="1"/>
  <c r="A74" i="17"/>
  <c r="G74" i="17" s="1"/>
  <c r="A75" i="17"/>
  <c r="G75" i="17" s="1"/>
  <c r="A76" i="17"/>
  <c r="G76" i="17" s="1"/>
  <c r="A77" i="17"/>
  <c r="G77" i="17" s="1"/>
  <c r="F3" i="18"/>
  <c r="F7" i="18"/>
  <c r="G7" i="18" s="1"/>
  <c r="F6" i="18"/>
  <c r="G6" i="18" s="1"/>
  <c r="F5" i="18"/>
  <c r="G5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8" i="11"/>
  <c r="F13" i="11"/>
  <c r="F24" i="11"/>
  <c r="F29" i="11"/>
  <c r="F40" i="11"/>
  <c r="F45" i="11"/>
  <c r="G2" i="11"/>
  <c r="F3" i="11" s="1"/>
  <c r="F6" i="11"/>
  <c r="F43" i="11"/>
  <c r="F23" i="11"/>
  <c r="F11" i="11"/>
  <c r="F42" i="11"/>
  <c r="F30" i="11"/>
  <c r="F10" i="11"/>
  <c r="L20" i="11"/>
  <c r="D8" i="11" s="1"/>
  <c r="E8" i="11" s="1"/>
  <c r="M9" i="11"/>
  <c r="L21" i="11"/>
  <c r="E44" i="11"/>
  <c r="E15" i="11"/>
  <c r="E36" i="11"/>
  <c r="G12" i="34" l="1"/>
  <c r="H12" i="34" s="1"/>
  <c r="D16" i="32"/>
  <c r="F9" i="32"/>
  <c r="G13" i="33"/>
  <c r="J13" i="33" s="1"/>
  <c r="H13" i="33"/>
  <c r="F14" i="33"/>
  <c r="I14" i="33" s="1"/>
  <c r="E14" i="33"/>
  <c r="D15" i="33"/>
  <c r="H6" i="24"/>
  <c r="J5" i="24"/>
  <c r="F34" i="11"/>
  <c r="F47" i="11"/>
  <c r="F44" i="11"/>
  <c r="F12" i="11"/>
  <c r="D46" i="11"/>
  <c r="E46" i="11" s="1"/>
  <c r="D38" i="11"/>
  <c r="E38" i="11" s="1"/>
  <c r="D30" i="11"/>
  <c r="E30" i="11" s="1"/>
  <c r="D22" i="11"/>
  <c r="E22" i="11" s="1"/>
  <c r="D14" i="11"/>
  <c r="E14" i="11" s="1"/>
  <c r="D6" i="11"/>
  <c r="E6" i="11" s="1"/>
  <c r="F15" i="11"/>
  <c r="F28" i="11"/>
  <c r="F38" i="11"/>
  <c r="F19" i="11"/>
  <c r="F51" i="11"/>
  <c r="F41" i="11"/>
  <c r="F25" i="11"/>
  <c r="F9" i="11"/>
  <c r="E8" i="18"/>
  <c r="E4" i="18"/>
  <c r="D3" i="11"/>
  <c r="E3" i="11" s="1"/>
  <c r="D45" i="11"/>
  <c r="E45" i="11" s="1"/>
  <c r="D37" i="11"/>
  <c r="E37" i="11" s="1"/>
  <c r="D29" i="11"/>
  <c r="E29" i="11" s="1"/>
  <c r="D21" i="11"/>
  <c r="E21" i="11" s="1"/>
  <c r="D13" i="11"/>
  <c r="E13" i="11" s="1"/>
  <c r="D5" i="11"/>
  <c r="E5" i="11" s="1"/>
  <c r="F21" i="11"/>
  <c r="F5" i="11"/>
  <c r="D51" i="11"/>
  <c r="E51" i="11" s="1"/>
  <c r="D43" i="11"/>
  <c r="E43" i="11" s="1"/>
  <c r="D35" i="11"/>
  <c r="E35" i="11" s="1"/>
  <c r="D27" i="11"/>
  <c r="E27" i="11" s="1"/>
  <c r="D19" i="11"/>
  <c r="E19" i="11" s="1"/>
  <c r="D11" i="11"/>
  <c r="E11" i="11" s="1"/>
  <c r="F14" i="11"/>
  <c r="F46" i="11"/>
  <c r="F27" i="11"/>
  <c r="F37" i="11"/>
  <c r="F18" i="11"/>
  <c r="F50" i="11"/>
  <c r="F31" i="11"/>
  <c r="F52" i="11"/>
  <c r="F36" i="11"/>
  <c r="F20" i="11"/>
  <c r="F4" i="11"/>
  <c r="I2" i="11" s="1"/>
  <c r="D50" i="11"/>
  <c r="E50" i="11" s="1"/>
  <c r="D42" i="11"/>
  <c r="E42" i="11" s="1"/>
  <c r="D34" i="11"/>
  <c r="E34" i="11" s="1"/>
  <c r="D26" i="11"/>
  <c r="E26" i="11" s="1"/>
  <c r="D18" i="11"/>
  <c r="E18" i="11" s="1"/>
  <c r="D10" i="11"/>
  <c r="E10" i="11" s="1"/>
  <c r="F22" i="11"/>
  <c r="F35" i="11"/>
  <c r="F49" i="11"/>
  <c r="F33" i="11"/>
  <c r="F17" i="1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F26" i="11"/>
  <c r="F7" i="11"/>
  <c r="F39" i="11"/>
  <c r="F48" i="11"/>
  <c r="F32" i="11"/>
  <c r="F16" i="11"/>
  <c r="D48" i="11"/>
  <c r="E48" i="11" s="1"/>
  <c r="D40" i="11"/>
  <c r="E40" i="11" s="1"/>
  <c r="D32" i="11"/>
  <c r="E32" i="11" s="1"/>
  <c r="D24" i="11"/>
  <c r="E24" i="11" s="1"/>
  <c r="D16" i="11"/>
  <c r="E16" i="11" s="1"/>
  <c r="D2" i="14"/>
  <c r="E2" i="14"/>
  <c r="E17" i="32" l="1"/>
  <c r="C17" i="32" s="1"/>
  <c r="D17" i="32" s="1"/>
  <c r="G9" i="32"/>
  <c r="F15" i="33"/>
  <c r="I15" i="33" s="1"/>
  <c r="E15" i="33"/>
  <c r="G14" i="33"/>
  <c r="J14" i="33" s="1"/>
  <c r="H14" i="33"/>
  <c r="D16" i="33"/>
  <c r="G7" i="24"/>
  <c r="I6" i="24"/>
  <c r="F6" i="24"/>
  <c r="M8" i="11"/>
  <c r="H2" i="11"/>
  <c r="F3" i="14"/>
  <c r="D51" i="17"/>
  <c r="D17" i="17"/>
  <c r="D15" i="17"/>
  <c r="D59" i="17"/>
  <c r="D41" i="17"/>
  <c r="D8" i="17"/>
  <c r="D21" i="17"/>
  <c r="D43" i="17"/>
  <c r="D11" i="17"/>
  <c r="D57" i="17"/>
  <c r="D65" i="17"/>
  <c r="D71" i="17"/>
  <c r="D64" i="17"/>
  <c r="D26" i="17"/>
  <c r="D22" i="17"/>
  <c r="D18" i="17"/>
  <c r="D45" i="17"/>
  <c r="D14" i="17"/>
  <c r="D56" i="17"/>
  <c r="D55" i="17"/>
  <c r="D24" i="17"/>
  <c r="D23" i="17"/>
  <c r="D25" i="17"/>
  <c r="D68" i="17"/>
  <c r="D28" i="17"/>
  <c r="D53" i="17"/>
  <c r="D42" i="17"/>
  <c r="D9" i="17"/>
  <c r="D52" i="17"/>
  <c r="D20" i="17"/>
  <c r="D32" i="17"/>
  <c r="D16" i="17"/>
  <c r="D10" i="17"/>
  <c r="D63" i="17"/>
  <c r="D27" i="17"/>
  <c r="D7" i="17"/>
  <c r="D60" i="17"/>
  <c r="D70" i="17"/>
  <c r="D66" i="17"/>
  <c r="D44" i="17"/>
  <c r="D12" i="17"/>
  <c r="D67" i="17"/>
  <c r="D19" i="17"/>
  <c r="D31" i="17"/>
  <c r="D58" i="17"/>
  <c r="D69" i="17"/>
  <c r="D54" i="17"/>
  <c r="D38" i="17"/>
  <c r="D62" i="17"/>
  <c r="D61" i="17"/>
  <c r="D30" i="17"/>
  <c r="D29" i="17"/>
  <c r="D72" i="17"/>
  <c r="D40" i="17"/>
  <c r="D39" i="17"/>
  <c r="D13" i="17"/>
  <c r="F13" i="34" l="1"/>
  <c r="E18" i="32"/>
  <c r="C18" i="32" s="1"/>
  <c r="D18" i="32" s="1"/>
  <c r="E16" i="33"/>
  <c r="F16" i="33"/>
  <c r="I16" i="33" s="1"/>
  <c r="G15" i="33"/>
  <c r="J15" i="33" s="1"/>
  <c r="H15" i="33"/>
  <c r="D17" i="33"/>
  <c r="J6" i="24"/>
  <c r="H7" i="24"/>
  <c r="F7" i="24" s="1"/>
  <c r="M22" i="11"/>
  <c r="J53" i="11"/>
  <c r="J2" i="11"/>
  <c r="N6" i="11"/>
  <c r="D3" i="14"/>
  <c r="G3" i="14"/>
  <c r="D48" i="17"/>
  <c r="D34" i="17"/>
  <c r="D75" i="17"/>
  <c r="G13" i="34" l="1"/>
  <c r="H13" i="34" s="1"/>
  <c r="E19" i="32"/>
  <c r="C19" i="32" s="1"/>
  <c r="F10" i="32"/>
  <c r="F17" i="33"/>
  <c r="I17" i="33" s="1"/>
  <c r="E17" i="33"/>
  <c r="D18" i="33"/>
  <c r="G16" i="33"/>
  <c r="J16" i="33" s="1"/>
  <c r="H16" i="33"/>
  <c r="G8" i="24"/>
  <c r="I7" i="24"/>
  <c r="H3" i="14"/>
  <c r="E3" i="14"/>
  <c r="F4" i="14" s="1"/>
  <c r="D35" i="17"/>
  <c r="D36" i="17"/>
  <c r="D76" i="17"/>
  <c r="D74" i="17"/>
  <c r="D73" i="17"/>
  <c r="D37" i="17"/>
  <c r="D33" i="17"/>
  <c r="D46" i="17"/>
  <c r="D47" i="17"/>
  <c r="D50" i="17"/>
  <c r="D49" i="17"/>
  <c r="F14" i="34" l="1"/>
  <c r="D19" i="32"/>
  <c r="G10" i="32"/>
  <c r="F18" i="33"/>
  <c r="I18" i="33" s="1"/>
  <c r="E18" i="33"/>
  <c r="D19" i="33"/>
  <c r="G17" i="33"/>
  <c r="J17" i="33" s="1"/>
  <c r="H17" i="33"/>
  <c r="J7" i="24"/>
  <c r="H8" i="24"/>
  <c r="F8" i="24" s="1"/>
  <c r="B67" i="14"/>
  <c r="B54" i="14"/>
  <c r="B51" i="14"/>
  <c r="A46" i="11"/>
  <c r="A35" i="11"/>
  <c r="B34" i="14"/>
  <c r="B25" i="14"/>
  <c r="B55" i="14"/>
  <c r="B40" i="14"/>
  <c r="A38" i="11"/>
  <c r="B77" i="14"/>
  <c r="B13" i="15"/>
  <c r="B60" i="14"/>
  <c r="B5" i="15"/>
  <c r="B43" i="14"/>
  <c r="B29" i="14"/>
  <c r="B63" i="14"/>
  <c r="B68" i="14"/>
  <c r="B47" i="14"/>
  <c r="B69" i="14"/>
  <c r="A39" i="11"/>
  <c r="B22" i="14"/>
  <c r="B61" i="14"/>
  <c r="A44" i="11"/>
  <c r="B50" i="14"/>
  <c r="B7" i="14"/>
  <c r="B76" i="14"/>
  <c r="B33" i="14"/>
  <c r="A21" i="11"/>
  <c r="B19" i="14"/>
  <c r="B17" i="15"/>
  <c r="A30" i="11"/>
  <c r="A18" i="11"/>
  <c r="B74" i="14"/>
  <c r="B10" i="14"/>
  <c r="B65" i="14"/>
  <c r="A48" i="11"/>
  <c r="B31" i="14"/>
  <c r="B14" i="15"/>
  <c r="B53" i="14"/>
  <c r="B56" i="14"/>
  <c r="A36" i="11"/>
  <c r="B41" i="14"/>
  <c r="B32" i="14"/>
  <c r="B72" i="14"/>
  <c r="A26" i="11"/>
  <c r="B16" i="15"/>
  <c r="A52" i="11"/>
  <c r="B73" i="14"/>
  <c r="B9" i="14"/>
  <c r="B66" i="14"/>
  <c r="B75" i="14"/>
  <c r="B57" i="14"/>
  <c r="B23" i="15"/>
  <c r="B70" i="14"/>
  <c r="A6" i="11"/>
  <c r="B45" i="14"/>
  <c r="A24" i="11"/>
  <c r="A28" i="11"/>
  <c r="B71" i="14"/>
  <c r="B12" i="14"/>
  <c r="B42" i="14"/>
  <c r="B58" i="14"/>
  <c r="B59" i="14"/>
  <c r="B49" i="14"/>
  <c r="B15" i="14"/>
  <c r="B62" i="14"/>
  <c r="B64" i="14"/>
  <c r="A37" i="11"/>
  <c r="B20" i="14"/>
  <c r="B4" i="17"/>
  <c r="B70" i="17"/>
  <c r="B9" i="17"/>
  <c r="B74" i="17"/>
  <c r="B72" i="17"/>
  <c r="B6" i="17"/>
  <c r="B37" i="17"/>
  <c r="B11" i="17"/>
  <c r="B41" i="17"/>
  <c r="B61" i="17"/>
  <c r="B53" i="17"/>
  <c r="B59" i="17"/>
  <c r="B43" i="17"/>
  <c r="B73" i="17"/>
  <c r="B75" i="17"/>
  <c r="B17" i="17"/>
  <c r="B5" i="17"/>
  <c r="B62" i="17"/>
  <c r="B68" i="17"/>
  <c r="B27" i="17"/>
  <c r="B7" i="17"/>
  <c r="B66" i="17"/>
  <c r="B26" i="17"/>
  <c r="B29" i="17"/>
  <c r="B57" i="17"/>
  <c r="B8" i="17"/>
  <c r="B14" i="17"/>
  <c r="B45" i="17"/>
  <c r="B18" i="17"/>
  <c r="B21" i="17"/>
  <c r="B44" i="17"/>
  <c r="B46" i="17"/>
  <c r="B24" i="17"/>
  <c r="B51" i="17"/>
  <c r="B76" i="17"/>
  <c r="B19" i="17"/>
  <c r="B67" i="17"/>
  <c r="B12" i="17"/>
  <c r="B28" i="17"/>
  <c r="B40" i="17"/>
  <c r="B25" i="17"/>
  <c r="B23" i="17"/>
  <c r="B20" i="17"/>
  <c r="B31" i="17"/>
  <c r="B39" i="17"/>
  <c r="B78" i="17"/>
  <c r="B16" i="17"/>
  <c r="B56" i="17"/>
  <c r="B63" i="17"/>
  <c r="B65" i="17"/>
  <c r="B15" i="17"/>
  <c r="B10" i="17"/>
  <c r="B77" i="17"/>
  <c r="B48" i="17"/>
  <c r="B32" i="17"/>
  <c r="B36" i="17"/>
  <c r="B13" i="17"/>
  <c r="B55" i="17"/>
  <c r="B58" i="17"/>
  <c r="B49" i="17"/>
  <c r="B47" i="17"/>
  <c r="B33" i="17"/>
  <c r="B30" i="17"/>
  <c r="B42" i="17"/>
  <c r="B34" i="17"/>
  <c r="B38" i="17"/>
  <c r="B54" i="17"/>
  <c r="B69" i="17"/>
  <c r="B35" i="17"/>
  <c r="B22" i="17"/>
  <c r="B64" i="17"/>
  <c r="B71" i="17"/>
  <c r="B60" i="17"/>
  <c r="B50" i="17"/>
  <c r="B52" i="17"/>
  <c r="D4" i="14"/>
  <c r="G4" i="14"/>
  <c r="I3" i="14"/>
  <c r="J3" i="14" s="1"/>
  <c r="H2" i="17"/>
  <c r="E2" i="17"/>
  <c r="F2" i="17"/>
  <c r="G2" i="17"/>
  <c r="G14" i="34" l="1"/>
  <c r="H14" i="34" s="1"/>
  <c r="E20" i="32"/>
  <c r="C20" i="32" s="1"/>
  <c r="F19" i="33"/>
  <c r="I19" i="33" s="1"/>
  <c r="E19" i="33"/>
  <c r="D20" i="33"/>
  <c r="G18" i="33"/>
  <c r="J18" i="33" s="1"/>
  <c r="H18" i="33"/>
  <c r="I8" i="24"/>
  <c r="G9" i="24"/>
  <c r="A3" i="11"/>
  <c r="B20" i="15"/>
  <c r="B39" i="14"/>
  <c r="B36" i="14"/>
  <c r="A13" i="11"/>
  <c r="B13" i="14"/>
  <c r="B3" i="15"/>
  <c r="C3" i="15" s="1"/>
  <c r="C4" i="15" s="1"/>
  <c r="B3" i="14"/>
  <c r="B16" i="14"/>
  <c r="B46" i="14"/>
  <c r="B38" i="14"/>
  <c r="B6" i="14"/>
  <c r="B35" i="14"/>
  <c r="A41" i="11"/>
  <c r="B6" i="15"/>
  <c r="A25" i="11"/>
  <c r="B52" i="14"/>
  <c r="A31" i="11"/>
  <c r="B19" i="15"/>
  <c r="B44" i="14"/>
  <c r="A16" i="11"/>
  <c r="A19" i="11"/>
  <c r="B18" i="14"/>
  <c r="B17" i="14"/>
  <c r="A20" i="11"/>
  <c r="A17" i="11"/>
  <c r="A50" i="11"/>
  <c r="A10" i="11"/>
  <c r="A40" i="11"/>
  <c r="A22" i="11"/>
  <c r="A45" i="11"/>
  <c r="B37" i="14"/>
  <c r="B10" i="15"/>
  <c r="A32" i="11"/>
  <c r="B24" i="14"/>
  <c r="A9" i="11"/>
  <c r="A7" i="11"/>
  <c r="A34" i="11"/>
  <c r="B7" i="15"/>
  <c r="B9" i="15"/>
  <c r="B22" i="15"/>
  <c r="A29" i="11"/>
  <c r="B28" i="14"/>
  <c r="A49" i="11"/>
  <c r="A51" i="11"/>
  <c r="B23" i="14"/>
  <c r="B26" i="14"/>
  <c r="B48" i="14"/>
  <c r="A23" i="11"/>
  <c r="A33" i="11"/>
  <c r="B30" i="14"/>
  <c r="A12" i="11"/>
  <c r="B18" i="15"/>
  <c r="B4" i="14"/>
  <c r="B4" i="15"/>
  <c r="A5" i="11"/>
  <c r="B8" i="15"/>
  <c r="A8" i="11"/>
  <c r="B8" i="14"/>
  <c r="A14" i="11"/>
  <c r="B14" i="14"/>
  <c r="B27" i="14"/>
  <c r="A27" i="11"/>
  <c r="B21" i="15"/>
  <c r="A15" i="11"/>
  <c r="B12" i="15"/>
  <c r="A4" i="11"/>
  <c r="B5" i="14"/>
  <c r="A42" i="11"/>
  <c r="B15" i="15"/>
  <c r="A47" i="11"/>
  <c r="B21" i="14"/>
  <c r="A43" i="11"/>
  <c r="A11" i="11"/>
  <c r="B11" i="14"/>
  <c r="B11" i="15"/>
  <c r="H4" i="14"/>
  <c r="E4" i="14"/>
  <c r="F5" i="14" s="1"/>
  <c r="E5" i="17"/>
  <c r="E4" i="17"/>
  <c r="E9" i="17"/>
  <c r="E14" i="17"/>
  <c r="E19" i="17"/>
  <c r="E24" i="17"/>
  <c r="E28" i="17"/>
  <c r="E32" i="17"/>
  <c r="E36" i="17"/>
  <c r="E40" i="17"/>
  <c r="E44" i="17"/>
  <c r="E48" i="17"/>
  <c r="E52" i="17"/>
  <c r="E56" i="17"/>
  <c r="E60" i="17"/>
  <c r="E64" i="17"/>
  <c r="E68" i="17"/>
  <c r="E72" i="17"/>
  <c r="E76" i="17"/>
  <c r="E10" i="17"/>
  <c r="E6" i="17"/>
  <c r="E11" i="17"/>
  <c r="E16" i="17"/>
  <c r="E21" i="17"/>
  <c r="E25" i="17"/>
  <c r="E29" i="17"/>
  <c r="E33" i="17"/>
  <c r="E37" i="17"/>
  <c r="E41" i="17"/>
  <c r="E45" i="17"/>
  <c r="E49" i="17"/>
  <c r="E53" i="17"/>
  <c r="E57" i="17"/>
  <c r="E61" i="17"/>
  <c r="E65" i="17"/>
  <c r="E69" i="17"/>
  <c r="E73" i="17"/>
  <c r="E77" i="17"/>
  <c r="E20" i="17"/>
  <c r="E30" i="17"/>
  <c r="E39" i="17"/>
  <c r="E62" i="17"/>
  <c r="E71" i="17"/>
  <c r="E78" i="17"/>
  <c r="E7" i="17"/>
  <c r="E18" i="17"/>
  <c r="E42" i="17"/>
  <c r="E51" i="17"/>
  <c r="E74" i="17"/>
  <c r="E23" i="17"/>
  <c r="E38" i="17"/>
  <c r="E59" i="17"/>
  <c r="E22" i="17"/>
  <c r="E31" i="17"/>
  <c r="E54" i="17"/>
  <c r="E63" i="17"/>
  <c r="E8" i="17"/>
  <c r="E34" i="17"/>
  <c r="E66" i="17"/>
  <c r="E46" i="17"/>
  <c r="E35" i="17"/>
  <c r="E67" i="17"/>
  <c r="E15" i="17"/>
  <c r="E17" i="17"/>
  <c r="E43" i="17"/>
  <c r="E75" i="17"/>
  <c r="E12" i="17"/>
  <c r="E55" i="17"/>
  <c r="E26" i="17"/>
  <c r="E58" i="17"/>
  <c r="E70" i="17"/>
  <c r="E13" i="17"/>
  <c r="E47" i="17"/>
  <c r="E27" i="17"/>
  <c r="E50" i="17"/>
  <c r="D20" i="32" l="1"/>
  <c r="F11" i="32"/>
  <c r="F20" i="33"/>
  <c r="I20" i="33" s="1"/>
  <c r="E20" i="33"/>
  <c r="D21" i="33"/>
  <c r="G19" i="33"/>
  <c r="J19" i="33" s="1"/>
  <c r="H19" i="33"/>
  <c r="H9" i="24"/>
  <c r="F9" i="24" s="1"/>
  <c r="J8" i="24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D4" i="15"/>
  <c r="E4" i="15" s="1"/>
  <c r="F4" i="15" s="1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G3" i="15"/>
  <c r="D5" i="14"/>
  <c r="G5" i="14"/>
  <c r="I4" i="14"/>
  <c r="J4" i="14" s="1"/>
  <c r="F43" i="17"/>
  <c r="F8" i="17"/>
  <c r="F74" i="17"/>
  <c r="F39" i="17"/>
  <c r="F57" i="17"/>
  <c r="F25" i="17"/>
  <c r="F68" i="17"/>
  <c r="F36" i="17"/>
  <c r="F5" i="17"/>
  <c r="F13" i="17"/>
  <c r="F17" i="17"/>
  <c r="F63" i="17"/>
  <c r="F51" i="17"/>
  <c r="F30" i="17"/>
  <c r="F53" i="17"/>
  <c r="F21" i="17"/>
  <c r="F64" i="17"/>
  <c r="F32" i="17"/>
  <c r="F15" i="17"/>
  <c r="F20" i="17"/>
  <c r="F28" i="17"/>
  <c r="F54" i="17"/>
  <c r="F16" i="17"/>
  <c r="F67" i="17"/>
  <c r="F18" i="17"/>
  <c r="F56" i="17"/>
  <c r="F26" i="17"/>
  <c r="F35" i="17"/>
  <c r="F22" i="17"/>
  <c r="F7" i="17"/>
  <c r="F73" i="17"/>
  <c r="F41" i="17"/>
  <c r="F6" i="17"/>
  <c r="F52" i="17"/>
  <c r="F19" i="17"/>
  <c r="F55" i="17"/>
  <c r="F46" i="17"/>
  <c r="F59" i="17"/>
  <c r="F78" i="17"/>
  <c r="F69" i="17"/>
  <c r="F37" i="17"/>
  <c r="F10" i="17"/>
  <c r="F48" i="17"/>
  <c r="F14" i="17"/>
  <c r="F70" i="17"/>
  <c r="F42" i="17"/>
  <c r="F49" i="17"/>
  <c r="F60" i="17"/>
  <c r="F58" i="17"/>
  <c r="F31" i="17"/>
  <c r="F77" i="17"/>
  <c r="F45" i="17"/>
  <c r="F11" i="17"/>
  <c r="F24" i="17"/>
  <c r="F50" i="17"/>
  <c r="F12" i="17"/>
  <c r="F66" i="17"/>
  <c r="F38" i="17"/>
  <c r="F71" i="17"/>
  <c r="F65" i="17"/>
  <c r="F33" i="17"/>
  <c r="F76" i="17"/>
  <c r="F44" i="17"/>
  <c r="F9" i="17"/>
  <c r="F27" i="17"/>
  <c r="F75" i="17"/>
  <c r="F34" i="17"/>
  <c r="F23" i="17"/>
  <c r="F62" i="17"/>
  <c r="F61" i="17"/>
  <c r="F29" i="17"/>
  <c r="F72" i="17"/>
  <c r="F40" i="17"/>
  <c r="F47" i="17"/>
  <c r="F4" i="17"/>
  <c r="F15" i="34" l="1"/>
  <c r="E21" i="32"/>
  <c r="C21" i="32" s="1"/>
  <c r="G11" i="32"/>
  <c r="D22" i="33"/>
  <c r="F21" i="33"/>
  <c r="I21" i="33" s="1"/>
  <c r="E21" i="33"/>
  <c r="G20" i="33"/>
  <c r="J20" i="33" s="1"/>
  <c r="H20" i="33"/>
  <c r="I9" i="24"/>
  <c r="G10" i="24"/>
  <c r="D5" i="15"/>
  <c r="E5" i="15" s="1"/>
  <c r="D6" i="15"/>
  <c r="E6" i="15" s="1"/>
  <c r="D7" i="15"/>
  <c r="E7" i="15" s="1"/>
  <c r="D8" i="15"/>
  <c r="E8" i="15" s="1"/>
  <c r="D10" i="15"/>
  <c r="E10" i="15" s="1"/>
  <c r="D13" i="15"/>
  <c r="E13" i="15" s="1"/>
  <c r="D15" i="15"/>
  <c r="E15" i="15" s="1"/>
  <c r="D9" i="15"/>
  <c r="E9" i="15" s="1"/>
  <c r="D18" i="15"/>
  <c r="E18" i="15" s="1"/>
  <c r="D14" i="15"/>
  <c r="E14" i="15" s="1"/>
  <c r="D16" i="15"/>
  <c r="E16" i="15" s="1"/>
  <c r="D17" i="15"/>
  <c r="E17" i="15" s="1"/>
  <c r="D21" i="15"/>
  <c r="E21" i="15" s="1"/>
  <c r="D11" i="15"/>
  <c r="E11" i="15" s="1"/>
  <c r="D19" i="15"/>
  <c r="E19" i="15" s="1"/>
  <c r="D22" i="15"/>
  <c r="E22" i="15" s="1"/>
  <c r="D12" i="15"/>
  <c r="E12" i="15" s="1"/>
  <c r="D20" i="15"/>
  <c r="E20" i="15" s="1"/>
  <c r="I3" i="15"/>
  <c r="G4" i="15" s="1"/>
  <c r="I4" i="15" s="1"/>
  <c r="G5" i="15" s="1"/>
  <c r="I5" i="15" s="1"/>
  <c r="G6" i="15" s="1"/>
  <c r="I6" i="15" s="1"/>
  <c r="H5" i="14"/>
  <c r="E5" i="14"/>
  <c r="F6" i="14" s="1"/>
  <c r="K6" i="17"/>
  <c r="K7" i="17"/>
  <c r="K5" i="17"/>
  <c r="K4" i="17"/>
  <c r="K3" i="17"/>
  <c r="G15" i="34" l="1"/>
  <c r="H15" i="34" s="1"/>
  <c r="D21" i="32"/>
  <c r="F12" i="32"/>
  <c r="D23" i="33"/>
  <c r="G21" i="33"/>
  <c r="J21" i="33" s="1"/>
  <c r="H21" i="33"/>
  <c r="F22" i="33"/>
  <c r="I22" i="33" s="1"/>
  <c r="E22" i="33"/>
  <c r="H10" i="24"/>
  <c r="F10" i="24"/>
  <c r="J9" i="24"/>
  <c r="F6" i="15"/>
  <c r="F5" i="15"/>
  <c r="F7" i="15"/>
  <c r="F8" i="15"/>
  <c r="F17" i="15"/>
  <c r="F9" i="15"/>
  <c r="F10" i="15"/>
  <c r="F12" i="15"/>
  <c r="F13" i="15"/>
  <c r="F23" i="15"/>
  <c r="O4" i="15" s="1"/>
  <c r="F15" i="15"/>
  <c r="F18" i="15"/>
  <c r="F21" i="15"/>
  <c r="F11" i="15"/>
  <c r="F19" i="15"/>
  <c r="F14" i="15"/>
  <c r="F20" i="15"/>
  <c r="F16" i="15"/>
  <c r="F22" i="15"/>
  <c r="J5" i="15"/>
  <c r="K5" i="15" s="1"/>
  <c r="J3" i="15"/>
  <c r="K3" i="15" s="1"/>
  <c r="L3" i="15" s="1"/>
  <c r="M3" i="15" s="1"/>
  <c r="J4" i="15"/>
  <c r="K4" i="15" s="1"/>
  <c r="D6" i="14"/>
  <c r="G6" i="14"/>
  <c r="I5" i="14"/>
  <c r="J5" i="14" s="1"/>
  <c r="K8" i="17"/>
  <c r="L4" i="17" s="1"/>
  <c r="H10" i="17" s="1"/>
  <c r="G7" i="15"/>
  <c r="I7" i="15" s="1"/>
  <c r="J6" i="15"/>
  <c r="K6" i="15" s="1"/>
  <c r="E22" i="32" l="1"/>
  <c r="C22" i="32" s="1"/>
  <c r="G12" i="32"/>
  <c r="D24" i="33"/>
  <c r="F23" i="33"/>
  <c r="I23" i="33" s="1"/>
  <c r="E23" i="33"/>
  <c r="G22" i="33"/>
  <c r="J22" i="33" s="1"/>
  <c r="H22" i="33"/>
  <c r="I10" i="24"/>
  <c r="G11" i="24"/>
  <c r="L4" i="15"/>
  <c r="M4" i="15" s="1"/>
  <c r="L5" i="15"/>
  <c r="M5" i="15" s="1"/>
  <c r="H6" i="14"/>
  <c r="E6" i="14"/>
  <c r="F7" i="14" s="1"/>
  <c r="L6" i="17"/>
  <c r="H47" i="17" s="1"/>
  <c r="H5" i="17"/>
  <c r="L3" i="17"/>
  <c r="H24" i="17" s="1"/>
  <c r="H45" i="17"/>
  <c r="H20" i="17"/>
  <c r="H50" i="17"/>
  <c r="H55" i="17"/>
  <c r="H75" i="17"/>
  <c r="L5" i="17"/>
  <c r="H51" i="17" s="1"/>
  <c r="H70" i="17"/>
  <c r="H40" i="17"/>
  <c r="H65" i="17"/>
  <c r="H30" i="17"/>
  <c r="H25" i="17"/>
  <c r="H60" i="17"/>
  <c r="H15" i="17"/>
  <c r="L7" i="17"/>
  <c r="H48" i="17" s="1"/>
  <c r="H35" i="17"/>
  <c r="L6" i="15"/>
  <c r="M6" i="15" s="1"/>
  <c r="G8" i="15"/>
  <c r="I8" i="15" s="1"/>
  <c r="J7" i="15"/>
  <c r="K7" i="15" s="1"/>
  <c r="L7" i="15" s="1"/>
  <c r="M7" i="15" s="1"/>
  <c r="F16" i="34" l="1"/>
  <c r="D22" i="32"/>
  <c r="F13" i="32"/>
  <c r="F24" i="33"/>
  <c r="I24" i="33" s="1"/>
  <c r="E24" i="33"/>
  <c r="D25" i="33"/>
  <c r="G23" i="33"/>
  <c r="J23" i="33" s="1"/>
  <c r="H23" i="33"/>
  <c r="H11" i="24"/>
  <c r="J10" i="24"/>
  <c r="D7" i="14"/>
  <c r="G7" i="14"/>
  <c r="I6" i="14"/>
  <c r="J6" i="14" s="1"/>
  <c r="H4" i="17"/>
  <c r="H33" i="17"/>
  <c r="H22" i="17"/>
  <c r="H66" i="17"/>
  <c r="H68" i="17"/>
  <c r="H21" i="17"/>
  <c r="H42" i="17"/>
  <c r="H26" i="17"/>
  <c r="H23" i="17"/>
  <c r="H32" i="17"/>
  <c r="H78" i="17"/>
  <c r="H37" i="17"/>
  <c r="H28" i="17"/>
  <c r="H41" i="17"/>
  <c r="H16" i="17"/>
  <c r="H27" i="17"/>
  <c r="H53" i="17"/>
  <c r="H11" i="17"/>
  <c r="H57" i="17"/>
  <c r="H17" i="17"/>
  <c r="H13" i="17"/>
  <c r="H76" i="17"/>
  <c r="H72" i="17"/>
  <c r="H14" i="17"/>
  <c r="H58" i="17"/>
  <c r="H56" i="17"/>
  <c r="H67" i="17"/>
  <c r="H49" i="17"/>
  <c r="H73" i="17"/>
  <c r="H71" i="17"/>
  <c r="H52" i="17"/>
  <c r="H63" i="17"/>
  <c r="H46" i="17"/>
  <c r="H6" i="17"/>
  <c r="H12" i="17"/>
  <c r="H77" i="17"/>
  <c r="H18" i="17"/>
  <c r="H61" i="17"/>
  <c r="H62" i="17"/>
  <c r="H7" i="17"/>
  <c r="H54" i="17"/>
  <c r="H9" i="17"/>
  <c r="H59" i="17"/>
  <c r="H69" i="17"/>
  <c r="H29" i="17"/>
  <c r="H39" i="17"/>
  <c r="H44" i="17"/>
  <c r="H34" i="17"/>
  <c r="H74" i="17"/>
  <c r="H8" i="17"/>
  <c r="H19" i="17"/>
  <c r="L8" i="17"/>
  <c r="H64" i="17"/>
  <c r="H38" i="17"/>
  <c r="H31" i="17"/>
  <c r="H43" i="17"/>
  <c r="H36" i="17"/>
  <c r="G9" i="15"/>
  <c r="I9" i="15" s="1"/>
  <c r="J8" i="15"/>
  <c r="K8" i="15" s="1"/>
  <c r="L8" i="15" s="1"/>
  <c r="M8" i="15" s="1"/>
  <c r="G16" i="34" l="1"/>
  <c r="H16" i="34" s="1"/>
  <c r="E23" i="32"/>
  <c r="C23" i="32" s="1"/>
  <c r="G13" i="32"/>
  <c r="G24" i="33"/>
  <c r="J24" i="33" s="1"/>
  <c r="H24" i="33"/>
  <c r="F25" i="33"/>
  <c r="I25" i="33" s="1"/>
  <c r="E25" i="33"/>
  <c r="D26" i="33"/>
  <c r="G12" i="24"/>
  <c r="I11" i="24"/>
  <c r="F11" i="24"/>
  <c r="H7" i="14"/>
  <c r="E7" i="14"/>
  <c r="F8" i="14"/>
  <c r="G10" i="15"/>
  <c r="I10" i="15" s="1"/>
  <c r="J9" i="15"/>
  <c r="K9" i="15" s="1"/>
  <c r="L9" i="15" s="1"/>
  <c r="M9" i="15" s="1"/>
  <c r="D23" i="32" l="1"/>
  <c r="F14" i="32"/>
  <c r="F26" i="33"/>
  <c r="I26" i="33" s="1"/>
  <c r="E26" i="33"/>
  <c r="D27" i="33"/>
  <c r="G25" i="33"/>
  <c r="J25" i="33" s="1"/>
  <c r="H25" i="33"/>
  <c r="J11" i="24"/>
  <c r="H12" i="24"/>
  <c r="F12" i="24" s="1"/>
  <c r="G8" i="14"/>
  <c r="D8" i="14"/>
  <c r="I7" i="14"/>
  <c r="J7" i="14" s="1"/>
  <c r="G11" i="15"/>
  <c r="I11" i="15" s="1"/>
  <c r="J10" i="15"/>
  <c r="K10" i="15" s="1"/>
  <c r="F17" i="34" l="1"/>
  <c r="E24" i="32"/>
  <c r="C24" i="32" s="1"/>
  <c r="G14" i="32"/>
  <c r="G26" i="33"/>
  <c r="J26" i="33" s="1"/>
  <c r="H26" i="33"/>
  <c r="F27" i="33"/>
  <c r="I27" i="33" s="1"/>
  <c r="E27" i="33"/>
  <c r="D28" i="33"/>
  <c r="I12" i="24"/>
  <c r="G13" i="24"/>
  <c r="E8" i="14"/>
  <c r="F9" i="14" s="1"/>
  <c r="H8" i="14"/>
  <c r="I8" i="14" s="1"/>
  <c r="J8" i="14" s="1"/>
  <c r="L10" i="15"/>
  <c r="M10" i="15" s="1"/>
  <c r="G12" i="15"/>
  <c r="I12" i="15" s="1"/>
  <c r="J11" i="15"/>
  <c r="K11" i="15" s="1"/>
  <c r="L11" i="15" s="1"/>
  <c r="M11" i="15" s="1"/>
  <c r="G17" i="34" l="1"/>
  <c r="H17" i="34" s="1"/>
  <c r="D24" i="32"/>
  <c r="F28" i="33"/>
  <c r="I28" i="33" s="1"/>
  <c r="E28" i="33"/>
  <c r="D29" i="33"/>
  <c r="G27" i="33"/>
  <c r="J27" i="33" s="1"/>
  <c r="H27" i="33"/>
  <c r="H13" i="24"/>
  <c r="F13" i="24" s="1"/>
  <c r="J12" i="24"/>
  <c r="D9" i="14"/>
  <c r="G9" i="14"/>
  <c r="G13" i="15"/>
  <c r="I13" i="15" s="1"/>
  <c r="J12" i="15"/>
  <c r="K12" i="15" s="1"/>
  <c r="L12" i="15" s="1"/>
  <c r="M12" i="15" s="1"/>
  <c r="E25" i="32" l="1"/>
  <c r="C25" i="32" s="1"/>
  <c r="F15" i="32"/>
  <c r="G28" i="33"/>
  <c r="J28" i="33" s="1"/>
  <c r="H28" i="33"/>
  <c r="F29" i="33"/>
  <c r="I29" i="33" s="1"/>
  <c r="E29" i="33"/>
  <c r="D30" i="33"/>
  <c r="G14" i="24"/>
  <c r="I13" i="24"/>
  <c r="H9" i="14"/>
  <c r="I9" i="14" s="1"/>
  <c r="J9" i="14" s="1"/>
  <c r="E9" i="14"/>
  <c r="F10" i="14" s="1"/>
  <c r="G14" i="15"/>
  <c r="I14" i="15" s="1"/>
  <c r="J13" i="15"/>
  <c r="K13" i="15" s="1"/>
  <c r="L13" i="15" s="1"/>
  <c r="M13" i="15" s="1"/>
  <c r="F18" i="34" l="1"/>
  <c r="D25" i="32"/>
  <c r="G15" i="32"/>
  <c r="F30" i="33"/>
  <c r="I30" i="33" s="1"/>
  <c r="E30" i="33"/>
  <c r="G29" i="33"/>
  <c r="J29" i="33" s="1"/>
  <c r="H29" i="33"/>
  <c r="J13" i="24"/>
  <c r="H14" i="24"/>
  <c r="I14" i="24" s="1"/>
  <c r="G10" i="14"/>
  <c r="D10" i="14"/>
  <c r="G15" i="15"/>
  <c r="I15" i="15" s="1"/>
  <c r="J14" i="15"/>
  <c r="K14" i="15" s="1"/>
  <c r="L14" i="15" s="1"/>
  <c r="M14" i="15" s="1"/>
  <c r="G18" i="34" l="1"/>
  <c r="H18" i="34" s="1"/>
  <c r="E26" i="32"/>
  <c r="C26" i="32" s="1"/>
  <c r="F16" i="32"/>
  <c r="G30" i="33"/>
  <c r="J30" i="33" s="1"/>
  <c r="M5" i="33" s="1"/>
  <c r="H30" i="33"/>
  <c r="F14" i="24"/>
  <c r="J14" i="24"/>
  <c r="E10" i="14"/>
  <c r="F11" i="14" s="1"/>
  <c r="H10" i="14"/>
  <c r="I10" i="14" s="1"/>
  <c r="J10" i="14" s="1"/>
  <c r="G16" i="15"/>
  <c r="I16" i="15" s="1"/>
  <c r="J15" i="15"/>
  <c r="K15" i="15" s="1"/>
  <c r="L15" i="15" s="1"/>
  <c r="M15" i="15" s="1"/>
  <c r="D26" i="32" l="1"/>
  <c r="G16" i="32"/>
  <c r="J15" i="24"/>
  <c r="D11" i="14"/>
  <c r="G11" i="14"/>
  <c r="G17" i="15"/>
  <c r="I17" i="15" s="1"/>
  <c r="J16" i="15"/>
  <c r="K16" i="15" s="1"/>
  <c r="L16" i="15" s="1"/>
  <c r="M16" i="15" s="1"/>
  <c r="F19" i="34" l="1"/>
  <c r="E27" i="32"/>
  <c r="C27" i="32" s="1"/>
  <c r="L2" i="24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H11" i="14"/>
  <c r="I11" i="14" s="1"/>
  <c r="J11" i="14" s="1"/>
  <c r="E11" i="14"/>
  <c r="F12" i="14" s="1"/>
  <c r="G18" i="15"/>
  <c r="I18" i="15" s="1"/>
  <c r="J17" i="15"/>
  <c r="K17" i="15" s="1"/>
  <c r="L17" i="15" s="1"/>
  <c r="M17" i="15" s="1"/>
  <c r="G19" i="34" l="1"/>
  <c r="H19" i="34" s="1"/>
  <c r="D27" i="32"/>
  <c r="F17" i="32"/>
  <c r="K15" i="24"/>
  <c r="D12" i="14"/>
  <c r="G12" i="14"/>
  <c r="G19" i="15"/>
  <c r="I19" i="15" s="1"/>
  <c r="J18" i="15"/>
  <c r="K18" i="15" s="1"/>
  <c r="L18" i="15" s="1"/>
  <c r="M18" i="15" s="1"/>
  <c r="E28" i="32" l="1"/>
  <c r="C28" i="32" s="1"/>
  <c r="G17" i="32"/>
  <c r="H12" i="14"/>
  <c r="I12" i="14" s="1"/>
  <c r="J12" i="14" s="1"/>
  <c r="E12" i="14"/>
  <c r="F13" i="14" s="1"/>
  <c r="G20" i="15"/>
  <c r="I20" i="15" s="1"/>
  <c r="J19" i="15"/>
  <c r="K19" i="15" s="1"/>
  <c r="L19" i="15" s="1"/>
  <c r="M19" i="15" s="1"/>
  <c r="F20" i="34" l="1"/>
  <c r="D28" i="32"/>
  <c r="G13" i="14"/>
  <c r="D13" i="14"/>
  <c r="G21" i="15"/>
  <c r="I21" i="15" s="1"/>
  <c r="J20" i="15"/>
  <c r="K20" i="15" s="1"/>
  <c r="L20" i="15" s="1"/>
  <c r="M20" i="15" s="1"/>
  <c r="G20" i="34" l="1"/>
  <c r="H20" i="34" s="1"/>
  <c r="E29" i="32"/>
  <c r="C29" i="32" s="1"/>
  <c r="F18" i="32"/>
  <c r="E13" i="14"/>
  <c r="F14" i="14" s="1"/>
  <c r="H13" i="14"/>
  <c r="I13" i="14" s="1"/>
  <c r="J13" i="14" s="1"/>
  <c r="G22" i="15"/>
  <c r="I22" i="15" s="1"/>
  <c r="J21" i="15"/>
  <c r="K21" i="15" s="1"/>
  <c r="L21" i="15" s="1"/>
  <c r="M21" i="15" s="1"/>
  <c r="D29" i="32" l="1"/>
  <c r="G18" i="32"/>
  <c r="D14" i="14"/>
  <c r="G14" i="14"/>
  <c r="G23" i="15"/>
  <c r="I23" i="15" s="1"/>
  <c r="J23" i="15" s="1"/>
  <c r="K23" i="15" s="1"/>
  <c r="J22" i="15"/>
  <c r="K22" i="15" s="1"/>
  <c r="L22" i="15" s="1"/>
  <c r="M22" i="15" s="1"/>
  <c r="F21" i="34" l="1"/>
  <c r="E30" i="32"/>
  <c r="C30" i="32" s="1"/>
  <c r="F19" i="32"/>
  <c r="H14" i="14"/>
  <c r="I14" i="14" s="1"/>
  <c r="J14" i="14" s="1"/>
  <c r="E14" i="14"/>
  <c r="F15" i="14" s="1"/>
  <c r="L23" i="15"/>
  <c r="G21" i="34" l="1"/>
  <c r="H21" i="34" s="1"/>
  <c r="D30" i="32"/>
  <c r="E31" i="32" s="1"/>
  <c r="C31" i="32" s="1"/>
  <c r="D31" i="32" s="1"/>
  <c r="G19" i="32"/>
  <c r="D15" i="14"/>
  <c r="G15" i="14"/>
  <c r="M23" i="15"/>
  <c r="N17" i="15"/>
  <c r="H15" i="14" l="1"/>
  <c r="I15" i="14" s="1"/>
  <c r="J15" i="14" s="1"/>
  <c r="E15" i="14"/>
  <c r="F16" i="14" s="1"/>
  <c r="F22" i="34" l="1"/>
  <c r="F20" i="32"/>
  <c r="G16" i="14"/>
  <c r="D16" i="14"/>
  <c r="G22" i="34" l="1"/>
  <c r="H22" i="34" s="1"/>
  <c r="G20" i="32"/>
  <c r="E16" i="14"/>
  <c r="F17" i="14" s="1"/>
  <c r="H16" i="14"/>
  <c r="I16" i="14" s="1"/>
  <c r="J16" i="14" s="1"/>
  <c r="G17" i="14" l="1"/>
  <c r="D17" i="14"/>
  <c r="F23" i="34" l="1"/>
  <c r="F21" i="32"/>
  <c r="E17" i="14"/>
  <c r="F18" i="14" s="1"/>
  <c r="H17" i="14"/>
  <c r="I17" i="14" s="1"/>
  <c r="J17" i="14" s="1"/>
  <c r="G23" i="34" l="1"/>
  <c r="H23" i="34" s="1"/>
  <c r="G21" i="32"/>
  <c r="G18" i="14"/>
  <c r="D18" i="14"/>
  <c r="F22" i="32" l="1"/>
  <c r="G22" i="32" s="1"/>
  <c r="E18" i="14"/>
  <c r="F19" i="14" s="1"/>
  <c r="H18" i="14"/>
  <c r="I18" i="14" s="1"/>
  <c r="J18" i="14" s="1"/>
  <c r="F24" i="34" l="1"/>
  <c r="D19" i="14"/>
  <c r="G19" i="14"/>
  <c r="G24" i="34" l="1"/>
  <c r="H24" i="34" s="1"/>
  <c r="H19" i="14"/>
  <c r="I19" i="14" s="1"/>
  <c r="J19" i="14" s="1"/>
  <c r="E19" i="14"/>
  <c r="F20" i="14" s="1"/>
  <c r="F23" i="32" l="1"/>
  <c r="G23" i="32" s="1"/>
  <c r="G20" i="14"/>
  <c r="D20" i="14"/>
  <c r="F25" i="34" l="1"/>
  <c r="E20" i="14"/>
  <c r="F21" i="14" s="1"/>
  <c r="H20" i="14"/>
  <c r="I20" i="14" s="1"/>
  <c r="J20" i="14" s="1"/>
  <c r="G25" i="34" l="1"/>
  <c r="H25" i="34" s="1"/>
  <c r="F24" i="32"/>
  <c r="G24" i="32" s="1"/>
  <c r="D21" i="14"/>
  <c r="G21" i="14"/>
  <c r="H21" i="14" l="1"/>
  <c r="I21" i="14" s="1"/>
  <c r="J21" i="14" s="1"/>
  <c r="E21" i="14"/>
  <c r="F22" i="14" s="1"/>
  <c r="F26" i="34" l="1"/>
  <c r="F25" i="32"/>
  <c r="G25" i="32" s="1"/>
  <c r="G22" i="14"/>
  <c r="D22" i="14"/>
  <c r="G26" i="34" l="1"/>
  <c r="H26" i="34" s="1"/>
  <c r="E22" i="14"/>
  <c r="F23" i="14" s="1"/>
  <c r="H22" i="14"/>
  <c r="I22" i="14" s="1"/>
  <c r="J22" i="14" s="1"/>
  <c r="F26" i="32" l="1"/>
  <c r="G26" i="32" s="1"/>
  <c r="D23" i="14"/>
  <c r="G23" i="14"/>
  <c r="F27" i="34" l="1"/>
  <c r="H23" i="14"/>
  <c r="I23" i="14" s="1"/>
  <c r="J23" i="14" s="1"/>
  <c r="E23" i="14"/>
  <c r="F24" i="14" s="1"/>
  <c r="G27" i="34" l="1"/>
  <c r="H27" i="34" s="1"/>
  <c r="D24" i="14"/>
  <c r="G24" i="14"/>
  <c r="F27" i="32" l="1"/>
  <c r="G27" i="32" s="1"/>
  <c r="E24" i="14"/>
  <c r="F25" i="14" s="1"/>
  <c r="H24" i="14"/>
  <c r="I24" i="14" s="1"/>
  <c r="J24" i="14" s="1"/>
  <c r="F28" i="34" l="1"/>
  <c r="G25" i="14"/>
  <c r="D25" i="14"/>
  <c r="G28" i="34" l="1"/>
  <c r="H28" i="34" s="1"/>
  <c r="F28" i="32"/>
  <c r="G28" i="32" s="1"/>
  <c r="H25" i="14"/>
  <c r="I25" i="14" s="1"/>
  <c r="J25" i="14" s="1"/>
  <c r="E25" i="14"/>
  <c r="F26" i="14" s="1"/>
  <c r="G26" i="14" l="1"/>
  <c r="D26" i="14"/>
  <c r="F29" i="34" l="1"/>
  <c r="E26" i="14"/>
  <c r="F27" i="14" s="1"/>
  <c r="H26" i="14"/>
  <c r="I26" i="14" s="1"/>
  <c r="J26" i="14" s="1"/>
  <c r="G29" i="34" l="1"/>
  <c r="H29" i="34" s="1"/>
  <c r="F29" i="32"/>
  <c r="G29" i="32" s="1"/>
  <c r="G27" i="14"/>
  <c r="D27" i="14"/>
  <c r="H27" i="14" l="1"/>
  <c r="I27" i="14" s="1"/>
  <c r="J27" i="14" s="1"/>
  <c r="E27" i="14"/>
  <c r="F28" i="14" s="1"/>
  <c r="F30" i="34" l="1"/>
  <c r="D28" i="14"/>
  <c r="G28" i="14"/>
  <c r="G30" i="34" l="1"/>
  <c r="H30" i="34" s="1"/>
  <c r="F30" i="32"/>
  <c r="G30" i="32" s="1"/>
  <c r="E28" i="14"/>
  <c r="F29" i="14" s="1"/>
  <c r="H28" i="14"/>
  <c r="I28" i="14" s="1"/>
  <c r="J28" i="14" s="1"/>
  <c r="G29" i="14" l="1"/>
  <c r="D29" i="14"/>
  <c r="F31" i="34" l="1"/>
  <c r="F31" i="32"/>
  <c r="G31" i="32" s="1"/>
  <c r="M6" i="32" s="1"/>
  <c r="H29" i="14"/>
  <c r="I29" i="14" s="1"/>
  <c r="J29" i="14" s="1"/>
  <c r="E29" i="14"/>
  <c r="F30" i="14" s="1"/>
  <c r="G31" i="34" l="1"/>
  <c r="H31" i="34" s="1"/>
  <c r="O6" i="34" s="1"/>
  <c r="E32" i="32"/>
  <c r="D30" i="14"/>
  <c r="G30" i="14"/>
  <c r="F32" i="34" l="1"/>
  <c r="H30" i="14"/>
  <c r="I30" i="14" s="1"/>
  <c r="J30" i="14" s="1"/>
  <c r="E30" i="14"/>
  <c r="F31" i="14" s="1"/>
  <c r="D31" i="14" l="1"/>
  <c r="G31" i="14"/>
  <c r="H31" i="14" l="1"/>
  <c r="I31" i="14" s="1"/>
  <c r="J31" i="14" s="1"/>
  <c r="E31" i="14"/>
  <c r="F32" i="14" s="1"/>
  <c r="D32" i="14" l="1"/>
  <c r="G32" i="14"/>
  <c r="H32" i="14" l="1"/>
  <c r="I32" i="14" s="1"/>
  <c r="J32" i="14" s="1"/>
  <c r="E32" i="14"/>
  <c r="F33" i="14" s="1"/>
  <c r="D33" i="14" l="1"/>
  <c r="G33" i="14"/>
  <c r="E33" i="14" l="1"/>
  <c r="F34" i="14" s="1"/>
  <c r="H33" i="14"/>
  <c r="I33" i="14" s="1"/>
  <c r="J33" i="14" s="1"/>
  <c r="G34" i="14" l="1"/>
  <c r="D34" i="14"/>
  <c r="E34" i="14" l="1"/>
  <c r="F35" i="14" s="1"/>
  <c r="H34" i="14"/>
  <c r="I34" i="14" s="1"/>
  <c r="J34" i="14" s="1"/>
  <c r="D35" i="14" l="1"/>
  <c r="G35" i="14"/>
  <c r="E35" i="14" l="1"/>
  <c r="F36" i="14" s="1"/>
  <c r="H35" i="14"/>
  <c r="I35" i="14" s="1"/>
  <c r="J35" i="14" s="1"/>
  <c r="D36" i="14" l="1"/>
  <c r="G36" i="14"/>
  <c r="E36" i="14" l="1"/>
  <c r="F37" i="14" s="1"/>
  <c r="H36" i="14"/>
  <c r="I36" i="14" s="1"/>
  <c r="J36" i="14" s="1"/>
  <c r="G37" i="14" l="1"/>
  <c r="D37" i="14"/>
  <c r="E37" i="14" l="1"/>
  <c r="F38" i="14" s="1"/>
  <c r="H37" i="14"/>
  <c r="I37" i="14" s="1"/>
  <c r="J37" i="14" s="1"/>
  <c r="G38" i="14" l="1"/>
  <c r="D38" i="14"/>
  <c r="E38" i="14" l="1"/>
  <c r="F39" i="14" s="1"/>
  <c r="H38" i="14"/>
  <c r="I38" i="14" s="1"/>
  <c r="J38" i="14" s="1"/>
  <c r="G39" i="14" l="1"/>
  <c r="D39" i="14"/>
  <c r="H39" i="14" l="1"/>
  <c r="I39" i="14" s="1"/>
  <c r="J39" i="14" s="1"/>
  <c r="E39" i="14"/>
  <c r="F40" i="14" s="1"/>
  <c r="D40" i="14" l="1"/>
  <c r="G40" i="14"/>
  <c r="H40" i="14" l="1"/>
  <c r="I40" i="14" s="1"/>
  <c r="J40" i="14" s="1"/>
  <c r="E40" i="14"/>
  <c r="F41" i="14" s="1"/>
  <c r="D41" i="14" l="1"/>
  <c r="G41" i="14"/>
  <c r="H41" i="14" l="1"/>
  <c r="I41" i="14" s="1"/>
  <c r="J41" i="14" s="1"/>
  <c r="E41" i="14"/>
  <c r="F42" i="14" s="1"/>
  <c r="G42" i="14" l="1"/>
  <c r="D42" i="14"/>
  <c r="H42" i="14" l="1"/>
  <c r="I42" i="14" s="1"/>
  <c r="J42" i="14" s="1"/>
  <c r="E42" i="14"/>
  <c r="F43" i="14"/>
  <c r="D43" i="14" l="1"/>
  <c r="G43" i="14"/>
  <c r="E43" i="14" l="1"/>
  <c r="F44" i="14" s="1"/>
  <c r="H43" i="14"/>
  <c r="I43" i="14" s="1"/>
  <c r="J43" i="14" s="1"/>
  <c r="D44" i="14" l="1"/>
  <c r="G44" i="14"/>
  <c r="H44" i="14" l="1"/>
  <c r="I44" i="14" s="1"/>
  <c r="J44" i="14" s="1"/>
  <c r="E44" i="14"/>
  <c r="F45" i="14" s="1"/>
  <c r="D45" i="14" l="1"/>
  <c r="G45" i="14"/>
  <c r="E45" i="14" l="1"/>
  <c r="F46" i="14" s="1"/>
  <c r="H45" i="14"/>
  <c r="I45" i="14" s="1"/>
  <c r="J45" i="14" s="1"/>
  <c r="D46" i="14" l="1"/>
  <c r="G46" i="14"/>
  <c r="E46" i="14" l="1"/>
  <c r="F47" i="14" s="1"/>
  <c r="H46" i="14"/>
  <c r="I46" i="14" s="1"/>
  <c r="J46" i="14" s="1"/>
  <c r="G47" i="14" l="1"/>
  <c r="D47" i="14"/>
  <c r="H47" i="14" l="1"/>
  <c r="I47" i="14" s="1"/>
  <c r="J47" i="14" s="1"/>
  <c r="E47" i="14"/>
  <c r="F48" i="14" s="1"/>
  <c r="D48" i="14" l="1"/>
  <c r="G48" i="14"/>
  <c r="E48" i="14" l="1"/>
  <c r="F49" i="14" s="1"/>
  <c r="H48" i="14"/>
  <c r="I48" i="14" s="1"/>
  <c r="J48" i="14" s="1"/>
  <c r="D49" i="14" l="1"/>
  <c r="G49" i="14"/>
  <c r="E49" i="14" l="1"/>
  <c r="F50" i="14" s="1"/>
  <c r="H49" i="14"/>
  <c r="I49" i="14" s="1"/>
  <c r="J49" i="14" s="1"/>
  <c r="G50" i="14" l="1"/>
  <c r="D50" i="14"/>
  <c r="E50" i="14" l="1"/>
  <c r="F51" i="14" s="1"/>
  <c r="H50" i="14"/>
  <c r="I50" i="14" s="1"/>
  <c r="J50" i="14" s="1"/>
  <c r="G51" i="14" l="1"/>
  <c r="D51" i="14"/>
  <c r="E51" i="14" l="1"/>
  <c r="F52" i="14" s="1"/>
  <c r="H51" i="14"/>
  <c r="I51" i="14" s="1"/>
  <c r="J51" i="14" s="1"/>
  <c r="G52" i="14" l="1"/>
  <c r="D52" i="14"/>
  <c r="H52" i="14" l="1"/>
  <c r="I52" i="14" s="1"/>
  <c r="J52" i="14" s="1"/>
  <c r="E52" i="14"/>
  <c r="F53" i="14"/>
  <c r="D53" i="14" l="1"/>
  <c r="G53" i="14"/>
  <c r="H53" i="14" l="1"/>
  <c r="I53" i="14" s="1"/>
  <c r="J53" i="14" s="1"/>
  <c r="E53" i="14"/>
  <c r="F54" i="14" s="1"/>
  <c r="D54" i="14" l="1"/>
  <c r="G54" i="14"/>
  <c r="H54" i="14" l="1"/>
  <c r="I54" i="14" s="1"/>
  <c r="J54" i="14" s="1"/>
  <c r="E54" i="14"/>
  <c r="F55" i="14" s="1"/>
  <c r="G55" i="14" l="1"/>
  <c r="D55" i="14"/>
  <c r="H55" i="14" l="1"/>
  <c r="I55" i="14" s="1"/>
  <c r="J55" i="14" s="1"/>
  <c r="E55" i="14"/>
  <c r="F56" i="14" s="1"/>
  <c r="G56" i="14" l="1"/>
  <c r="D56" i="14"/>
  <c r="E56" i="14" l="1"/>
  <c r="F57" i="14"/>
  <c r="H56" i="14"/>
  <c r="I56" i="14" s="1"/>
  <c r="J56" i="14" s="1"/>
  <c r="D57" i="14" l="1"/>
  <c r="G57" i="14"/>
  <c r="H57" i="14" l="1"/>
  <c r="I57" i="14" s="1"/>
  <c r="J57" i="14" s="1"/>
  <c r="E57" i="14"/>
  <c r="F58" i="14" s="1"/>
  <c r="D58" i="14" l="1"/>
  <c r="G58" i="14"/>
  <c r="H58" i="14" l="1"/>
  <c r="I58" i="14" s="1"/>
  <c r="J58" i="14" s="1"/>
  <c r="E58" i="14"/>
  <c r="F59" i="14" s="1"/>
  <c r="D59" i="14" l="1"/>
  <c r="G59" i="14"/>
  <c r="E59" i="14" l="1"/>
  <c r="F60" i="14" s="1"/>
  <c r="H59" i="14"/>
  <c r="I59" i="14" s="1"/>
  <c r="J59" i="14" s="1"/>
  <c r="G60" i="14" l="1"/>
  <c r="D60" i="14"/>
  <c r="H60" i="14" l="1"/>
  <c r="I60" i="14" s="1"/>
  <c r="J60" i="14" s="1"/>
  <c r="E60" i="14"/>
  <c r="F61" i="14" s="1"/>
  <c r="D61" i="14" l="1"/>
  <c r="G61" i="14"/>
  <c r="H61" i="14" l="1"/>
  <c r="I61" i="14" s="1"/>
  <c r="J61" i="14" s="1"/>
  <c r="E61" i="14"/>
  <c r="F62" i="14" s="1"/>
  <c r="G62" i="14" l="1"/>
  <c r="D62" i="14"/>
  <c r="E62" i="14" l="1"/>
  <c r="F63" i="14" s="1"/>
  <c r="H62" i="14"/>
  <c r="I62" i="14" s="1"/>
  <c r="J62" i="14" s="1"/>
  <c r="G63" i="14" l="1"/>
  <c r="D63" i="14"/>
  <c r="E63" i="14" l="1"/>
  <c r="F64" i="14"/>
  <c r="H63" i="14"/>
  <c r="I63" i="14" s="1"/>
  <c r="J63" i="14" s="1"/>
  <c r="G64" i="14" l="1"/>
  <c r="D64" i="14"/>
  <c r="E64" i="14" l="1"/>
  <c r="F65" i="14" s="1"/>
  <c r="H64" i="14"/>
  <c r="I64" i="14" s="1"/>
  <c r="J64" i="14" s="1"/>
  <c r="D65" i="14" l="1"/>
  <c r="G65" i="14"/>
  <c r="H65" i="14" l="1"/>
  <c r="I65" i="14" s="1"/>
  <c r="J65" i="14" s="1"/>
  <c r="E65" i="14"/>
  <c r="F66" i="14" s="1"/>
  <c r="D66" i="14" l="1"/>
  <c r="G66" i="14"/>
  <c r="E66" i="14" l="1"/>
  <c r="F67" i="14" s="1"/>
  <c r="H66" i="14"/>
  <c r="I66" i="14" s="1"/>
  <c r="J66" i="14" s="1"/>
  <c r="D67" i="14" l="1"/>
  <c r="G67" i="14"/>
  <c r="H67" i="14" l="1"/>
  <c r="I67" i="14" s="1"/>
  <c r="J67" i="14" s="1"/>
  <c r="E67" i="14"/>
  <c r="F68" i="14" s="1"/>
  <c r="D68" i="14" l="1"/>
  <c r="G68" i="14"/>
  <c r="E68" i="14" l="1"/>
  <c r="F69" i="14" s="1"/>
  <c r="H68" i="14"/>
  <c r="I68" i="14" s="1"/>
  <c r="J68" i="14" s="1"/>
  <c r="D69" i="14" l="1"/>
  <c r="G69" i="14"/>
  <c r="H69" i="14" l="1"/>
  <c r="I69" i="14" s="1"/>
  <c r="J69" i="14" s="1"/>
  <c r="E69" i="14"/>
  <c r="F70" i="14" s="1"/>
  <c r="D70" i="14" l="1"/>
  <c r="G70" i="14"/>
  <c r="E70" i="14" l="1"/>
  <c r="F71" i="14" s="1"/>
  <c r="H70" i="14"/>
  <c r="I70" i="14" s="1"/>
  <c r="J70" i="14" s="1"/>
  <c r="G71" i="14" l="1"/>
  <c r="D71" i="14"/>
  <c r="E71" i="14" l="1"/>
  <c r="F72" i="14" s="1"/>
  <c r="H71" i="14"/>
  <c r="I71" i="14" s="1"/>
  <c r="J71" i="14" s="1"/>
  <c r="G72" i="14" l="1"/>
  <c r="D72" i="14"/>
  <c r="E72" i="14" l="1"/>
  <c r="F73" i="14" s="1"/>
  <c r="H72" i="14"/>
  <c r="I72" i="14" s="1"/>
  <c r="J72" i="14" s="1"/>
  <c r="G73" i="14" l="1"/>
  <c r="D73" i="14"/>
  <c r="E73" i="14" l="1"/>
  <c r="F74" i="14" s="1"/>
  <c r="H73" i="14"/>
  <c r="I73" i="14" s="1"/>
  <c r="J73" i="14" s="1"/>
  <c r="G74" i="14" l="1"/>
  <c r="D74" i="14"/>
  <c r="H74" i="14" l="1"/>
  <c r="I74" i="14" s="1"/>
  <c r="J74" i="14" s="1"/>
  <c r="E74" i="14"/>
  <c r="F75" i="14" s="1"/>
  <c r="G75" i="14" l="1"/>
  <c r="D75" i="14"/>
  <c r="H75" i="14" l="1"/>
  <c r="I75" i="14" s="1"/>
  <c r="J75" i="14" s="1"/>
  <c r="E75" i="14"/>
  <c r="F76" i="14" s="1"/>
  <c r="D76" i="14" l="1"/>
  <c r="G76" i="14"/>
  <c r="H76" i="14" l="1"/>
  <c r="I76" i="14" s="1"/>
  <c r="J76" i="14" s="1"/>
  <c r="E76" i="14"/>
  <c r="F77" i="14" s="1"/>
  <c r="G77" i="14" l="1"/>
  <c r="D77" i="14"/>
  <c r="E77" i="14" l="1"/>
  <c r="F78" i="14" s="1"/>
  <c r="O1" i="14" s="1"/>
  <c r="H77" i="14"/>
  <c r="I77" i="14" s="1"/>
  <c r="G78" i="14"/>
  <c r="H78" i="14" l="1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M5" i="14"/>
  <c r="J77" i="14"/>
  <c r="I78" i="14"/>
  <c r="K77" i="14"/>
  <c r="L11" i="14" l="1"/>
  <c r="L31" i="14"/>
  <c r="L33" i="14"/>
  <c r="L40" i="14"/>
  <c r="L51" i="14"/>
  <c r="L16" i="14"/>
  <c r="L34" i="14"/>
  <c r="L49" i="14"/>
  <c r="L63" i="14"/>
  <c r="L15" i="14"/>
  <c r="L37" i="14"/>
  <c r="L44" i="14"/>
  <c r="L25" i="14"/>
  <c r="L38" i="14"/>
  <c r="L59" i="14"/>
  <c r="L12" i="14"/>
  <c r="L57" i="14"/>
  <c r="L76" i="14"/>
  <c r="L61" i="14"/>
  <c r="L71" i="14"/>
  <c r="L19" i="14"/>
  <c r="L60" i="14"/>
  <c r="L5" i="14"/>
  <c r="L21" i="14"/>
  <c r="L55" i="14"/>
  <c r="L10" i="14"/>
  <c r="L46" i="14"/>
  <c r="L52" i="14"/>
  <c r="L3" i="14"/>
  <c r="L13" i="14"/>
  <c r="L6" i="14"/>
  <c r="L48" i="14"/>
  <c r="L53" i="14"/>
  <c r="L41" i="14"/>
  <c r="L42" i="14"/>
  <c r="L74" i="14"/>
  <c r="L50" i="14"/>
  <c r="L18" i="14"/>
  <c r="L32" i="14"/>
  <c r="L45" i="14"/>
  <c r="L67" i="14"/>
  <c r="L56" i="14"/>
  <c r="L62" i="14"/>
  <c r="L9" i="14"/>
  <c r="L65" i="14"/>
  <c r="L54" i="14"/>
  <c r="L26" i="14"/>
  <c r="L4" i="14"/>
  <c r="L14" i="14"/>
  <c r="L22" i="14"/>
  <c r="L20" i="14"/>
  <c r="L35" i="14"/>
  <c r="L39" i="14"/>
  <c r="L8" i="14"/>
  <c r="L27" i="14"/>
  <c r="L17" i="14"/>
  <c r="L36" i="14"/>
  <c r="L47" i="14"/>
  <c r="L73" i="14"/>
  <c r="L68" i="14"/>
  <c r="L29" i="14"/>
  <c r="L75" i="14"/>
  <c r="L24" i="14"/>
  <c r="L43" i="14"/>
  <c r="L58" i="14"/>
  <c r="L72" i="14"/>
  <c r="L69" i="14"/>
  <c r="L64" i="14"/>
  <c r="L66" i="14"/>
  <c r="L7" i="14"/>
  <c r="L70" i="14"/>
  <c r="L23" i="14"/>
  <c r="L28" i="14"/>
  <c r="L77" i="14"/>
  <c r="L3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<sst xmlns="http://schemas.openxmlformats.org/spreadsheetml/2006/main" count="198" uniqueCount="142">
  <si>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</si>
  <si>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</si>
  <si>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</si>
  <si>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</si>
  <si>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</si>
  <si>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</si>
  <si>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</si>
  <si>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</si>
  <si>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</si>
  <si>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</si>
  <si>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</si>
  <si>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</si>
  <si>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</si>
  <si>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</si>
  <si>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</si>
  <si>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</si>
  <si>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</si>
  <si>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</si>
  <si>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</si>
  <si>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</si>
  <si>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</si>
  <si>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Actual</t>
  </si>
  <si>
    <t>Trend&amp;Seas</t>
  </si>
  <si>
    <t>=RANDBETWEEN(INT((ROWS($AC$3:AC15)/($AA$2)))*$AA$2,(INT((ROWS($AC$3:AC15)/($AA$2))+1)*$AA$2-1))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</si>
  <si>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</si>
  <si>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</si>
  <si>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</si>
  <si>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</si>
  <si>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</si>
  <si>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</si>
  <si>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</si>
  <si>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</si>
  <si>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</si>
  <si>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</si>
  <si>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</si>
  <si>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</si>
  <si>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</si>
  <si>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</si>
  <si>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</si>
  <si>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</si>
  <si>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</si>
  <si>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</si>
  <si>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</si>
  <si>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</si>
  <si>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</si>
  <si>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</si>
  <si>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</si>
  <si>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</si>
  <si>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</si>
  <si>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</si>
  <si>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</si>
  <si>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</si>
  <si>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</si>
  <si>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</si>
  <si>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</si>
  <si>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</si>
  <si>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</si>
  <si>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</si>
  <si>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</si>
  <si>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</si>
  <si>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</si>
  <si>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</si>
  <si>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</si>
  <si>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</si>
  <si>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</si>
  <si>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</si>
  <si>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</si>
  <si>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</si>
  <si>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</si>
  <si>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</si>
  <si>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</si>
  <si>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</si>
  <si>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</si>
  <si>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</si>
  <si>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</si>
  <si>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</si>
  <si>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</si>
  <si>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</si>
  <si>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</si>
  <si>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</si>
  <si>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</si>
  <si>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</si>
  <si>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</si>
  <si>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</si>
  <si>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</si>
  <si>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</si>
  <si>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</si>
  <si>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</si>
  <si>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</si>
  <si>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</si>
  <si>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</si>
  <si>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</si>
  <si>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</si>
  <si>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</si>
  <si>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</si>
  <si>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</si>
  <si>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</si>
  <si>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</si>
  <si>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</si>
  <si>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</si>
  <si>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</si>
  <si>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</si>
  <si>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</si>
  <si>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</si>
  <si>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</si>
  <si>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</si>
  <si>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</si>
  <si>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</si>
  <si>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</si>
  <si>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</si>
  <si>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</si>
  <si>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</si>
  <si>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</si>
  <si>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</si>
  <si>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</si>
  <si>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</si>
  <si>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</si>
  <si>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</si>
  <si>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</si>
  <si>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</si>
  <si>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</si>
  <si>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</si>
  <si>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</si>
  <si>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</si>
  <si>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</si>
  <si>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</si>
  <si>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</si>
  <si>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</si>
  <si>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Et</t>
  </si>
  <si>
    <t>|Et|</t>
  </si>
  <si>
    <t>E2</t>
  </si>
  <si>
    <t>|E|/At</t>
  </si>
  <si>
    <t>MSE</t>
  </si>
  <si>
    <t>MAPE</t>
  </si>
  <si>
    <t>alpha</t>
  </si>
  <si>
    <t>Fix</t>
  </si>
  <si>
    <t>beta=</t>
  </si>
  <si>
    <t>TrendData</t>
  </si>
  <si>
    <t>t*MSE</t>
  </si>
  <si>
    <t>Bias</t>
  </si>
  <si>
    <t>BIAS</t>
  </si>
  <si>
    <t>Seasonality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</si>
</sst>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/>
    <xf numFmtId="0" fontId="4" fillId="0" borderId="2" xfId="2" applyBorder="1" applyAlignment="1">
      <alignment horizontal="center"/>
    </xf>
    <xf numFmtId="0" fontId="4" fillId="0" borderId="4" xfId="2" applyBorder="1" applyAlignment="1">
      <alignment horizontal="center"/>
    </xf>
    <xf numFmtId="1" fontId="4" fillId="0" borderId="0" xfId="2" applyNumberFormat="1" applyBorder="1" applyAlignment="1">
      <alignment horizontal="center"/>
    </xf>
    <xf numFmtId="0" fontId="4" fillId="0" borderId="6" xfId="2" applyBorder="1" applyAlignment="1">
      <alignment horizontal="center"/>
    </xf>
    <xf numFmtId="0" fontId="4" fillId="0" borderId="0" xfId="2" applyFont="1"/>
    <xf numFmtId="0" fontId="6" fillId="0" borderId="0" xfId="1" applyFont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9" fillId="0" borderId="16" xfId="0" applyFont="1" applyFill="1" applyBorder="1" applyAlignment="1">
      <alignment horizontal="centerContinuous"/>
    </xf>
    <xf numFmtId="0" fontId="10" fillId="0" borderId="0" xfId="0" applyFont="1" applyAlignment="1">
      <alignment horizontal="right"/>
    </xf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10" fillId="0" borderId="14" xfId="0" applyFont="1" applyFill="1" applyBorder="1" applyAlignment="1"/>
    <xf numFmtId="0" fontId="9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5" borderId="7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4" fillId="0" borderId="0" xfId="2" applyNumberFormat="1" applyAlignment="1">
      <alignment horizontal="center"/>
    </xf>
    <xf numFmtId="164" fontId="4" fillId="10" borderId="0" xfId="2" applyNumberFormat="1" applyFill="1" applyAlignment="1">
      <alignment horizontal="left"/>
    </xf>
    <xf numFmtId="1" fontId="4" fillId="0" borderId="0" xfId="2" applyNumberFormat="1" applyAlignment="1">
      <alignment horizontal="left"/>
    </xf>
    <xf numFmtId="164" fontId="4" fillId="0" borderId="0" xfId="2" applyNumberFormat="1" applyAlignment="1">
      <alignment horizontal="left"/>
    </xf>
    <xf numFmtId="1" fontId="4" fillId="0" borderId="0" xfId="2" applyNumberForma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164" fontId="11" fillId="8" borderId="0" xfId="2" applyNumberFormat="1" applyFont="1" applyFill="1"/>
    <xf numFmtId="166" fontId="11" fillId="8" borderId="0" xfId="2" applyNumberFormat="1" applyFont="1" applyFill="1"/>
    <xf numFmtId="0" fontId="4" fillId="0" borderId="0" xfId="2" applyFont="1" applyAlignment="1">
      <alignment horizontal="center"/>
    </xf>
    <xf numFmtId="0" fontId="4" fillId="10" borderId="0" xfId="2" applyFont="1" applyFill="1" applyAlignment="1">
      <alignment horizontal="center"/>
    </xf>
    <xf numFmtId="0" fontId="4" fillId="11" borderId="0" xfId="2" applyFont="1" applyFill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64" fontId="4" fillId="0" borderId="0" xfId="2" applyNumberFormat="1"/>
    <xf numFmtId="1" fontId="4" fillId="0" borderId="0" xfId="2" applyNumberFormat="1"/>
    <xf numFmtId="0" fontId="4" fillId="0" borderId="0" xfId="2" applyFont="1" applyAlignment="1">
      <alignment horizontal="right"/>
    </xf>
    <xf numFmtId="1" fontId="5" fillId="0" borderId="0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65" fontId="4" fillId="0" borderId="0" xfId="2" applyNumberFormat="1"/>
    <xf numFmtId="1" fontId="11" fillId="2" borderId="0" xfId="2" applyNumberFormat="1" applyFont="1" applyFill="1" applyBorder="1" applyAlignment="1">
      <alignment horizontal="center"/>
    </xf>
    <xf numFmtId="164" fontId="4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15" xfId="2" applyBorder="1" applyAlignment="1">
      <alignment horizontal="center"/>
    </xf>
    <xf numFmtId="0" fontId="0" fillId="0" borderId="6" xfId="0" applyBorder="1"/>
    <xf numFmtId="0" fontId="4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4" fillId="0" borderId="8" xfId="2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7" fillId="9" borderId="4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2" fillId="0" borderId="0" xfId="0" applyNumberFormat="1" applyFont="1"/>
    <xf numFmtId="2" fontId="10" fillId="0" borderId="14" xfId="0" applyNumberFormat="1" applyFont="1" applyFill="1" applyBorder="1" applyAlignment="1">
      <alignment horizontal="center"/>
    </xf>
    <xf numFmtId="0" fontId="6" fillId="0" borderId="0" xfId="1" applyFont="1"/>
    <xf numFmtId="0" fontId="14" fillId="4" borderId="0" xfId="1" applyFont="1" applyFill="1"/>
    <xf numFmtId="0" fontId="6" fillId="4" borderId="0" xfId="1" applyFont="1" applyFill="1" applyAlignment="1">
      <alignment horizontal="right"/>
    </xf>
    <xf numFmtId="0" fontId="6" fillId="4" borderId="0" xfId="1" applyFont="1" applyFill="1" applyAlignment="1">
      <alignment horizontal="left"/>
    </xf>
    <xf numFmtId="0" fontId="6" fillId="0" borderId="11" xfId="1" applyFont="1" applyFill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7" fillId="0" borderId="0" xfId="1" applyFont="1"/>
    <xf numFmtId="0" fontId="6" fillId="5" borderId="0" xfId="1" applyFont="1" applyFill="1"/>
    <xf numFmtId="0" fontId="6" fillId="0" borderId="10" xfId="1" applyFont="1" applyBorder="1" applyAlignment="1">
      <alignment horizontal="left"/>
    </xf>
    <xf numFmtId="0" fontId="6" fillId="3" borderId="12" xfId="1" applyFont="1" applyFill="1" applyBorder="1" applyAlignment="1">
      <alignment horizontal="center"/>
    </xf>
    <xf numFmtId="0" fontId="6" fillId="6" borderId="12" xfId="1" applyFont="1" applyFill="1" applyBorder="1" applyAlignment="1">
      <alignment horizontal="center"/>
    </xf>
    <xf numFmtId="0" fontId="6" fillId="7" borderId="11" xfId="1" applyFont="1" applyFill="1" applyBorder="1" applyAlignment="1">
      <alignment horizontal="center"/>
    </xf>
    <xf numFmtId="0" fontId="15" fillId="0" borderId="0" xfId="2" applyFont="1" applyFill="1"/>
    <xf numFmtId="0" fontId="15" fillId="0" borderId="2" xfId="2" applyFont="1" applyBorder="1" applyAlignment="1">
      <alignment horizontal="center"/>
    </xf>
    <xf numFmtId="1" fontId="15" fillId="0" borderId="2" xfId="2" applyNumberFormat="1" applyFont="1" applyFill="1" applyBorder="1" applyAlignment="1">
      <alignment horizontal="center"/>
    </xf>
    <xf numFmtId="1" fontId="15" fillId="0" borderId="3" xfId="2" applyNumberFormat="1" applyFont="1" applyBorder="1" applyAlignment="1">
      <alignment horizontal="center"/>
    </xf>
    <xf numFmtId="1" fontId="15" fillId="0" borderId="13" xfId="2" applyNumberFormat="1" applyFont="1" applyBorder="1" applyAlignment="1">
      <alignment horizontal="center"/>
    </xf>
    <xf numFmtId="2" fontId="15" fillId="0" borderId="13" xfId="2" applyNumberFormat="1" applyFont="1" applyBorder="1" applyAlignment="1">
      <alignment horizontal="center"/>
    </xf>
    <xf numFmtId="2" fontId="15" fillId="0" borderId="3" xfId="2" applyNumberFormat="1" applyFont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6" borderId="0" xfId="1" applyFont="1" applyFill="1" applyAlignment="1">
      <alignment horizontal="center"/>
    </xf>
    <xf numFmtId="0" fontId="6" fillId="7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5" fillId="0" borderId="4" xfId="2" applyFont="1" applyBorder="1" applyAlignment="1">
      <alignment horizontal="center"/>
    </xf>
    <xf numFmtId="1" fontId="15" fillId="0" borderId="4" xfId="2" applyNumberFormat="1" applyFont="1" applyBorder="1" applyAlignment="1">
      <alignment horizontal="center"/>
    </xf>
    <xf numFmtId="1" fontId="15" fillId="0" borderId="5" xfId="2" applyNumberFormat="1" applyFont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/>
    </xf>
    <xf numFmtId="2" fontId="15" fillId="0" borderId="5" xfId="2" applyNumberFormat="1" applyFont="1" applyBorder="1" applyAlignment="1">
      <alignment horizontal="center"/>
    </xf>
    <xf numFmtId="0" fontId="6" fillId="0" borderId="0" xfId="4" applyFont="1"/>
    <xf numFmtId="0" fontId="15" fillId="0" borderId="6" xfId="2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1" fontId="15" fillId="0" borderId="7" xfId="2" applyNumberFormat="1" applyFont="1" applyBorder="1" applyAlignment="1">
      <alignment horizontal="center"/>
    </xf>
    <xf numFmtId="1" fontId="15" fillId="0" borderId="14" xfId="2" applyNumberFormat="1" applyFont="1" applyBorder="1" applyAlignment="1">
      <alignment horizontal="center"/>
    </xf>
    <xf numFmtId="2" fontId="15" fillId="0" borderId="14" xfId="2" applyNumberFormat="1" applyFont="1" applyBorder="1" applyAlignment="1">
      <alignment horizontal="center"/>
    </xf>
    <xf numFmtId="2" fontId="15" fillId="0" borderId="7" xfId="2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8" fillId="0" borderId="8" xfId="2" applyFont="1" applyFill="1" applyBorder="1"/>
    <xf numFmtId="0" fontId="18" fillId="0" borderId="9" xfId="2" applyFont="1" applyFill="1" applyBorder="1"/>
    <xf numFmtId="0" fontId="18" fillId="0" borderId="15" xfId="2" applyFont="1" applyFill="1" applyBorder="1"/>
    <xf numFmtId="166" fontId="18" fillId="0" borderId="8" xfId="2" applyNumberFormat="1" applyFont="1" applyFill="1" applyBorder="1"/>
    <xf numFmtId="166" fontId="18" fillId="0" borderId="9" xfId="2" applyNumberFormat="1" applyFont="1" applyFill="1" applyBorder="1"/>
    <xf numFmtId="166" fontId="18" fillId="0" borderId="15" xfId="2" applyNumberFormat="1" applyFont="1" applyFill="1" applyBorder="1"/>
    <xf numFmtId="0" fontId="15" fillId="0" borderId="10" xfId="2" applyFont="1" applyBorder="1"/>
    <xf numFmtId="0" fontId="15" fillId="0" borderId="11" xfId="2" applyFont="1" applyBorder="1"/>
    <xf numFmtId="0" fontId="15" fillId="0" borderId="1" xfId="2" applyFont="1" applyBorder="1"/>
    <xf numFmtId="0" fontId="15" fillId="14" borderId="0" xfId="2" applyFont="1" applyFill="1"/>
    <xf numFmtId="0" fontId="19" fillId="18" borderId="0" xfId="2" applyFont="1" applyFill="1" applyAlignment="1">
      <alignment horizontal="center" vertical="center"/>
    </xf>
    <xf numFmtId="164" fontId="19" fillId="18" borderId="0" xfId="2" applyNumberFormat="1" applyFont="1" applyFill="1" applyAlignment="1">
      <alignment horizontal="center" vertical="center"/>
    </xf>
    <xf numFmtId="165" fontId="19" fillId="18" borderId="0" xfId="2" applyNumberFormat="1" applyFont="1" applyFill="1" applyAlignment="1">
      <alignment horizontal="center" vertical="center"/>
    </xf>
    <xf numFmtId="0" fontId="15" fillId="0" borderId="0" xfId="2" applyFont="1" applyAlignment="1">
      <alignment horizontal="left"/>
    </xf>
    <xf numFmtId="165" fontId="15" fillId="0" borderId="0" xfId="2" applyNumberFormat="1" applyFont="1" applyAlignment="1">
      <alignment horizontal="center"/>
    </xf>
    <xf numFmtId="0" fontId="15" fillId="17" borderId="0" xfId="2" applyFont="1" applyFill="1" applyAlignment="1">
      <alignment horizontal="left"/>
    </xf>
    <xf numFmtId="1" fontId="19" fillId="16" borderId="0" xfId="2" applyNumberFormat="1" applyFont="1" applyFill="1" applyBorder="1" applyAlignment="1">
      <alignment horizontal="center"/>
    </xf>
    <xf numFmtId="164" fontId="19" fillId="12" borderId="0" xfId="2" applyNumberFormat="1" applyFont="1" applyFill="1" applyAlignment="1">
      <alignment horizontal="center"/>
    </xf>
    <xf numFmtId="2" fontId="15" fillId="0" borderId="0" xfId="2" applyNumberFormat="1" applyFont="1" applyAlignment="1">
      <alignment horizontal="center"/>
    </xf>
    <xf numFmtId="1" fontId="19" fillId="15" borderId="0" xfId="2" applyNumberFormat="1" applyFont="1" applyFill="1" applyAlignment="1">
      <alignment horizontal="center"/>
    </xf>
    <xf numFmtId="167" fontId="15" fillId="0" borderId="0" xfId="2" applyNumberFormat="1" applyFont="1" applyAlignment="1">
      <alignment horizontal="center"/>
    </xf>
    <xf numFmtId="2" fontId="16" fillId="2" borderId="0" xfId="2" applyNumberFormat="1" applyFont="1" applyFill="1" applyAlignment="1">
      <alignment horizontal="center"/>
    </xf>
    <xf numFmtId="0" fontId="15" fillId="0" borderId="0" xfId="2" applyFont="1" applyFill="1" applyBorder="1"/>
    <xf numFmtId="0" fontId="15" fillId="0" borderId="0" xfId="2" applyFont="1" applyFill="1" applyAlignment="1">
      <alignment horizontal="center"/>
    </xf>
    <xf numFmtId="0" fontId="15" fillId="0" borderId="9" xfId="2" applyFont="1" applyBorder="1"/>
    <xf numFmtId="167" fontId="15" fillId="0" borderId="9" xfId="2" applyNumberFormat="1" applyFont="1" applyBorder="1"/>
    <xf numFmtId="0" fontId="15" fillId="2" borderId="0" xfId="2" applyFont="1" applyFill="1"/>
    <xf numFmtId="0" fontId="20" fillId="2" borderId="0" xfId="2" applyFont="1" applyFill="1"/>
    <xf numFmtId="0" fontId="20" fillId="0" borderId="0" xfId="2" applyFont="1" applyFill="1"/>
    <xf numFmtId="0" fontId="6" fillId="0" borderId="0" xfId="1" applyFont="1" applyFill="1"/>
    <xf numFmtId="2" fontId="15" fillId="0" borderId="9" xfId="2" applyNumberFormat="1" applyFont="1" applyBorder="1"/>
    <xf numFmtId="0" fontId="16" fillId="0" borderId="8" xfId="2" applyFont="1" applyBorder="1" applyAlignment="1">
      <alignment horizontal="center"/>
    </xf>
    <xf numFmtId="1" fontId="15" fillId="0" borderId="8" xfId="2" applyNumberFormat="1" applyFont="1" applyBorder="1" applyAlignment="1">
      <alignment horizontal="center"/>
    </xf>
    <xf numFmtId="1" fontId="15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15" fillId="0" borderId="0" xfId="2" applyNumberFormat="1" applyFont="1" applyAlignment="1">
      <alignment horizontal="center"/>
    </xf>
    <xf numFmtId="2" fontId="15" fillId="0" borderId="0" xfId="2" applyNumberFormat="1" applyFont="1" applyFill="1" applyAlignment="1">
      <alignment horizontal="center"/>
    </xf>
    <xf numFmtId="164" fontId="15" fillId="0" borderId="0" xfId="2" applyNumberFormat="1" applyFont="1" applyFill="1"/>
    <xf numFmtId="0" fontId="0" fillId="0" borderId="0" xfId="0" applyFill="1" applyAlignment="1">
      <alignment horizontal="right"/>
    </xf>
    <xf numFmtId="0" fontId="15" fillId="0" borderId="0" xfId="2" applyFont="1" applyFill="1" applyAlignment="1">
      <alignment horizontal="left"/>
    </xf>
    <xf numFmtId="0" fontId="6" fillId="6" borderId="0" xfId="1" applyFont="1" applyFill="1" applyBorder="1" applyAlignment="1">
      <alignment horizontal="center"/>
    </xf>
    <xf numFmtId="2" fontId="6" fillId="6" borderId="0" xfId="1" applyNumberFormat="1" applyFont="1" applyFill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'0.ArdiData28Fixed'!$B$35:$B$62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7-45E6-9E44-8A94D7BFA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'0.ArdiData28Fixed'!$C$35:$C$62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A9-4C71-8129-0545F654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'0.ArdiData28Fixed'!$D$35:$D$62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7F-4433-AA9B-F4F81431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'0.ArdiData28Fixed'!$E$35:$E$62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D-43BE-AFB1-B80434DF1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Stationary!$B$2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Stationary!$A$3:$A$30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Stationary!$B$3:$B$30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7-4C8F-BC05-BEEC7CC4097D}"/>
            </c:ext>
          </c:extLst>
        </c:ser>
        <c:ser>
          <c:idx val="0"/>
          <c:order val="1"/>
          <c:tx>
            <c:strRef>
              <c:f>Stationary!$C$2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Stationary!$A$3:$A$31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Stationary!$C$3:$C$31</c:f>
              <c:numCache>
                <c:formatCode>0.00</c:formatCode>
                <c:ptCount val="29"/>
                <c:pt idx="0" formatCode="General">
                  <c:v>50</c:v>
                </c:pt>
                <c:pt idx="1">
                  <c:v>50.000000000000007</c:v>
                </c:pt>
                <c:pt idx="2">
                  <c:v>49.426764145374655</c:v>
                </c:pt>
                <c:pt idx="3">
                  <c:v>49.05010773803054</c:v>
                </c:pt>
                <c:pt idx="4">
                  <c:v>49.576335782204538</c:v>
                </c:pt>
                <c:pt idx="5">
                  <c:v>49.975850544148265</c:v>
                </c:pt>
                <c:pt idx="6">
                  <c:v>49.632462764731606</c:v>
                </c:pt>
                <c:pt idx="7">
                  <c:v>49.457454712098119</c:v>
                </c:pt>
                <c:pt idx="8">
                  <c:v>49.332318363459372</c:v>
                </c:pt>
                <c:pt idx="9">
                  <c:v>49.370557359785984</c:v>
                </c:pt>
                <c:pt idx="10">
                  <c:v>49.132766347342859</c:v>
                </c:pt>
                <c:pt idx="11">
                  <c:v>49.060933787564437</c:v>
                </c:pt>
                <c:pt idx="12">
                  <c:v>48.876101136812721</c:v>
                </c:pt>
                <c:pt idx="13">
                  <c:v>49.337530751342058</c:v>
                </c:pt>
                <c:pt idx="14">
                  <c:v>48.848273244308444</c:v>
                </c:pt>
                <c:pt idx="15">
                  <c:v>49.60842358107265</c:v>
                </c:pt>
                <c:pt idx="16">
                  <c:v>49.96134371957406</c:v>
                </c:pt>
                <c:pt idx="17">
                  <c:v>49.893441783656883</c:v>
                </c:pt>
                <c:pt idx="18">
                  <c:v>49.964673405820442</c:v>
                </c:pt>
                <c:pt idx="19">
                  <c:v>50.882660792037228</c:v>
                </c:pt>
                <c:pt idx="20">
                  <c:v>50.999998484608604</c:v>
                </c:pt>
                <c:pt idx="21">
                  <c:v>50.999998519355671</c:v>
                </c:pt>
                <c:pt idx="22">
                  <c:v>50.747774777270855</c:v>
                </c:pt>
                <c:pt idx="23">
                  <c:v>50.982852500765368</c:v>
                </c:pt>
                <c:pt idx="24">
                  <c:v>51.464763801105804</c:v>
                </c:pt>
                <c:pt idx="25">
                  <c:v>51.178953819896606</c:v>
                </c:pt>
                <c:pt idx="26">
                  <c:v>50.716261826360842</c:v>
                </c:pt>
                <c:pt idx="27">
                  <c:v>50.974991558174239</c:v>
                </c:pt>
                <c:pt idx="28">
                  <c:v>50.906776685040107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7-4C8F-BC05-BEEC7CC4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Trend!$B$2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Trend!$B$2</c:f>
              <c:strCache>
                <c:ptCount val="1"/>
                <c:pt idx="0">
                  <c:v>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Trend!$B$3:$B$30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Trend!$C$2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Trend!$C$3:$C$31</c:f>
              <c:numCache>
                <c:formatCode>0.00</c:formatCode>
                <c:ptCount val="29"/>
                <c:pt idx="0" formatCode="General">
                  <c:v>25</c:v>
                </c:pt>
                <c:pt idx="1">
                  <c:v>25</c:v>
                </c:pt>
                <c:pt idx="2">
                  <c:v>28</c:v>
                </c:pt>
                <c:pt idx="3">
                  <c:v>31</c:v>
                </c:pt>
                <c:pt idx="4">
                  <c:v>33</c:v>
                </c:pt>
                <c:pt idx="5">
                  <c:v>35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51</c:v>
                </c:pt>
                <c:pt idx="18">
                  <c:v>53</c:v>
                </c:pt>
                <c:pt idx="19">
                  <c:v>56</c:v>
                </c:pt>
                <c:pt idx="20">
                  <c:v>61</c:v>
                </c:pt>
                <c:pt idx="21">
                  <c:v>62</c:v>
                </c:pt>
                <c:pt idx="22">
                  <c:v>65</c:v>
                </c:pt>
                <c:pt idx="23">
                  <c:v>67</c:v>
                </c:pt>
                <c:pt idx="24">
                  <c:v>69</c:v>
                </c:pt>
                <c:pt idx="25">
                  <c:v>72</c:v>
                </c:pt>
                <c:pt idx="26">
                  <c:v>72</c:v>
                </c:pt>
                <c:pt idx="27">
                  <c:v>82</c:v>
                </c:pt>
                <c:pt idx="2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TrendAdj!$B$2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TrendAdj!$B$2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TrendAdj!$A$4:$A$31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TrendAdj!$B$4:$B$31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TrendAdj!$E$2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TrendAdj!$A$4:$A$32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TrendAdj!$E$4:$E$32</c:f>
              <c:numCache>
                <c:formatCode>0.0000</c:formatCode>
                <c:ptCount val="29"/>
                <c:pt idx="0">
                  <c:v>25.113300492610847</c:v>
                </c:pt>
                <c:pt idx="1">
                  <c:v>26.91048584750104</c:v>
                </c:pt>
                <c:pt idx="2">
                  <c:v>30.258090109322652</c:v>
                </c:pt>
                <c:pt idx="3">
                  <c:v>33.4947928995485</c:v>
                </c:pt>
                <c:pt idx="4">
                  <c:v>35.336931599438131</c:v>
                </c:pt>
                <c:pt idx="5">
                  <c:v>37.229435189558153</c:v>
                </c:pt>
                <c:pt idx="6">
                  <c:v>41.794325395462607</c:v>
                </c:pt>
                <c:pt idx="7">
                  <c:v>40.90280928789182</c:v>
                </c:pt>
                <c:pt idx="8">
                  <c:v>41.614772317134225</c:v>
                </c:pt>
                <c:pt idx="9">
                  <c:v>42.418632159619378</c:v>
                </c:pt>
                <c:pt idx="10">
                  <c:v>43.285069578091168</c:v>
                </c:pt>
                <c:pt idx="11">
                  <c:v>45.513164698279766</c:v>
                </c:pt>
                <c:pt idx="12">
                  <c:v>47.668487164991205</c:v>
                </c:pt>
                <c:pt idx="13">
                  <c:v>48.455209543042912</c:v>
                </c:pt>
                <c:pt idx="14">
                  <c:v>49.309977122866769</c:v>
                </c:pt>
                <c:pt idx="15">
                  <c:v>51.530125610424989</c:v>
                </c:pt>
                <c:pt idx="16">
                  <c:v>52.360991578469687</c:v>
                </c:pt>
                <c:pt idx="17">
                  <c:v>51.926773746701016</c:v>
                </c:pt>
                <c:pt idx="18">
                  <c:v>54.269181432447823</c:v>
                </c:pt>
                <c:pt idx="19">
                  <c:v>57.821390790298899</c:v>
                </c:pt>
                <c:pt idx="20">
                  <c:v>63.835510804640407</c:v>
                </c:pt>
                <c:pt idx="21">
                  <c:v>64.249899890960037</c:v>
                </c:pt>
                <c:pt idx="22">
                  <c:v>67.489215731049953</c:v>
                </c:pt>
                <c:pt idx="23">
                  <c:v>69.333133799784449</c:v>
                </c:pt>
                <c:pt idx="24">
                  <c:v>71.226849059658491</c:v>
                </c:pt>
                <c:pt idx="25">
                  <c:v>74.47351915685519</c:v>
                </c:pt>
                <c:pt idx="26">
                  <c:v>73.684354740176275</c:v>
                </c:pt>
                <c:pt idx="27">
                  <c:v>86.337421453886691</c:v>
                </c:pt>
                <c:pt idx="28" formatCode="General">
                  <c:v>95.505949562461765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TrendAndSeas!$B$4:$B$31</c:f>
              <c:numCache>
                <c:formatCode>General</c:formatCode>
                <c:ptCount val="28"/>
                <c:pt idx="0">
                  <c:v>21</c:v>
                </c:pt>
                <c:pt idx="1">
                  <c:v>41</c:v>
                </c:pt>
                <c:pt idx="2">
                  <c:v>91</c:v>
                </c:pt>
                <c:pt idx="3">
                  <c:v>48</c:v>
                </c:pt>
                <c:pt idx="4">
                  <c:v>44</c:v>
                </c:pt>
                <c:pt idx="5">
                  <c:v>80</c:v>
                </c:pt>
                <c:pt idx="6">
                  <c:v>151</c:v>
                </c:pt>
                <c:pt idx="7">
                  <c:v>54</c:v>
                </c:pt>
                <c:pt idx="8">
                  <c:v>30</c:v>
                </c:pt>
                <c:pt idx="9">
                  <c:v>69</c:v>
                </c:pt>
                <c:pt idx="10">
                  <c:v>212</c:v>
                </c:pt>
                <c:pt idx="11">
                  <c:v>75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TrendAndSeas!$F$2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TrendAndSeas!$F$4:$F$32</c:f>
              <c:numCache>
                <c:formatCode>0.0000</c:formatCode>
                <c:ptCount val="29"/>
                <c:pt idx="0">
                  <c:v>27.164327025786534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D-4363-8027-8ED1CEE4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'1.Trend&amp;Season'!$D$4:$D$78</c:f>
              <c:numCache>
                <c:formatCode>General</c:formatCode>
                <c:ptCount val="75"/>
                <c:pt idx="2" formatCode="0">
                  <c:v>0</c:v>
                </c:pt>
                <c:pt idx="3" formatCode="0">
                  <c:v>2422.8000000000002</c:v>
                </c:pt>
                <c:pt idx="4" formatCode="0">
                  <c:v>2559.8000000000002</c:v>
                </c:pt>
                <c:pt idx="5" formatCode="0">
                  <c:v>2845.8</c:v>
                </c:pt>
                <c:pt idx="6" formatCode="0">
                  <c:v>3034.6</c:v>
                </c:pt>
                <c:pt idx="7" formatCode="0">
                  <c:v>3277.6</c:v>
                </c:pt>
                <c:pt idx="8" formatCode="0">
                  <c:v>3400.2</c:v>
                </c:pt>
                <c:pt idx="9" formatCode="0">
                  <c:v>3516.2</c:v>
                </c:pt>
                <c:pt idx="10" formatCode="0">
                  <c:v>3651.2</c:v>
                </c:pt>
                <c:pt idx="11" formatCode="0">
                  <c:v>3858</c:v>
                </c:pt>
                <c:pt idx="12" formatCode="0">
                  <c:v>4070.2</c:v>
                </c:pt>
                <c:pt idx="13" formatCode="0">
                  <c:v>4243.2</c:v>
                </c:pt>
                <c:pt idx="14" formatCode="0">
                  <c:v>4451.8</c:v>
                </c:pt>
                <c:pt idx="15" formatCode="0">
                  <c:v>4687</c:v>
                </c:pt>
                <c:pt idx="16" formatCode="0">
                  <c:v>4842.6000000000004</c:v>
                </c:pt>
                <c:pt idx="17" formatCode="0">
                  <c:v>4920</c:v>
                </c:pt>
                <c:pt idx="18" formatCode="0">
                  <c:v>5034.3999999999996</c:v>
                </c:pt>
                <c:pt idx="19" formatCode="0">
                  <c:v>5223.3999999999996</c:v>
                </c:pt>
                <c:pt idx="20" formatCode="0">
                  <c:v>5364</c:v>
                </c:pt>
                <c:pt idx="21" formatCode="0">
                  <c:v>5512.8</c:v>
                </c:pt>
                <c:pt idx="22" formatCode="0">
                  <c:v>5848.6</c:v>
                </c:pt>
                <c:pt idx="23" formatCode="0">
                  <c:v>6154</c:v>
                </c:pt>
                <c:pt idx="24" formatCode="0">
                  <c:v>6309</c:v>
                </c:pt>
                <c:pt idx="25" formatCode="0">
                  <c:v>6427.8</c:v>
                </c:pt>
                <c:pt idx="26" formatCode="0">
                  <c:v>6675</c:v>
                </c:pt>
                <c:pt idx="27" formatCode="0">
                  <c:v>6739.4</c:v>
                </c:pt>
                <c:pt idx="28" formatCode="0">
                  <c:v>6838.8</c:v>
                </c:pt>
                <c:pt idx="29" formatCode="0">
                  <c:v>7045.6</c:v>
                </c:pt>
                <c:pt idx="30" formatCode="0">
                  <c:v>7202.6</c:v>
                </c:pt>
                <c:pt idx="31" formatCode="0">
                  <c:v>7338</c:v>
                </c:pt>
                <c:pt idx="32" formatCode="0">
                  <c:v>7756.2</c:v>
                </c:pt>
                <c:pt idx="33" formatCode="0">
                  <c:v>7808.2</c:v>
                </c:pt>
                <c:pt idx="34" formatCode="0">
                  <c:v>8095.2</c:v>
                </c:pt>
                <c:pt idx="35" formatCode="0">
                  <c:v>8295.7999999999993</c:v>
                </c:pt>
                <c:pt idx="36" formatCode="0">
                  <c:v>8447.7999999999993</c:v>
                </c:pt>
                <c:pt idx="37" formatCode="0">
                  <c:v>8541.6</c:v>
                </c:pt>
                <c:pt idx="38" formatCode="0">
                  <c:v>8950.2000000000007</c:v>
                </c:pt>
                <c:pt idx="39" formatCode="0">
                  <c:v>9000</c:v>
                </c:pt>
                <c:pt idx="40" formatCode="0">
                  <c:v>9344.6</c:v>
                </c:pt>
                <c:pt idx="41" formatCode="0">
                  <c:v>9561.6</c:v>
                </c:pt>
                <c:pt idx="42" formatCode="0">
                  <c:v>9674.2000000000007</c:v>
                </c:pt>
                <c:pt idx="43" formatCode="0">
                  <c:v>9844.4</c:v>
                </c:pt>
                <c:pt idx="44" formatCode="0">
                  <c:v>9758.7999999999993</c:v>
                </c:pt>
                <c:pt idx="45" formatCode="0">
                  <c:v>9652</c:v>
                </c:pt>
                <c:pt idx="46" formatCode="0">
                  <c:v>9867.2000000000007</c:v>
                </c:pt>
                <c:pt idx="47" formatCode="0">
                  <c:v>10139.4</c:v>
                </c:pt>
                <c:pt idx="48" formatCode="0">
                  <c:v>10297.4</c:v>
                </c:pt>
                <c:pt idx="49" formatCode="0">
                  <c:v>10579</c:v>
                </c:pt>
                <c:pt idx="50" formatCode="0">
                  <c:v>10899</c:v>
                </c:pt>
                <c:pt idx="51" formatCode="0">
                  <c:v>11155.6</c:v>
                </c:pt>
                <c:pt idx="52" formatCode="0">
                  <c:v>11263.4</c:v>
                </c:pt>
                <c:pt idx="53" formatCode="0">
                  <c:v>11328.8</c:v>
                </c:pt>
                <c:pt idx="54" formatCode="0">
                  <c:v>11331.2</c:v>
                </c:pt>
                <c:pt idx="55" formatCode="0">
                  <c:v>11388</c:v>
                </c:pt>
                <c:pt idx="56" formatCode="0">
                  <c:v>11828.6</c:v>
                </c:pt>
                <c:pt idx="57" formatCode="0">
                  <c:v>12354.6</c:v>
                </c:pt>
                <c:pt idx="58" formatCode="0">
                  <c:v>12180.2</c:v>
                </c:pt>
                <c:pt idx="59" formatCode="0">
                  <c:v>12693</c:v>
                </c:pt>
                <c:pt idx="60" formatCode="0">
                  <c:v>13073.4</c:v>
                </c:pt>
                <c:pt idx="61" formatCode="0">
                  <c:v>13102.8</c:v>
                </c:pt>
                <c:pt idx="62" formatCode="0">
                  <c:v>13036.4</c:v>
                </c:pt>
                <c:pt idx="63" formatCode="0">
                  <c:v>13399.2</c:v>
                </c:pt>
                <c:pt idx="64" formatCode="0">
                  <c:v>13736.8</c:v>
                </c:pt>
                <c:pt idx="65" formatCode="0">
                  <c:v>13894</c:v>
                </c:pt>
                <c:pt idx="66" formatCode="0">
                  <c:v>14130.2</c:v>
                </c:pt>
                <c:pt idx="67" formatCode="0">
                  <c:v>14704</c:v>
                </c:pt>
                <c:pt idx="68" formatCode="0">
                  <c:v>14771.4</c:v>
                </c:pt>
                <c:pt idx="69" formatCode="0">
                  <c:v>14716.8</c:v>
                </c:pt>
                <c:pt idx="70" formatCode="0">
                  <c:v>14915.2</c:v>
                </c:pt>
                <c:pt idx="71" formatCode="0">
                  <c:v>14936.2</c:v>
                </c:pt>
                <c:pt idx="72" formatCode="0">
                  <c:v>15019.4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'1.Trend&amp;Season'!$E$3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'1.Trend&amp;Season'!$E$4:$E$78</c:f>
              <c:numCache>
                <c:formatCode>0.0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'1.Trend&amp;Season'!$H$3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'1.Trend&amp;Season'!$H$4:$H$83</c:f>
              <c:numCache>
                <c:formatCode>0.00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'0.Regression'!$Q$2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22C5FDB-6293-47B9-BB4A-CDB6129BC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E939318-BE16-4DA0-AD1E-F492EDBFD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FC14422-0DB4-4630-B4CD-6E7080BC4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67D2386-A918-40E4-B753-3CE1CD3F4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196271</xdr:colOff>
      <xdr:row>2</xdr:row>
      <xdr:rowOff>140854</xdr:rowOff>
    </xdr:from>
    <xdr:to>
      <xdr:col>21</xdr:col>
      <xdr:colOff>52564</xdr:colOff>
      <xdr:row>17</xdr:row>
      <xdr:rowOff>201333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BF11A3-D03F-4F83-9B60-FFD47044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196271</xdr:colOff>
      <xdr:row>2</xdr:row>
      <xdr:rowOff>140854</xdr:rowOff>
    </xdr:from>
    <xdr:to>
      <xdr:col>21</xdr:col>
      <xdr:colOff>52564</xdr:colOff>
      <xdr:row>17</xdr:row>
      <xdr:rowOff>201333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610A1-562F-4722-8907-CBCF19E2A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116896</xdr:colOff>
      <xdr:row>18</xdr:row>
      <xdr:rowOff>21791</xdr:rowOff>
    </xdr:from>
    <xdr:to>
      <xdr:col>21</xdr:col>
      <xdr:colOff>2955</xdr:colOff>
      <xdr:row>33</xdr:row>
      <xdr:rowOff>102114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223EA-0220-4D8C-9C6B-F2A70E09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116896</xdr:colOff>
      <xdr:row>18</xdr:row>
      <xdr:rowOff>21791</xdr:rowOff>
    </xdr:from>
    <xdr:to>
      <xdr:col>23</xdr:col>
      <xdr:colOff>2955</xdr:colOff>
      <xdr:row>33</xdr:row>
      <xdr:rowOff>102114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A4095-3EA3-43C8-B4F6-16EAD540A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227086</xdr:colOff>
      <xdr:row>8</xdr:row>
      <xdr:rowOff>16655</xdr:rowOff>
    </xdr:from>
    <xdr:to>
      <xdr:col>15</xdr:col>
      <xdr:colOff>79124</xdr:colOff>
      <xdr:row>23</xdr:row>
      <xdr:rowOff>138110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277945</xdr:colOff>
      <xdr:row>8</xdr:row>
      <xdr:rowOff>39568</xdr:rowOff>
    </xdr:from>
    <xdr:to>
      <xdr:col>22</xdr:col>
      <xdr:colOff>482109</xdr:colOff>
      <xdr:row>23</xdr:row>
      <xdr:rowOff>177994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259444</xdr:colOff>
      <xdr:row>21</xdr:row>
      <xdr:rowOff>2065</xdr:rowOff>
    </xdr:from>
    <xdr:to>
      <xdr:col>15</xdr:col>
      <xdr:colOff>114968</xdr:colOff>
      <xdr:row>36</xdr:row>
      <xdr:rowOff>145710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228600</xdr:colOff>
      <xdr:row>21</xdr:row>
      <xdr:rowOff>57150</xdr:rowOff>
    </xdr:from>
    <xdr:to>
      <xdr:col>23</xdr:col>
      <xdr:colOff>161925</xdr:colOff>
      <xdr:row>37</xdr:row>
      <xdr:rowOff>15240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497087</xdr:colOff>
      <xdr:row>2</xdr:row>
      <xdr:rowOff>72030</xdr:rowOff>
    </xdr:from>
    <xdr:to>
      <xdr:col>26</xdr:col>
      <xdr:colOff>59531</xdr:colOff>
      <xdr:row>20</xdr:row>
      <xdr:rowOff>148828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zoomScale="96" zoomScaleNormal="96" workbookViewId="0">
      <selection activeCell="C2" sqref="C2:C30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21 - 28</v>
      </c>
      <c r="G2" s="104">
        <f>Y4</f>
        <v>21</v>
      </c>
      <c r="H2" s="105">
        <f t="shared" ref="H2:H14" si="0">G2+$Y$3</f>
        <v>28</v>
      </c>
      <c r="I2" s="160">
        <f>COUNTIF($B$3:$B$34,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AVERAGE($B$3:$B$34)</f>
        <v>51.392857142857146</v>
      </c>
      <c r="P2" s="131">
        <f>AVERAGE($B$3:$B$34)</f>
        <v>51.392857142857146</v>
      </c>
      <c r="Q2" s="131">
        <f>AVERAGE($B$3:$B$34)</f>
        <v>51.392857142857146</v>
      </c>
      <c r="R2" s="131">
        <f>AVERAGE($D$3:$D$34)</f>
        <v>51.392857142857146</v>
      </c>
      <c r="V2" s="94" t="s">
        <v>102</v>
      </c>
      <c r="Y2" s="94">
        <f>ROUND(O6/10,0)</f>
        <v>7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50</v>
      </c>
      <c r="C3" s="110">
        <v>25</v>
      </c>
      <c r="D3" s="111">
        <v>33</v>
      </c>
      <c r="E3" s="112">
        <v>39</v>
      </c>
      <c r="F3" s="113" t="str">
        <f t="shared" ref="F3:F14" si="3">G3&amp;" - "&amp;H3</f>
        <v>28 - 35</v>
      </c>
      <c r="G3" s="114">
        <f>H2</f>
        <v>28</v>
      </c>
      <c r="H3" s="115">
        <f t="shared" si="0"/>
        <v>35</v>
      </c>
      <c r="I3" s="160">
        <f>COUNTIF($B$3:$B$34, "&lt;"&amp;H3)</f>
        <v>4</v>
      </c>
      <c r="J3" s="116">
        <f>I3-I2</f>
        <v>3</v>
      </c>
      <c r="K3" s="117">
        <f t="shared" si="1"/>
        <v>0.10714285714285714</v>
      </c>
      <c r="L3" s="118">
        <f t="shared" si="2"/>
        <v>0.14285714285714285</v>
      </c>
      <c r="N3" s="152" t="s">
        <v>99</v>
      </c>
      <c r="O3" s="158">
        <f>MEDIAN(B$3:B$34)</f>
        <v>49</v>
      </c>
      <c r="P3" s="158">
        <f>MEDIAN(C$3:C$34)</f>
        <v>49</v>
      </c>
      <c r="Q3" s="158">
        <f>MEDIAN(D$3:D$34)</f>
        <v>49</v>
      </c>
      <c r="R3" s="158">
        <f>MEDIAN(E$3:E$34)</f>
        <v>49</v>
      </c>
      <c r="V3" s="94" t="s">
        <v>103</v>
      </c>
      <c r="Y3" s="94">
        <f>ROUND(Y2,-LEN(Y2)+1)</f>
        <v>7</v>
      </c>
      <c r="AN3" s="97">
        <v>1</v>
      </c>
      <c r="AO3" s="97">
        <f ca="1">ABS(_xlfn.NORM.INV(RAND(),$AQ$1,$AS$1))</f>
        <v>15.781967940604048</v>
      </c>
      <c r="AP3" s="97">
        <f ca="1">SMALL($AO$3:$AO$30,ROWS(AO$3:AO3))</f>
        <v>12.193687366921308</v>
      </c>
      <c r="AQ3" s="119">
        <f ca="1">AR3+RAND()</f>
        <v>1.2255775626421108</v>
      </c>
      <c r="AR3" s="119">
        <v>1</v>
      </c>
      <c r="AS3" s="86">
        <f ca="1">ROUNDUP(AP3*AQ3,0)</f>
        <v>15</v>
      </c>
      <c r="AT3" s="86">
        <f ca="1">RAND()</f>
        <v>0.42099733696550479</v>
      </c>
      <c r="AU3" s="86">
        <f ca="1">INDEX($AS$3:$AS$30,MATCH(SMALL($AT$3:$AT$30,ROWS(AT$3:AT3)),$AT$3:$AT$30,0))</f>
        <v>42</v>
      </c>
      <c r="AV3" s="86">
        <f ca="1">SMALL($AS$3:$AS$30,ROWS(AV$3:AV3))</f>
        <v>15</v>
      </c>
      <c r="AW3" s="94">
        <f ca="1">VLOOKUP(SMALL($BB$3:$BB$16,AX3),$BB$3:$BC$30,2,0)</f>
        <v>34</v>
      </c>
      <c r="AX3" s="94">
        <v>1</v>
      </c>
      <c r="BA3" s="94">
        <v>1</v>
      </c>
      <c r="BB3" s="94">
        <f ca="1">RAND()</f>
        <v>0.48195891976477134</v>
      </c>
      <c r="BC3" s="94">
        <f ca="1">AV3</f>
        <v>15</v>
      </c>
    </row>
    <row r="4" spans="1:55" ht="17.25" thickBot="1" x14ac:dyDescent="0.35">
      <c r="A4" s="9">
        <v>2</v>
      </c>
      <c r="B4" s="109">
        <v>25</v>
      </c>
      <c r="C4" s="110">
        <v>28</v>
      </c>
      <c r="D4" s="111">
        <v>35</v>
      </c>
      <c r="E4" s="112">
        <v>67</v>
      </c>
      <c r="F4" s="113" t="str">
        <f t="shared" si="3"/>
        <v>35 - 42</v>
      </c>
      <c r="G4" s="114">
        <f t="shared" ref="G4:G13" si="4">H3</f>
        <v>35</v>
      </c>
      <c r="H4" s="115">
        <f t="shared" si="0"/>
        <v>42</v>
      </c>
      <c r="I4" s="160">
        <f>COUNTIF($B$3:$B$34, "&lt;"&amp;H4)</f>
        <v>9</v>
      </c>
      <c r="J4" s="116">
        <f t="shared" ref="J4:J14" si="5">I4-I3</f>
        <v>5</v>
      </c>
      <c r="K4" s="117">
        <f t="shared" si="1"/>
        <v>0.17857142857142858</v>
      </c>
      <c r="L4" s="118">
        <f t="shared" si="2"/>
        <v>0.32142857142857145</v>
      </c>
      <c r="N4" s="129" t="s">
        <v>13</v>
      </c>
      <c r="O4" s="132">
        <f>MAX(B$3:B$34)</f>
        <v>90</v>
      </c>
      <c r="P4" s="132">
        <f>MAX(C$3:C$34)</f>
        <v>90</v>
      </c>
      <c r="Q4" s="132">
        <f>MAX(D$3:D$34)</f>
        <v>90</v>
      </c>
      <c r="R4" s="132">
        <f>MAX(E$3:E$34)</f>
        <v>90</v>
      </c>
      <c r="V4" s="94" t="s">
        <v>104</v>
      </c>
      <c r="Y4" s="94">
        <f>Y3*INT(O5/Y3)</f>
        <v>21</v>
      </c>
      <c r="AN4" s="97">
        <v>2</v>
      </c>
      <c r="AO4" s="97">
        <f t="shared" ref="AO4:AO30" ca="1" si="6">ABS(_xlfn.NORM.INV(RAND(),$AQ$1,$AS$1))</f>
        <v>25.342637652282729</v>
      </c>
      <c r="AP4" s="97">
        <f ca="1">SMALL($AO$3:$AO$30,ROWS(AO$3:AO4))</f>
        <v>15.781967940604048</v>
      </c>
      <c r="AQ4" s="119">
        <f t="shared" ref="AQ4:AQ30" ca="1" si="7">AR4+RAND()</f>
        <v>2.1329917466098798</v>
      </c>
      <c r="AR4" s="119">
        <v>1.5</v>
      </c>
      <c r="AS4" s="86">
        <f t="shared" ref="AS4:AS30" ca="1" si="8">ROUNDUP(AP4*AQ4,0)</f>
        <v>34</v>
      </c>
      <c r="AT4" s="86">
        <f t="shared" ref="AT4:AT30" ca="1" si="9">RAND()</f>
        <v>0.39431588911550108</v>
      </c>
      <c r="AU4" s="86">
        <f ca="1">INDEX($AS$3:$AS$30,MATCH(SMALL($AT$3:$AT$30,ROWS(AT$3:AT4)),$AT$3:$AT$30,0))</f>
        <v>39</v>
      </c>
      <c r="AV4" s="86">
        <f ca="1">SMALL($AS$3:$AS$30,ROWS(AV$3:AV4))</f>
        <v>22</v>
      </c>
      <c r="AW4" s="94">
        <f ca="1">VLOOKUP(SMALL($BB$17:$BB$30,AX4),$BB$17:$BC$30,2,0)</f>
        <v>55</v>
      </c>
      <c r="AX4" s="94">
        <v>1</v>
      </c>
      <c r="BA4" s="94">
        <v>2</v>
      </c>
      <c r="BB4" s="94">
        <f t="shared" ref="BB4:BB30" ca="1" si="10">RAND()</f>
        <v>0.84618468108293143</v>
      </c>
      <c r="BC4" s="94">
        <f t="shared" ref="BC4:BC30" ca="1" si="11">AV4</f>
        <v>22</v>
      </c>
    </row>
    <row r="5" spans="1:55" ht="17.25" thickBot="1" x14ac:dyDescent="0.35">
      <c r="A5" s="9">
        <v>3</v>
      </c>
      <c r="B5" s="109">
        <v>33</v>
      </c>
      <c r="C5" s="110">
        <v>31</v>
      </c>
      <c r="D5" s="111">
        <v>48</v>
      </c>
      <c r="E5" s="112">
        <v>50</v>
      </c>
      <c r="F5" s="113" t="str">
        <f t="shared" si="3"/>
        <v>42 - 49</v>
      </c>
      <c r="G5" s="114">
        <f t="shared" si="4"/>
        <v>42</v>
      </c>
      <c r="H5" s="115">
        <f t="shared" si="0"/>
        <v>49</v>
      </c>
      <c r="I5" s="160">
        <f>COUNTIF($B$3:$B$34, "&lt;"&amp;H5)</f>
        <v>14</v>
      </c>
      <c r="J5" s="116">
        <f t="shared" si="5"/>
        <v>5</v>
      </c>
      <c r="K5" s="117">
        <f t="shared" si="1"/>
        <v>0.17857142857142858</v>
      </c>
      <c r="L5" s="118">
        <f t="shared" si="2"/>
        <v>0.5</v>
      </c>
      <c r="N5" s="129" t="s">
        <v>14</v>
      </c>
      <c r="O5" s="132">
        <f>MIN(B$3:B$34)</f>
        <v>25</v>
      </c>
      <c r="P5" s="132">
        <f>MIN(C$3:C$34)</f>
        <v>25</v>
      </c>
      <c r="Q5" s="132">
        <f>MIN(D$3:D$34)</f>
        <v>25</v>
      </c>
      <c r="R5" s="132">
        <f>MIN(E$3:E$34)</f>
        <v>25</v>
      </c>
      <c r="V5" s="94" t="s">
        <v>101</v>
      </c>
      <c r="Y5" s="94">
        <f>ROUNDUP(O4/Y3,0)</f>
        <v>13</v>
      </c>
      <c r="AN5" s="97">
        <v>3</v>
      </c>
      <c r="AO5" s="97">
        <f t="shared" ca="1" si="6"/>
        <v>21.78186539535168</v>
      </c>
      <c r="AP5" s="97">
        <f ca="1">SMALL($AO$3:$AO$30,ROWS(AO$3:AO5))</f>
        <v>15.985573052026831</v>
      </c>
      <c r="AQ5" s="119">
        <f t="shared" ca="1" si="7"/>
        <v>2.4079463005726152</v>
      </c>
      <c r="AR5" s="119">
        <v>2</v>
      </c>
      <c r="AS5" s="86">
        <f t="shared" ca="1" si="8"/>
        <v>39</v>
      </c>
      <c r="AT5" s="86">
        <f t="shared" ca="1" si="9"/>
        <v>0.63895802119978828</v>
      </c>
      <c r="AU5" s="86">
        <f ca="1">INDEX($AS$3:$AS$30,MATCH(SMALL($AT$3:$AT$30,ROWS(AT$3:AT5)),$AT$3:$AT$30,0))</f>
        <v>24</v>
      </c>
      <c r="AV5" s="86">
        <f ca="1">SMALL($AS$3:$AS$30,ROWS(AV$3:AV5))</f>
        <v>24</v>
      </c>
      <c r="AW5" s="94">
        <f ca="1">VLOOKUP(SMALL($BB$17:$BB$30,AX5),$BB$17:$BC$30,2,0)</f>
        <v>66</v>
      </c>
      <c r="AX5" s="94">
        <v>2</v>
      </c>
      <c r="BA5" s="94">
        <v>3</v>
      </c>
      <c r="BB5" s="94">
        <f t="shared" ca="1" si="10"/>
        <v>0.82350030552673692</v>
      </c>
      <c r="BC5" s="94">
        <f t="shared" ca="1" si="11"/>
        <v>24</v>
      </c>
    </row>
    <row r="6" spans="1:55" ht="17.25" thickBot="1" x14ac:dyDescent="0.35">
      <c r="A6" s="9">
        <v>4</v>
      </c>
      <c r="B6" s="109">
        <v>72</v>
      </c>
      <c r="C6" s="110">
        <v>33</v>
      </c>
      <c r="D6" s="111">
        <v>28</v>
      </c>
      <c r="E6" s="112">
        <v>35</v>
      </c>
      <c r="F6" s="113" t="str">
        <f t="shared" si="3"/>
        <v>49 - 56</v>
      </c>
      <c r="G6" s="114">
        <f t="shared" si="4"/>
        <v>49</v>
      </c>
      <c r="H6" s="115">
        <f t="shared" si="0"/>
        <v>56</v>
      </c>
      <c r="I6" s="160">
        <f>COUNTIF($B$3:$B$34, "&lt;"&amp;H6)</f>
        <v>18</v>
      </c>
      <c r="J6" s="116">
        <f t="shared" si="5"/>
        <v>4</v>
      </c>
      <c r="K6" s="117">
        <f t="shared" si="1"/>
        <v>0.14285714285714285</v>
      </c>
      <c r="L6" s="118">
        <f t="shared" si="2"/>
        <v>0.6428571428571429</v>
      </c>
      <c r="N6" s="129" t="s">
        <v>5</v>
      </c>
      <c r="O6" s="132">
        <f>O4-O5</f>
        <v>65</v>
      </c>
      <c r="P6" s="132">
        <f t="shared" ref="P6:R6" si="12">P4-P5</f>
        <v>65</v>
      </c>
      <c r="Q6" s="132">
        <f t="shared" si="12"/>
        <v>65</v>
      </c>
      <c r="R6" s="132">
        <f t="shared" si="12"/>
        <v>65</v>
      </c>
      <c r="V6" s="102" t="s">
        <v>105</v>
      </c>
      <c r="W6" s="102"/>
      <c r="X6" s="102"/>
      <c r="Y6" s="94">
        <f>Y5*Y3</f>
        <v>91</v>
      </c>
      <c r="AN6" s="97">
        <v>4</v>
      </c>
      <c r="AO6" s="97">
        <f t="shared" ca="1" si="6"/>
        <v>26.535988849146673</v>
      </c>
      <c r="AP6" s="97">
        <f ca="1">SMALL($AO$3:$AO$30,ROWS(AO$3:AO6))</f>
        <v>17.027686993319673</v>
      </c>
      <c r="AQ6" s="119">
        <f t="shared" ca="1" si="7"/>
        <v>1.2408606574671035</v>
      </c>
      <c r="AR6" s="119">
        <v>1</v>
      </c>
      <c r="AS6" s="86">
        <f t="shared" ca="1" si="8"/>
        <v>22</v>
      </c>
      <c r="AT6" s="86">
        <f t="shared" ca="1" si="9"/>
        <v>0.68415739330199865</v>
      </c>
      <c r="AU6" s="86">
        <f ca="1">INDEX($AS$3:$AS$30,MATCH(SMALL($AT$3:$AT$30,ROWS(AT$3:AT6)),$AT$3:$AT$30,0))</f>
        <v>53</v>
      </c>
      <c r="AV6" s="86">
        <f ca="1">SMALL($AS$3:$AS$30,ROWS(AV$3:AV6))</f>
        <v>24</v>
      </c>
      <c r="AW6" s="94">
        <f ca="1">VLOOKUP(SMALL($BB$3:$BB$16,AX6),$BB$3:$BC$30,2,0)</f>
        <v>34</v>
      </c>
      <c r="AX6" s="94">
        <v>2</v>
      </c>
      <c r="BA6" s="94">
        <v>4</v>
      </c>
      <c r="BB6" s="94">
        <f t="shared" ca="1" si="10"/>
        <v>0.67484006463778534</v>
      </c>
      <c r="BC6" s="94">
        <f t="shared" ca="1" si="11"/>
        <v>24</v>
      </c>
    </row>
    <row r="7" spans="1:55" ht="17.25" thickBot="1" x14ac:dyDescent="0.35">
      <c r="A7" s="9">
        <v>5</v>
      </c>
      <c r="B7" s="109">
        <v>67</v>
      </c>
      <c r="C7" s="110">
        <v>35</v>
      </c>
      <c r="D7" s="111">
        <v>25</v>
      </c>
      <c r="E7" s="112">
        <v>28</v>
      </c>
      <c r="F7" s="113" t="str">
        <f t="shared" si="3"/>
        <v>56 - 63</v>
      </c>
      <c r="G7" s="114">
        <f t="shared" si="4"/>
        <v>56</v>
      </c>
      <c r="H7" s="115">
        <f t="shared" si="0"/>
        <v>63</v>
      </c>
      <c r="I7" s="160">
        <f>COUNTIF($B$3:$B$34, "&lt;"&amp;H7)</f>
        <v>21</v>
      </c>
      <c r="J7" s="116">
        <f t="shared" si="5"/>
        <v>3</v>
      </c>
      <c r="K7" s="117">
        <f t="shared" si="1"/>
        <v>0.10714285714285714</v>
      </c>
      <c r="L7" s="118">
        <f t="shared" si="2"/>
        <v>0.75</v>
      </c>
      <c r="N7" s="129" t="s">
        <v>15</v>
      </c>
      <c r="O7" s="132">
        <f>_xlfn.STDEV.S(B$3:B$34)</f>
        <v>16.398598146305705</v>
      </c>
      <c r="P7" s="132">
        <f>_xlfn.STDEV.S(C$3:C$34)</f>
        <v>16.398598146305705</v>
      </c>
      <c r="Q7" s="132">
        <f>_xlfn.STDEV.S(D$3:D$34)</f>
        <v>16.398598146305705</v>
      </c>
      <c r="R7" s="132">
        <f>_xlfn.STDEV.S(E$3:E$34)</f>
        <v>16.398598146305705</v>
      </c>
      <c r="V7" s="94" t="s">
        <v>106</v>
      </c>
      <c r="Y7" s="94">
        <v>4</v>
      </c>
      <c r="AN7" s="97">
        <v>5</v>
      </c>
      <c r="AO7" s="97">
        <f t="shared" ca="1" si="6"/>
        <v>20.678651044923036</v>
      </c>
      <c r="AP7" s="97">
        <f ca="1">SMALL($AO$3:$AO$30,ROWS(AO$3:AO7))</f>
        <v>17.337448518772156</v>
      </c>
      <c r="AQ7" s="119">
        <f t="shared" ca="1" si="7"/>
        <v>1.3732546874939058</v>
      </c>
      <c r="AR7" s="119">
        <f>AR3</f>
        <v>1</v>
      </c>
      <c r="AS7" s="86">
        <f t="shared" ca="1" si="8"/>
        <v>24</v>
      </c>
      <c r="AT7" s="86">
        <f t="shared" ca="1" si="9"/>
        <v>0.57944971376222743</v>
      </c>
      <c r="AU7" s="86">
        <f ca="1">INDEX($AS$3:$AS$30,MATCH(SMALL($AT$3:$AT$30,ROWS(AT$3:AT7)),$AT$3:$AT$30,0))</f>
        <v>42</v>
      </c>
      <c r="AV7" s="86">
        <f ca="1">SMALL($AS$3:$AS$30,ROWS(AV$3:AV7))</f>
        <v>28</v>
      </c>
      <c r="AW7" s="94">
        <f ca="1">VLOOKUP(SMALL($BB$3:$BB$16,AX7),$BB$3:$BC$30,2,0)</f>
        <v>37</v>
      </c>
      <c r="AX7" s="94">
        <f>2+AX3</f>
        <v>3</v>
      </c>
      <c r="BA7" s="94">
        <v>5</v>
      </c>
      <c r="BB7" s="94">
        <f t="shared" ca="1" si="10"/>
        <v>0.72389657645964089</v>
      </c>
      <c r="BC7" s="94">
        <f t="shared" ca="1" si="11"/>
        <v>28</v>
      </c>
    </row>
    <row r="8" spans="1:55" ht="17.25" thickBot="1" x14ac:dyDescent="0.35">
      <c r="A8" s="9">
        <v>6</v>
      </c>
      <c r="B8" s="109">
        <v>35</v>
      </c>
      <c r="C8" s="110">
        <v>39</v>
      </c>
      <c r="D8" s="111">
        <v>53</v>
      </c>
      <c r="E8" s="112">
        <v>61</v>
      </c>
      <c r="F8" s="113" t="str">
        <f t="shared" si="3"/>
        <v>63 - 70</v>
      </c>
      <c r="G8" s="114">
        <f t="shared" si="4"/>
        <v>63</v>
      </c>
      <c r="H8" s="115">
        <f t="shared" si="0"/>
        <v>70</v>
      </c>
      <c r="I8" s="160">
        <f>COUNTIF($B$3:$B$34, "&lt;"&amp;H8)</f>
        <v>24</v>
      </c>
      <c r="J8" s="116">
        <f t="shared" si="5"/>
        <v>3</v>
      </c>
      <c r="K8" s="117">
        <f t="shared" si="1"/>
        <v>0.10714285714285714</v>
      </c>
      <c r="L8" s="118">
        <f t="shared" si="2"/>
        <v>0.8571428571428571</v>
      </c>
      <c r="N8" s="129" t="s">
        <v>16</v>
      </c>
      <c r="O8" s="132">
        <f>O7/O2</f>
        <v>0.3190832161894091</v>
      </c>
      <c r="P8" s="132">
        <f t="shared" ref="P8:R8" si="13">P7/P2</f>
        <v>0.3190832161894091</v>
      </c>
      <c r="Q8" s="132">
        <f t="shared" si="13"/>
        <v>0.3190832161894091</v>
      </c>
      <c r="R8" s="132">
        <f t="shared" si="13"/>
        <v>0.3190832161894091</v>
      </c>
      <c r="AN8" s="97">
        <v>6</v>
      </c>
      <c r="AO8" s="97">
        <f t="shared" ca="1" si="6"/>
        <v>22.103749478423101</v>
      </c>
      <c r="AP8" s="97">
        <f ca="1">SMALL($AO$3:$AO$30,ROWS(AO$3:AO8))</f>
        <v>18.799933097808399</v>
      </c>
      <c r="AQ8" s="119">
        <f t="shared" ca="1" si="7"/>
        <v>1.7998220072170321</v>
      </c>
      <c r="AR8" s="119">
        <f t="shared" ref="AR8:AR30" si="14">AR4</f>
        <v>1.5</v>
      </c>
      <c r="AS8" s="86">
        <f t="shared" ca="1" si="8"/>
        <v>34</v>
      </c>
      <c r="AT8" s="86">
        <f t="shared" ca="1" si="9"/>
        <v>0.80344427761893611</v>
      </c>
      <c r="AU8" s="86">
        <f ca="1">INDEX($AS$3:$AS$30,MATCH(SMALL($AT$3:$AT$30,ROWS(AT$3:AT8)),$AT$3:$AT$30,0))</f>
        <v>55</v>
      </c>
      <c r="AV8" s="86">
        <f ca="1">SMALL($AS$3:$AS$30,ROWS(AV$3:AV8))</f>
        <v>32</v>
      </c>
      <c r="AW8" s="94">
        <f ca="1">VLOOKUP(SMALL($BB$17:$BB$30,AX8),$BB$17:$BC$30,2,0)</f>
        <v>73</v>
      </c>
      <c r="AX8" s="94">
        <f>2+AX4</f>
        <v>3</v>
      </c>
      <c r="BA8" s="94">
        <v>6</v>
      </c>
      <c r="BB8" s="94">
        <f t="shared" ca="1" si="10"/>
        <v>0.97116277165868881</v>
      </c>
      <c r="BC8" s="94">
        <f t="shared" ca="1" si="11"/>
        <v>32</v>
      </c>
    </row>
    <row r="9" spans="1:55" ht="17.25" thickBot="1" x14ac:dyDescent="0.35">
      <c r="A9" s="9">
        <v>7</v>
      </c>
      <c r="B9" s="109">
        <v>42</v>
      </c>
      <c r="C9" s="110">
        <v>39</v>
      </c>
      <c r="D9" s="111">
        <v>50</v>
      </c>
      <c r="E9" s="112">
        <v>51</v>
      </c>
      <c r="F9" s="113" t="str">
        <f t="shared" si="3"/>
        <v>70 - 77</v>
      </c>
      <c r="G9" s="114">
        <f t="shared" si="4"/>
        <v>70</v>
      </c>
      <c r="H9" s="115">
        <f t="shared" si="0"/>
        <v>77</v>
      </c>
      <c r="I9" s="160">
        <f>COUNTIF($B$3:$B$34, "&lt;"&amp;H9)</f>
        <v>26</v>
      </c>
      <c r="J9" s="116">
        <f t="shared" si="5"/>
        <v>2</v>
      </c>
      <c r="K9" s="117">
        <f t="shared" si="1"/>
        <v>7.1428571428571425E-2</v>
      </c>
      <c r="L9" s="118">
        <f t="shared" si="2"/>
        <v>0.9285714285714286</v>
      </c>
      <c r="N9" s="152" t="s">
        <v>100</v>
      </c>
      <c r="O9" s="153">
        <f>O2/O3</f>
        <v>1.0488338192419826</v>
      </c>
      <c r="P9" s="153">
        <f t="shared" ref="P9:R9" si="15">P2/P3</f>
        <v>1.0488338192419826</v>
      </c>
      <c r="Q9" s="153">
        <f t="shared" si="15"/>
        <v>1.0488338192419826</v>
      </c>
      <c r="R9" s="153">
        <f t="shared" si="15"/>
        <v>1.0488338192419826</v>
      </c>
      <c r="AN9" s="97">
        <v>8</v>
      </c>
      <c r="AO9" s="97">
        <f t="shared" ca="1" si="6"/>
        <v>23.235319449120958</v>
      </c>
      <c r="AP9" s="97">
        <f ca="1">SMALL($AO$3:$AO$30,ROWS(AO$3:AO9))</f>
        <v>19.757022100546887</v>
      </c>
      <c r="AQ9" s="119">
        <f t="shared" ca="1" si="7"/>
        <v>2.3218907552096768</v>
      </c>
      <c r="AR9" s="119">
        <f t="shared" si="14"/>
        <v>2</v>
      </c>
      <c r="AS9" s="86">
        <f t="shared" ca="1" si="8"/>
        <v>46</v>
      </c>
      <c r="AT9" s="86">
        <f t="shared" ca="1" si="9"/>
        <v>0.46620685681776364</v>
      </c>
      <c r="AU9" s="86">
        <f ca="1">INDEX($AS$3:$AS$30,MATCH(SMALL($AT$3:$AT$30,ROWS(AT$3:AT9)),$AT$3:$AT$30,0))</f>
        <v>32</v>
      </c>
      <c r="AV9" s="86">
        <f ca="1">SMALL($AS$3:$AS$30,ROWS(AV$3:AV9))</f>
        <v>34</v>
      </c>
      <c r="AW9" s="94">
        <f ca="1">VLOOKUP(SMALL($BB$17:$BB$30,AX9),$BB$17:$BC$30,2,0)</f>
        <v>42</v>
      </c>
      <c r="AX9" s="94">
        <f>2+AX5</f>
        <v>4</v>
      </c>
      <c r="BA9" s="94">
        <v>7</v>
      </c>
      <c r="BB9" s="94">
        <f t="shared" ca="1" si="10"/>
        <v>8.3090218639358504E-2</v>
      </c>
      <c r="BC9" s="94">
        <f t="shared" ca="1" si="11"/>
        <v>34</v>
      </c>
    </row>
    <row r="10" spans="1:55" ht="17.25" thickBot="1" x14ac:dyDescent="0.35">
      <c r="A10" s="9">
        <v>8</v>
      </c>
      <c r="B10" s="109">
        <v>44</v>
      </c>
      <c r="C10" s="110">
        <v>40</v>
      </c>
      <c r="D10" s="111">
        <v>42</v>
      </c>
      <c r="E10" s="112">
        <v>46</v>
      </c>
      <c r="F10" s="113" t="str">
        <f t="shared" si="3"/>
        <v>77 - 84</v>
      </c>
      <c r="G10" s="114">
        <f t="shared" si="4"/>
        <v>77</v>
      </c>
      <c r="H10" s="115">
        <f t="shared" si="0"/>
        <v>84</v>
      </c>
      <c r="I10" s="160">
        <f>COUNTIF($B$3:$B$34, "&lt;"&amp;H10)</f>
        <v>27</v>
      </c>
      <c r="J10" s="116">
        <f t="shared" si="5"/>
        <v>1</v>
      </c>
      <c r="K10" s="117">
        <f t="shared" si="1"/>
        <v>3.5714285714285712E-2</v>
      </c>
      <c r="L10" s="118">
        <f t="shared" si="2"/>
        <v>0.9642857142857143</v>
      </c>
      <c r="N10" s="130" t="s">
        <v>91</v>
      </c>
      <c r="O10" s="133">
        <f>O6/O2</f>
        <v>1.2647671994440584</v>
      </c>
      <c r="P10" s="133">
        <f t="shared" ref="P10:R10" si="16">P6/P2</f>
        <v>1.2647671994440584</v>
      </c>
      <c r="Q10" s="133">
        <f t="shared" si="16"/>
        <v>1.2647671994440584</v>
      </c>
      <c r="R10" s="133">
        <f t="shared" si="16"/>
        <v>1.2647671994440584</v>
      </c>
      <c r="AN10" s="97">
        <v>7</v>
      </c>
      <c r="AO10" s="97">
        <f t="shared" ca="1" si="6"/>
        <v>22.043504484775191</v>
      </c>
      <c r="AP10" s="97">
        <f ca="1">SMALL($AO$3:$AO$30,ROWS(AO$3:AO10))</f>
        <v>20.678651044923036</v>
      </c>
      <c r="AQ10" s="119">
        <f t="shared" ca="1" si="7"/>
        <v>1.7479596634902916</v>
      </c>
      <c r="AR10" s="119">
        <f t="shared" si="14"/>
        <v>1</v>
      </c>
      <c r="AS10" s="86">
        <f t="shared" ca="1" si="8"/>
        <v>37</v>
      </c>
      <c r="AT10" s="86">
        <f t="shared" ca="1" si="9"/>
        <v>0.42072147149197492</v>
      </c>
      <c r="AU10" s="86">
        <f ca="1">INDEX($AS$3:$AS$30,MATCH(SMALL($AT$3:$AT$30,ROWS(AT$3:AT10)),$AT$3:$AT$30,0))</f>
        <v>47</v>
      </c>
      <c r="AV10" s="86">
        <f ca="1">SMALL($AS$3:$AS$30,ROWS(AV$3:AV10))</f>
        <v>34</v>
      </c>
      <c r="AW10" s="94">
        <f ca="1">VLOOKUP(SMALL($BB$3:$BB$16,AX10),$BB$3:$BC$30,2,0)</f>
        <v>41</v>
      </c>
      <c r="AX10" s="94">
        <f>2+AX6</f>
        <v>4</v>
      </c>
      <c r="BA10" s="94">
        <v>8</v>
      </c>
      <c r="BB10" s="94">
        <f t="shared" ca="1" si="10"/>
        <v>9.8049447741173523E-2</v>
      </c>
      <c r="BC10" s="94">
        <f t="shared" ca="1" si="11"/>
        <v>34</v>
      </c>
    </row>
    <row r="11" spans="1:55" ht="17.25" thickBot="1" x14ac:dyDescent="0.35">
      <c r="A11" s="9">
        <v>9</v>
      </c>
      <c r="B11" s="109">
        <v>51</v>
      </c>
      <c r="C11" s="110">
        <v>41</v>
      </c>
      <c r="D11" s="111">
        <v>40</v>
      </c>
      <c r="E11" s="112">
        <v>48</v>
      </c>
      <c r="F11" s="113" t="str">
        <f t="shared" si="3"/>
        <v>84 - 91</v>
      </c>
      <c r="G11" s="114">
        <f t="shared" si="4"/>
        <v>84</v>
      </c>
      <c r="H11" s="115">
        <f t="shared" si="0"/>
        <v>91</v>
      </c>
      <c r="I11" s="160">
        <f>COUNTIF($B$3:$B$34, "&lt;"&amp;H11)</f>
        <v>28</v>
      </c>
      <c r="J11" s="116">
        <f t="shared" si="5"/>
        <v>1</v>
      </c>
      <c r="K11" s="117">
        <f t="shared" si="1"/>
        <v>3.5714285714285712E-2</v>
      </c>
      <c r="L11" s="118">
        <f t="shared" si="2"/>
        <v>1</v>
      </c>
      <c r="AN11" s="97">
        <v>12</v>
      </c>
      <c r="AO11" s="97">
        <f t="shared" ca="1" si="6"/>
        <v>25.017767377945958</v>
      </c>
      <c r="AP11" s="97">
        <f ca="1">SMALL($AO$3:$AO$30,ROWS(AO$3:AO11))</f>
        <v>21.78186539535168</v>
      </c>
      <c r="AQ11" s="119">
        <f t="shared" ca="1" si="7"/>
        <v>1.4583665827037198</v>
      </c>
      <c r="AR11" s="119">
        <f t="shared" si="14"/>
        <v>1</v>
      </c>
      <c r="AS11" s="86">
        <f t="shared" ca="1" si="8"/>
        <v>32</v>
      </c>
      <c r="AT11" s="86">
        <f t="shared" ca="1" si="9"/>
        <v>0.37158294974643202</v>
      </c>
      <c r="AU11" s="86">
        <f ca="1">INDEX($AS$3:$AS$30,MATCH(SMALL($AT$3:$AT$30,ROWS(AT$3:AT11)),$AT$3:$AT$30,0))</f>
        <v>34</v>
      </c>
      <c r="AV11" s="86">
        <f ca="1">SMALL($AS$3:$AS$30,ROWS(AV$3:AV11))</f>
        <v>37</v>
      </c>
      <c r="AW11" s="94">
        <f ca="1">VLOOKUP(SMALL($BB$3:$BB$16,AX11),$BB$3:$BC$30,2,0)</f>
        <v>39</v>
      </c>
      <c r="AX11" s="94">
        <f t="shared" ref="AX11:AX30" si="17">2+AX7</f>
        <v>5</v>
      </c>
      <c r="BA11" s="94">
        <v>9</v>
      </c>
      <c r="BB11" s="94">
        <f t="shared" ca="1" si="10"/>
        <v>0.15818546606519424</v>
      </c>
      <c r="BC11" s="94">
        <f t="shared" ca="1" si="11"/>
        <v>37</v>
      </c>
    </row>
    <row r="12" spans="1:55" ht="17.25" thickBot="1" x14ac:dyDescent="0.35">
      <c r="A12" s="9">
        <v>10</v>
      </c>
      <c r="B12" s="109">
        <v>39</v>
      </c>
      <c r="C12" s="110">
        <v>42</v>
      </c>
      <c r="D12" s="111">
        <v>46</v>
      </c>
      <c r="E12" s="112">
        <v>56</v>
      </c>
      <c r="F12" s="113" t="str">
        <f t="shared" si="3"/>
        <v>91 - 98</v>
      </c>
      <c r="G12" s="114">
        <f t="shared" si="4"/>
        <v>91</v>
      </c>
      <c r="H12" s="115">
        <f t="shared" si="0"/>
        <v>98</v>
      </c>
      <c r="I12" s="160">
        <f>COUNTIF($B$3:$B$34, "&lt;"&amp;H12)</f>
        <v>28</v>
      </c>
      <c r="J12" s="116">
        <f t="shared" si="5"/>
        <v>0</v>
      </c>
      <c r="K12" s="117">
        <f t="shared" si="1"/>
        <v>0</v>
      </c>
      <c r="L12" s="118">
        <f t="shared" si="2"/>
        <v>1</v>
      </c>
      <c r="AN12" s="97">
        <v>9</v>
      </c>
      <c r="AO12" s="97">
        <f t="shared" ca="1" si="6"/>
        <v>29.367521277902231</v>
      </c>
      <c r="AP12" s="97">
        <f ca="1">SMALL($AO$3:$AO$30,ROWS(AO$3:AO12))</f>
        <v>22.043504484775191</v>
      </c>
      <c r="AQ12" s="119">
        <f t="shared" ca="1" si="7"/>
        <v>2.4814219216543183</v>
      </c>
      <c r="AR12" s="119">
        <f t="shared" si="14"/>
        <v>1.5</v>
      </c>
      <c r="AS12" s="86">
        <f t="shared" ca="1" si="8"/>
        <v>55</v>
      </c>
      <c r="AT12" s="86">
        <f t="shared" ca="1" si="9"/>
        <v>0.16425974152535561</v>
      </c>
      <c r="AU12" s="86">
        <f ca="1">INDEX($AS$3:$AS$30,MATCH(SMALL($AT$3:$AT$30,ROWS(AT$3:AT12)),$AT$3:$AT$30,0))</f>
        <v>37</v>
      </c>
      <c r="AV12" s="86">
        <f ca="1">SMALL($AS$3:$AS$30,ROWS(AV$3:AV12))</f>
        <v>39</v>
      </c>
      <c r="AW12" s="94">
        <f ca="1">VLOOKUP(SMALL($BB$17:$BB$30,AX12),$BB$17:$BC$30,2,0)</f>
        <v>44</v>
      </c>
      <c r="AX12" s="94">
        <f t="shared" si="17"/>
        <v>5</v>
      </c>
      <c r="BA12" s="94">
        <v>10</v>
      </c>
      <c r="BB12" s="94">
        <f t="shared" ca="1" si="10"/>
        <v>0.95772834755148273</v>
      </c>
      <c r="BC12" s="94">
        <f t="shared" ca="1" si="11"/>
        <v>39</v>
      </c>
    </row>
    <row r="13" spans="1:55" ht="17.25" thickBot="1" x14ac:dyDescent="0.35">
      <c r="A13" s="9">
        <v>11</v>
      </c>
      <c r="B13" s="109">
        <v>46</v>
      </c>
      <c r="C13" s="110">
        <v>44</v>
      </c>
      <c r="D13" s="111">
        <v>72</v>
      </c>
      <c r="E13" s="112">
        <v>72</v>
      </c>
      <c r="F13" s="113" t="str">
        <f t="shared" si="3"/>
        <v>98 - 105</v>
      </c>
      <c r="G13" s="114">
        <f t="shared" si="4"/>
        <v>98</v>
      </c>
      <c r="H13" s="115">
        <f t="shared" si="0"/>
        <v>105</v>
      </c>
      <c r="I13" s="160">
        <f>COUNTIF($B$3:$B$34, "&lt;"&amp;H13)</f>
        <v>28</v>
      </c>
      <c r="J13" s="116">
        <f t="shared" si="5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6"/>
        <v>31.247989675358813</v>
      </c>
      <c r="AP13" s="97">
        <f ca="1">SMALL($AO$3:$AO$30,ROWS(AO$3:AO13))</f>
        <v>22.103749478423101</v>
      </c>
      <c r="AQ13" s="119">
        <f t="shared" ca="1" si="7"/>
        <v>2.120155424800974</v>
      </c>
      <c r="AR13" s="119">
        <f t="shared" si="14"/>
        <v>2</v>
      </c>
      <c r="AS13" s="86">
        <f t="shared" ca="1" si="8"/>
        <v>47</v>
      </c>
      <c r="AT13" s="86">
        <f t="shared" ca="1" si="9"/>
        <v>0.65427160218671143</v>
      </c>
      <c r="AU13" s="86">
        <f ca="1">INDEX($AS$3:$AS$30,MATCH(SMALL($AT$3:$AT$30,ROWS(AT$3:AT13)),$AT$3:$AT$30,0))</f>
        <v>15</v>
      </c>
      <c r="AV13" s="86">
        <f ca="1">SMALL($AS$3:$AS$30,ROWS(AV$3:AV13))</f>
        <v>39</v>
      </c>
      <c r="AW13" s="94">
        <f ca="1">VLOOKUP(SMALL($BB$17:$BB$30,AX13),$BB$17:$BC$30,2,0)</f>
        <v>45</v>
      </c>
      <c r="AX13" s="94">
        <f t="shared" si="17"/>
        <v>6</v>
      </c>
      <c r="BA13" s="94">
        <v>11</v>
      </c>
      <c r="BB13" s="94">
        <f t="shared" ca="1" si="10"/>
        <v>0.30227127999447556</v>
      </c>
      <c r="BC13" s="94">
        <f t="shared" ca="1" si="11"/>
        <v>39</v>
      </c>
    </row>
    <row r="14" spans="1:55" ht="17.25" thickBot="1" x14ac:dyDescent="0.35">
      <c r="A14" s="9">
        <v>12</v>
      </c>
      <c r="B14" s="109">
        <v>41</v>
      </c>
      <c r="C14" s="110">
        <v>46</v>
      </c>
      <c r="D14" s="111">
        <v>31</v>
      </c>
      <c r="E14" s="112">
        <v>40</v>
      </c>
      <c r="F14" s="120" t="str">
        <f t="shared" si="3"/>
        <v>105 - 112</v>
      </c>
      <c r="G14" s="121">
        <f>H13</f>
        <v>105</v>
      </c>
      <c r="H14" s="122">
        <f t="shared" si="0"/>
        <v>112</v>
      </c>
      <c r="I14" s="161">
        <f>COUNTIF($B$3:$B$34, "&lt;"&amp;H14)</f>
        <v>28</v>
      </c>
      <c r="J14" s="123">
        <f t="shared" si="5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6"/>
        <v>18.799933097808399</v>
      </c>
      <c r="AP14" s="97">
        <f ca="1">SMALL($AO$3:$AO$30,ROWS(AO$3:AO14))</f>
        <v>22.443428191093396</v>
      </c>
      <c r="AQ14" s="119">
        <f t="shared" ca="1" si="7"/>
        <v>1.0371709302971364</v>
      </c>
      <c r="AR14" s="119">
        <f t="shared" si="14"/>
        <v>1</v>
      </c>
      <c r="AS14" s="86">
        <f t="shared" ca="1" si="8"/>
        <v>24</v>
      </c>
      <c r="AT14" s="86">
        <f t="shared" ca="1" si="9"/>
        <v>5.5062317007793959E-2</v>
      </c>
      <c r="AU14" s="86">
        <f ca="1">INDEX($AS$3:$AS$30,MATCH(SMALL($AT$3:$AT$30,ROWS(AT$3:AT14)),$AT$3:$AT$30,0))</f>
        <v>45</v>
      </c>
      <c r="AV14" s="86">
        <f ca="1">SMALL($AS$3:$AS$30,ROWS(AV$3:AV14))</f>
        <v>39</v>
      </c>
      <c r="AW14" s="94">
        <f ca="1">VLOOKUP(SMALL($BB$3:$BB$16,AX14),$BB$3:$BC$30,2,0)</f>
        <v>42</v>
      </c>
      <c r="AX14" s="94">
        <f t="shared" si="17"/>
        <v>6</v>
      </c>
      <c r="BA14" s="94">
        <v>12</v>
      </c>
      <c r="BB14" s="94">
        <f t="shared" ca="1" si="10"/>
        <v>0.55998509088864068</v>
      </c>
      <c r="BC14" s="94">
        <f t="shared" ca="1" si="11"/>
        <v>39</v>
      </c>
    </row>
    <row r="15" spans="1:55" ht="16.5" x14ac:dyDescent="0.3">
      <c r="A15" s="9">
        <v>13</v>
      </c>
      <c r="B15" s="109">
        <v>69</v>
      </c>
      <c r="C15" s="110">
        <v>47</v>
      </c>
      <c r="D15" s="111">
        <v>44</v>
      </c>
      <c r="E15" s="112">
        <v>42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  <c r="AN15" s="97">
        <v>14</v>
      </c>
      <c r="AO15" s="97">
        <f t="shared" ca="1" si="6"/>
        <v>24.057002137854955</v>
      </c>
      <c r="AP15" s="97">
        <f ca="1">SMALL($AO$3:$AO$30,ROWS(AO$3:AO15))</f>
        <v>22.582734174739166</v>
      </c>
      <c r="AQ15" s="119">
        <f t="shared" ca="1" si="7"/>
        <v>1.7762253770865588</v>
      </c>
      <c r="AR15" s="119">
        <f t="shared" si="14"/>
        <v>1</v>
      </c>
      <c r="AS15" s="86">
        <f t="shared" ca="1" si="8"/>
        <v>41</v>
      </c>
      <c r="AT15" s="86">
        <f t="shared" ca="1" si="9"/>
        <v>0.68345184093152511</v>
      </c>
      <c r="AU15" s="86">
        <f ca="1">INDEX($AS$3:$AS$30,MATCH(SMALL($AT$3:$AT$30,ROWS(AT$3:AT15)),$AT$3:$AT$30,0))</f>
        <v>46</v>
      </c>
      <c r="AV15" s="86">
        <f ca="1">SMALL($AS$3:$AS$30,ROWS(AV$3:AV15))</f>
        <v>41</v>
      </c>
      <c r="AW15" s="94">
        <f ca="1">VLOOKUP(SMALL($BB$3:$BB$16,AX15),$BB$3:$BC$30,2,0)</f>
        <v>15</v>
      </c>
      <c r="AX15" s="94">
        <f t="shared" si="17"/>
        <v>7</v>
      </c>
      <c r="BA15" s="94">
        <v>13</v>
      </c>
      <c r="BB15" s="94">
        <f t="shared" ca="1" si="10"/>
        <v>0.18277369327229598</v>
      </c>
      <c r="BC15" s="94">
        <f t="shared" ca="1" si="11"/>
        <v>41</v>
      </c>
    </row>
    <row r="16" spans="1:55" ht="16.5" x14ac:dyDescent="0.3">
      <c r="A16" s="9">
        <v>14</v>
      </c>
      <c r="B16" s="109">
        <v>28</v>
      </c>
      <c r="C16" s="110">
        <v>48</v>
      </c>
      <c r="D16" s="111">
        <v>39</v>
      </c>
      <c r="E16" s="112">
        <v>72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6"/>
        <v>26.864773864164288</v>
      </c>
      <c r="AP16" s="97">
        <f ca="1">SMALL($AO$3:$AO$30,ROWS(AO$3:AO16))</f>
        <v>23.235319449120958</v>
      </c>
      <c r="AQ16" s="119">
        <f t="shared" ca="1" si="7"/>
        <v>2.2695638463444112</v>
      </c>
      <c r="AR16" s="119">
        <f t="shared" si="14"/>
        <v>1.5</v>
      </c>
      <c r="AS16" s="86">
        <f t="shared" ca="1" si="8"/>
        <v>53</v>
      </c>
      <c r="AT16" s="86">
        <f t="shared" ca="1" si="9"/>
        <v>0.13329062721312224</v>
      </c>
      <c r="AU16" s="86">
        <f ca="1">INDEX($AS$3:$AS$30,MATCH(SMALL($AT$3:$AT$30,ROWS(AT$3:AT16)),$AT$3:$AT$30,0))</f>
        <v>88</v>
      </c>
      <c r="AV16" s="86">
        <f ca="1">SMALL($AS$3:$AS$30,ROWS(AV$3:AV16))</f>
        <v>42</v>
      </c>
      <c r="AW16" s="94">
        <f ca="1">VLOOKUP(SMALL($BB$17:$BB$30,AX16),$BB$17:$BC$30,2,0)</f>
        <v>50</v>
      </c>
      <c r="AX16" s="94">
        <f t="shared" si="17"/>
        <v>7</v>
      </c>
      <c r="BA16" s="94">
        <v>14</v>
      </c>
      <c r="BB16" s="94">
        <f t="shared" ca="1" si="10"/>
        <v>0.40759271561292287</v>
      </c>
      <c r="BC16" s="94">
        <f t="shared" ca="1" si="11"/>
        <v>42</v>
      </c>
    </row>
    <row r="17" spans="1:63" ht="16.5" x14ac:dyDescent="0.3">
      <c r="A17" s="9">
        <v>15</v>
      </c>
      <c r="B17" s="109">
        <v>82</v>
      </c>
      <c r="C17" s="110">
        <v>50</v>
      </c>
      <c r="D17" s="111">
        <v>72</v>
      </c>
      <c r="E17" s="112">
        <v>53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6"/>
        <v>27.307529218225426</v>
      </c>
      <c r="AP17" s="97">
        <f ca="1">SMALL($AO$3:$AO$30,ROWS(AO$3:AO17))</f>
        <v>24.057002137854955</v>
      </c>
      <c r="AQ17" s="119">
        <f t="shared" ca="1" si="7"/>
        <v>2.726087051218991</v>
      </c>
      <c r="AR17" s="119">
        <f t="shared" si="14"/>
        <v>2</v>
      </c>
      <c r="AS17" s="86">
        <f t="shared" ca="1" si="8"/>
        <v>66</v>
      </c>
      <c r="AT17" s="86">
        <f t="shared" ca="1" si="9"/>
        <v>0.73671635244772227</v>
      </c>
      <c r="AU17" s="86">
        <f ca="1">INDEX($AS$3:$AS$30,MATCH(SMALL($AT$3:$AT$30,ROWS(AT$3:AT17)),$AT$3:$AT$30,0))</f>
        <v>24</v>
      </c>
      <c r="AV17" s="86">
        <f ca="1">SMALL($AS$3:$AS$30,ROWS(AV$3:AV17))</f>
        <v>42</v>
      </c>
      <c r="AW17" s="94">
        <f ca="1">VLOOKUP(SMALL($BB$17:$BB$30,AX17),$BB$17:$BC$30,2,0)</f>
        <v>78</v>
      </c>
      <c r="AX17" s="94">
        <f t="shared" si="17"/>
        <v>8</v>
      </c>
      <c r="BA17" s="94">
        <v>15</v>
      </c>
      <c r="BB17" s="94">
        <f t="shared" ca="1" si="10"/>
        <v>0.25417986411362692</v>
      </c>
      <c r="BC17" s="94">
        <f t="shared" ca="1" si="11"/>
        <v>42</v>
      </c>
    </row>
    <row r="18" spans="1:63" ht="16.5" x14ac:dyDescent="0.3">
      <c r="A18" s="9">
        <v>16</v>
      </c>
      <c r="B18" s="109">
        <v>65</v>
      </c>
      <c r="C18" s="110">
        <v>51</v>
      </c>
      <c r="D18" s="111">
        <v>51</v>
      </c>
      <c r="E18" s="112">
        <v>41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6"/>
        <v>27.6222895319206</v>
      </c>
      <c r="AP18" s="97">
        <f ca="1">SMALL($AO$3:$AO$30,ROWS(AO$3:AO18))</f>
        <v>24.058118301454023</v>
      </c>
      <c r="AQ18" s="119">
        <f t="shared" ca="1" si="7"/>
        <v>1.8183286372583405</v>
      </c>
      <c r="AR18" s="119">
        <f t="shared" si="14"/>
        <v>1</v>
      </c>
      <c r="AS18" s="86">
        <f t="shared" ca="1" si="8"/>
        <v>44</v>
      </c>
      <c r="AT18" s="86">
        <f t="shared" ca="1" si="9"/>
        <v>0.58839460583601477</v>
      </c>
      <c r="AU18" s="86">
        <f ca="1">INDEX($AS$3:$AS$30,MATCH(SMALL($AT$3:$AT$30,ROWS(AT$3:AT18)),$AT$3:$AT$30,0))</f>
        <v>44</v>
      </c>
      <c r="AV18" s="86">
        <f ca="1">SMALL($AS$3:$AS$30,ROWS(AV$3:AV18))</f>
        <v>44</v>
      </c>
      <c r="AW18" s="94">
        <f ca="1">VLOOKUP(SMALL($BB$3:$BB$16,AX18),$BB$3:$BC$30,2,0)</f>
        <v>39</v>
      </c>
      <c r="AX18" s="94">
        <f t="shared" si="17"/>
        <v>8</v>
      </c>
      <c r="BA18" s="94">
        <v>16</v>
      </c>
      <c r="BB18" s="94">
        <f t="shared" ca="1" si="10"/>
        <v>0.42640973422636597</v>
      </c>
      <c r="BC18" s="94">
        <f t="shared" ca="1" si="11"/>
        <v>44</v>
      </c>
    </row>
    <row r="19" spans="1:63" ht="16.5" x14ac:dyDescent="0.3">
      <c r="A19" s="9">
        <v>17</v>
      </c>
      <c r="B19" s="109">
        <v>47</v>
      </c>
      <c r="C19" s="110">
        <v>51</v>
      </c>
      <c r="D19" s="111">
        <v>41</v>
      </c>
      <c r="E19" s="112">
        <v>25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6"/>
        <v>29.331389826069312</v>
      </c>
      <c r="AP19" s="97">
        <f ca="1">SMALL($AO$3:$AO$30,ROWS(AO$3:AO19))</f>
        <v>24.934691313109102</v>
      </c>
      <c r="AQ19" s="119">
        <f t="shared" ca="1" si="7"/>
        <v>1.0942689969572721</v>
      </c>
      <c r="AR19" s="119">
        <f t="shared" si="14"/>
        <v>1</v>
      </c>
      <c r="AS19" s="86">
        <f t="shared" ca="1" si="8"/>
        <v>28</v>
      </c>
      <c r="AT19" s="86">
        <f t="shared" ca="1" si="9"/>
        <v>0.69255213287621897</v>
      </c>
      <c r="AU19" s="86">
        <f ca="1">INDEX($AS$3:$AS$30,MATCH(SMALL($AT$3:$AT$30,ROWS(AT$3:AT19)),$AT$3:$AT$30,0))</f>
        <v>78</v>
      </c>
      <c r="AV19" s="86">
        <f ca="1">SMALL($AS$3:$AS$30,ROWS(AV$3:AV19))</f>
        <v>45</v>
      </c>
      <c r="AW19" s="94">
        <f ca="1">VLOOKUP(SMALL($BB$3:$BB$16,AX19),$BB$3:$BC$30,2,0)</f>
        <v>24</v>
      </c>
      <c r="AX19" s="94">
        <f t="shared" si="17"/>
        <v>9</v>
      </c>
      <c r="BA19" s="94">
        <v>17</v>
      </c>
      <c r="BB19" s="94">
        <f t="shared" ca="1" si="10"/>
        <v>0.61516456702991285</v>
      </c>
      <c r="BC19" s="94">
        <f t="shared" ca="1" si="11"/>
        <v>45</v>
      </c>
    </row>
    <row r="20" spans="1:63" ht="16.5" x14ac:dyDescent="0.3">
      <c r="A20" s="9">
        <v>18</v>
      </c>
      <c r="B20" s="109">
        <v>53</v>
      </c>
      <c r="C20" s="110">
        <v>53</v>
      </c>
      <c r="D20" s="111">
        <v>65</v>
      </c>
      <c r="E20" s="112">
        <v>69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6"/>
        <v>27.321098713090961</v>
      </c>
      <c r="AP20" s="97">
        <f ca="1">SMALL($AO$3:$AO$30,ROWS(AO$3:AO20))</f>
        <v>25.017767377945958</v>
      </c>
      <c r="AQ20" s="119">
        <f t="shared" ca="1" si="7"/>
        <v>2.3200090212265319</v>
      </c>
      <c r="AR20" s="119">
        <f t="shared" si="14"/>
        <v>1.5</v>
      </c>
      <c r="AS20" s="86">
        <f t="shared" ca="1" si="8"/>
        <v>59</v>
      </c>
      <c r="AT20" s="86">
        <f t="shared" ca="1" si="9"/>
        <v>0.72516127388639395</v>
      </c>
      <c r="AU20" s="86">
        <f ca="1">INDEX($AS$3:$AS$30,MATCH(SMALL($AT$3:$AT$30,ROWS(AT$3:AT20)),$AT$3:$AT$30,0))</f>
        <v>39</v>
      </c>
      <c r="AV20" s="86">
        <f ca="1">SMALL($AS$3:$AS$30,ROWS(AV$3:AV20))</f>
        <v>46</v>
      </c>
      <c r="AW20" s="94">
        <f ca="1">VLOOKUP(SMALL($BB$17:$BB$30,AX20),$BB$17:$BC$30,2,0)</f>
        <v>53</v>
      </c>
      <c r="AX20" s="94">
        <f t="shared" si="17"/>
        <v>9</v>
      </c>
      <c r="BA20" s="94">
        <v>18</v>
      </c>
      <c r="BB20" s="94">
        <f t="shared" ca="1" si="10"/>
        <v>0.80449163655283906</v>
      </c>
      <c r="BC20" s="94">
        <f t="shared" ca="1" si="11"/>
        <v>46</v>
      </c>
    </row>
    <row r="21" spans="1:63" ht="16.5" x14ac:dyDescent="0.3">
      <c r="A21" s="9">
        <v>19</v>
      </c>
      <c r="B21" s="109">
        <v>90</v>
      </c>
      <c r="C21" s="110">
        <v>56</v>
      </c>
      <c r="D21" s="111">
        <v>67</v>
      </c>
      <c r="E21" s="112">
        <v>90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6"/>
        <v>24.934691313109102</v>
      </c>
      <c r="AP21" s="97">
        <f ca="1">SMALL($AO$3:$AO$30,ROWS(AO$3:AO21))</f>
        <v>25.342637652282729</v>
      </c>
      <c r="AQ21" s="119">
        <f t="shared" ca="1" si="7"/>
        <v>2.8474154991168312</v>
      </c>
      <c r="AR21" s="119">
        <f t="shared" si="14"/>
        <v>2</v>
      </c>
      <c r="AS21" s="86">
        <f t="shared" ca="1" si="8"/>
        <v>73</v>
      </c>
      <c r="AT21" s="86">
        <f t="shared" ca="1" si="9"/>
        <v>0.67324942931938359</v>
      </c>
      <c r="AU21" s="86">
        <f ca="1">INDEX($AS$3:$AS$30,MATCH(SMALL($AT$3:$AT$30,ROWS(AT$3:AT21)),$AT$3:$AT$30,0))</f>
        <v>47</v>
      </c>
      <c r="AV21" s="86">
        <f ca="1">SMALL($AS$3:$AS$30,ROWS(AV$3:AV21))</f>
        <v>47</v>
      </c>
      <c r="AW21" s="94">
        <f ca="1">VLOOKUP(SMALL($BB$17:$BB$30,AX21),$BB$17:$BC$30,2,0)</f>
        <v>46</v>
      </c>
      <c r="AX21" s="94">
        <f t="shared" si="17"/>
        <v>10</v>
      </c>
      <c r="BA21" s="94">
        <v>19</v>
      </c>
      <c r="BB21" s="94">
        <f t="shared" ca="1" si="10"/>
        <v>0.99208552101120961</v>
      </c>
      <c r="BC21" s="94">
        <f t="shared" ca="1" si="11"/>
        <v>47</v>
      </c>
    </row>
    <row r="22" spans="1:63" ht="16.5" x14ac:dyDescent="0.3">
      <c r="A22" s="9">
        <v>20</v>
      </c>
      <c r="B22" s="109">
        <v>56</v>
      </c>
      <c r="C22" s="110">
        <v>61</v>
      </c>
      <c r="D22" s="111">
        <v>51</v>
      </c>
      <c r="E22" s="112">
        <v>33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6"/>
        <v>12.193687366921308</v>
      </c>
      <c r="AP22" s="97">
        <f ca="1">SMALL($AO$3:$AO$30,ROWS(AO$3:AO22))</f>
        <v>26.535988849146673</v>
      </c>
      <c r="AQ22" s="119">
        <f t="shared" ca="1" si="7"/>
        <v>1.4682318817893094</v>
      </c>
      <c r="AR22" s="119">
        <f t="shared" si="14"/>
        <v>1</v>
      </c>
      <c r="AS22" s="86">
        <f t="shared" ca="1" si="8"/>
        <v>39</v>
      </c>
      <c r="AT22" s="86">
        <f t="shared" ca="1" si="9"/>
        <v>4.3995251289306259E-2</v>
      </c>
      <c r="AU22" s="86">
        <f ca="1">INDEX($AS$3:$AS$30,MATCH(SMALL($AT$3:$AT$30,ROWS(AT$3:AT22)),$AT$3:$AT$30,0))</f>
        <v>73</v>
      </c>
      <c r="AV22" s="86">
        <f ca="1">SMALL($AS$3:$AS$30,ROWS(AV$3:AV22))</f>
        <v>47</v>
      </c>
      <c r="AW22" s="94">
        <f ca="1">VLOOKUP(SMALL($BB$3:$BB$16,AX22),$BB$3:$BC$30,2,0)</f>
        <v>28</v>
      </c>
      <c r="AX22" s="94">
        <f t="shared" si="17"/>
        <v>10</v>
      </c>
      <c r="BA22" s="94">
        <v>20</v>
      </c>
      <c r="BB22" s="94">
        <f t="shared" ca="1" si="10"/>
        <v>0.82250978288402854</v>
      </c>
      <c r="BC22" s="94">
        <f t="shared" ca="1" si="11"/>
        <v>47</v>
      </c>
    </row>
    <row r="23" spans="1:63" ht="16.5" x14ac:dyDescent="0.3">
      <c r="A23" s="9">
        <v>21</v>
      </c>
      <c r="B23" s="109">
        <v>51</v>
      </c>
      <c r="C23" s="110">
        <v>62</v>
      </c>
      <c r="D23" s="111">
        <v>56</v>
      </c>
      <c r="E23" s="112">
        <v>31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6"/>
        <v>24.058118301454023</v>
      </c>
      <c r="AP23" s="97">
        <f ca="1">SMALL($AO$3:$AO$30,ROWS(AO$3:AO23))</f>
        <v>26.864773864164288</v>
      </c>
      <c r="AQ23" s="119">
        <f t="shared" ca="1" si="7"/>
        <v>1.8399530361593268</v>
      </c>
      <c r="AR23" s="119">
        <f t="shared" si="14"/>
        <v>1</v>
      </c>
      <c r="AS23" s="86">
        <f t="shared" ca="1" si="8"/>
        <v>50</v>
      </c>
      <c r="AT23" s="86">
        <f t="shared" ca="1" si="9"/>
        <v>0.81047976322115955</v>
      </c>
      <c r="AU23" s="86">
        <f ca="1">INDEX($AS$3:$AS$30,MATCH(SMALL($AT$3:$AT$30,ROWS(AT$3:AT23)),$AT$3:$AT$30,0))</f>
        <v>41</v>
      </c>
      <c r="AV23" s="86">
        <f ca="1">SMALL($AS$3:$AS$30,ROWS(AV$3:AV23))</f>
        <v>50</v>
      </c>
      <c r="AW23" s="94">
        <f ca="1">VLOOKUP(SMALL($BB$3:$BB$16,AX23),$BB$3:$BC$30,2,0)</f>
        <v>24</v>
      </c>
      <c r="AX23" s="94">
        <f t="shared" si="17"/>
        <v>11</v>
      </c>
      <c r="BA23" s="94">
        <v>21</v>
      </c>
      <c r="BB23" s="94">
        <f t="shared" ca="1" si="10"/>
        <v>0.64380947563737212</v>
      </c>
      <c r="BC23" s="94">
        <f t="shared" ca="1" si="11"/>
        <v>50</v>
      </c>
    </row>
    <row r="24" spans="1:63" ht="16.5" x14ac:dyDescent="0.3">
      <c r="A24" s="9">
        <v>22</v>
      </c>
      <c r="B24" s="109">
        <v>40</v>
      </c>
      <c r="C24" s="110">
        <v>65</v>
      </c>
      <c r="D24" s="111">
        <v>69</v>
      </c>
      <c r="E24" s="112">
        <v>82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6"/>
        <v>17.027686993319673</v>
      </c>
      <c r="AP24" s="97">
        <f ca="1">SMALL($AO$3:$AO$30,ROWS(AO$3:AO24))</f>
        <v>27.307529218225426</v>
      </c>
      <c r="AQ24" s="119">
        <f t="shared" ca="1" si="7"/>
        <v>1.6446977707060366</v>
      </c>
      <c r="AR24" s="119">
        <f t="shared" si="14"/>
        <v>1.5</v>
      </c>
      <c r="AS24" s="86">
        <f t="shared" ca="1" si="8"/>
        <v>45</v>
      </c>
      <c r="AT24" s="86">
        <f t="shared" ca="1" si="9"/>
        <v>0.45098631384232246</v>
      </c>
      <c r="AU24" s="86">
        <f ca="1">INDEX($AS$3:$AS$30,MATCH(SMALL($AT$3:$AT$30,ROWS(AT$3:AT24)),$AT$3:$AT$30,0))</f>
        <v>22</v>
      </c>
      <c r="AV24" s="86">
        <f ca="1">SMALL($AS$3:$AS$30,ROWS(AV$3:AV24))</f>
        <v>53</v>
      </c>
      <c r="AW24" s="94">
        <f ca="1">VLOOKUP(SMALL($BB$17:$BB$30,AX24),$BB$17:$BC$30,2,0)</f>
        <v>47</v>
      </c>
      <c r="AX24" s="94">
        <f t="shared" si="17"/>
        <v>11</v>
      </c>
      <c r="BA24" s="94">
        <v>22</v>
      </c>
      <c r="BB24" s="94">
        <f t="shared" ca="1" si="10"/>
        <v>0.7772212795050728</v>
      </c>
      <c r="BC24" s="94">
        <f t="shared" ca="1" si="11"/>
        <v>53</v>
      </c>
    </row>
    <row r="25" spans="1:63" ht="16.5" x14ac:dyDescent="0.3">
      <c r="A25" s="9">
        <v>23</v>
      </c>
      <c r="B25" s="109">
        <v>61</v>
      </c>
      <c r="C25" s="110">
        <v>67</v>
      </c>
      <c r="D25" s="111">
        <v>82</v>
      </c>
      <c r="E25" s="112">
        <v>62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6"/>
        <v>19.757022100546887</v>
      </c>
      <c r="AP25" s="97">
        <f ca="1">SMALL($AO$3:$AO$30,ROWS(AO$3:AO25))</f>
        <v>27.321098713090961</v>
      </c>
      <c r="AQ25" s="119">
        <f t="shared" ca="1" si="7"/>
        <v>2.844627884003935</v>
      </c>
      <c r="AR25" s="119">
        <f t="shared" si="14"/>
        <v>2</v>
      </c>
      <c r="AS25" s="86">
        <f t="shared" ca="1" si="8"/>
        <v>78</v>
      </c>
      <c r="AT25" s="86">
        <f t="shared" ca="1" si="9"/>
        <v>0.6284193838815082</v>
      </c>
      <c r="AU25" s="86">
        <f ca="1">INDEX($AS$3:$AS$30,MATCH(SMALL($AT$3:$AT$30,ROWS(AT$3:AT25)),$AT$3:$AT$30,0))</f>
        <v>28</v>
      </c>
      <c r="AV25" s="86">
        <f ca="1">SMALL($AS$3:$AS$30,ROWS(AV$3:AV25))</f>
        <v>55</v>
      </c>
      <c r="AW25" s="94">
        <f ca="1">VLOOKUP(SMALL($BB$17:$BB$30,AX25),$BB$17:$BC$30,2,0)</f>
        <v>88</v>
      </c>
      <c r="AX25" s="94">
        <f t="shared" si="17"/>
        <v>12</v>
      </c>
      <c r="BA25" s="94">
        <v>23</v>
      </c>
      <c r="BB25" s="94">
        <f t="shared" ca="1" si="10"/>
        <v>8.8086482238878161E-2</v>
      </c>
      <c r="BC25" s="94">
        <f t="shared" ca="1" si="11"/>
        <v>55</v>
      </c>
    </row>
    <row r="26" spans="1:63" ht="16.5" x14ac:dyDescent="0.3">
      <c r="A26" s="9">
        <v>24</v>
      </c>
      <c r="B26" s="109">
        <v>72</v>
      </c>
      <c r="C26" s="110">
        <v>69</v>
      </c>
      <c r="D26" s="111">
        <v>39</v>
      </c>
      <c r="E26" s="112">
        <v>47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6"/>
        <v>17.337448518772156</v>
      </c>
      <c r="AP26" s="97">
        <f ca="1">SMALL($AO$3:$AO$30,ROWS(AO$3:AO26))</f>
        <v>27.6222895319206</v>
      </c>
      <c r="AQ26" s="119">
        <f t="shared" ca="1" si="7"/>
        <v>1.5005018325822925</v>
      </c>
      <c r="AR26" s="119">
        <f t="shared" si="14"/>
        <v>1</v>
      </c>
      <c r="AS26" s="86">
        <f t="shared" ca="1" si="8"/>
        <v>42</v>
      </c>
      <c r="AT26" s="86">
        <f t="shared" ca="1" si="9"/>
        <v>2.315620681108399E-2</v>
      </c>
      <c r="AU26" s="86">
        <f ca="1">INDEX($AS$3:$AS$30,MATCH(SMALL($AT$3:$AT$30,ROWS(AT$3:AT26)),$AT$3:$AT$30,0))</f>
        <v>59</v>
      </c>
      <c r="AV26" s="86">
        <f ca="1">SMALL($AS$3:$AS$30,ROWS(AV$3:AV26))</f>
        <v>59</v>
      </c>
      <c r="AW26" s="94">
        <f ca="1">VLOOKUP(SMALL($BB$3:$BB$16,AX26),$BB$3:$BC$30,2,0)</f>
        <v>22</v>
      </c>
      <c r="AX26" s="94">
        <f t="shared" si="17"/>
        <v>12</v>
      </c>
      <c r="BA26" s="94">
        <v>24</v>
      </c>
      <c r="BB26" s="94">
        <f t="shared" ca="1" si="10"/>
        <v>0.99919225444300774</v>
      </c>
      <c r="BC26" s="94">
        <f t="shared" ca="1" si="11"/>
        <v>59</v>
      </c>
    </row>
    <row r="27" spans="1:63" ht="16.5" x14ac:dyDescent="0.3">
      <c r="A27" s="9">
        <v>25</v>
      </c>
      <c r="B27" s="109">
        <v>39</v>
      </c>
      <c r="C27" s="110">
        <v>72</v>
      </c>
      <c r="D27" s="111">
        <v>47</v>
      </c>
      <c r="E27" s="112">
        <v>39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6"/>
        <v>22.443428191093396</v>
      </c>
      <c r="AP27" s="97">
        <f ca="1">SMALL($AO$3:$AO$30,ROWS(AO$3:AO27))</f>
        <v>29.331389826069312</v>
      </c>
      <c r="AQ27" s="119">
        <f t="shared" ca="1" si="7"/>
        <v>1.304708321137158</v>
      </c>
      <c r="AR27" s="119">
        <f t="shared" si="14"/>
        <v>1</v>
      </c>
      <c r="AS27" s="86">
        <f t="shared" ca="1" si="8"/>
        <v>39</v>
      </c>
      <c r="AT27" s="86">
        <f t="shared" ca="1" si="9"/>
        <v>0.82348961507165641</v>
      </c>
      <c r="AU27" s="86">
        <f ca="1">INDEX($AS$3:$AS$30,MATCH(SMALL($AT$3:$AT$30,ROWS(AT$3:AT27)),$AT$3:$AT$30,0))</f>
        <v>66</v>
      </c>
      <c r="AV27" s="86">
        <f ca="1">SMALL($AS$3:$AS$30,ROWS(AV$3:AV27))</f>
        <v>66</v>
      </c>
      <c r="AW27" s="94">
        <f ca="1">VLOOKUP(SMALL($BB$3:$BB$16,AX27),$BB$3:$BC$30,2,0)</f>
        <v>39</v>
      </c>
      <c r="AX27" s="94">
        <f t="shared" si="17"/>
        <v>13</v>
      </c>
      <c r="BA27" s="94">
        <v>25</v>
      </c>
      <c r="BB27" s="94">
        <f t="shared" ca="1" si="10"/>
        <v>0.13365451360629221</v>
      </c>
      <c r="BC27" s="94">
        <f t="shared" ca="1" si="11"/>
        <v>66</v>
      </c>
    </row>
    <row r="28" spans="1:63" ht="16.5" x14ac:dyDescent="0.3">
      <c r="A28" s="9">
        <v>26</v>
      </c>
      <c r="B28" s="109">
        <v>31</v>
      </c>
      <c r="C28" s="110">
        <v>72</v>
      </c>
      <c r="D28" s="111">
        <v>61</v>
      </c>
      <c r="E28" s="112">
        <v>51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6"/>
        <v>32.063091614547787</v>
      </c>
      <c r="AP28" s="97">
        <f ca="1">SMALL($AO$3:$AO$30,ROWS(AO$3:AO28))</f>
        <v>29.367521277902231</v>
      </c>
      <c r="AQ28" s="119">
        <f t="shared" ca="1" si="7"/>
        <v>1.5882935858161753</v>
      </c>
      <c r="AR28" s="119">
        <f t="shared" si="14"/>
        <v>1.5</v>
      </c>
      <c r="AS28" s="86">
        <f t="shared" ca="1" si="8"/>
        <v>47</v>
      </c>
      <c r="AT28" s="86">
        <f t="shared" ca="1" si="9"/>
        <v>0.37762326315824979</v>
      </c>
      <c r="AU28" s="86">
        <f ca="1">INDEX($AS$3:$AS$30,MATCH(SMALL($AT$3:$AT$30,ROWS(AT$3:AT28)),$AT$3:$AT$30,0))</f>
        <v>34</v>
      </c>
      <c r="AV28" s="86">
        <f ca="1">SMALL($AS$3:$AS$30,ROWS(AV$3:AV28))</f>
        <v>73</v>
      </c>
      <c r="AW28" s="94">
        <f ca="1">VLOOKUP(SMALL($BB$17:$BB$30,AX28),$BB$17:$BC$30,2,0)</f>
        <v>47</v>
      </c>
      <c r="AX28" s="94">
        <f t="shared" si="17"/>
        <v>13</v>
      </c>
      <c r="BA28" s="94">
        <v>26</v>
      </c>
      <c r="BB28" s="94">
        <f t="shared" ca="1" si="10"/>
        <v>0.17138461990243847</v>
      </c>
      <c r="BC28" s="94">
        <f t="shared" ca="1" si="11"/>
        <v>73</v>
      </c>
    </row>
    <row r="29" spans="1:63" ht="16.5" x14ac:dyDescent="0.3">
      <c r="A29" s="9">
        <v>27</v>
      </c>
      <c r="B29" s="109">
        <v>62</v>
      </c>
      <c r="C29" s="110">
        <v>82</v>
      </c>
      <c r="D29" s="111">
        <v>90</v>
      </c>
      <c r="E29" s="112">
        <v>65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6"/>
        <v>22.582734174739166</v>
      </c>
      <c r="AP29" s="97">
        <f ca="1">SMALL($AO$3:$AO$30,ROWS(AO$3:AO29))</f>
        <v>31.247989675358813</v>
      </c>
      <c r="AQ29" s="119">
        <f t="shared" ca="1" si="7"/>
        <v>2.8064333108437776</v>
      </c>
      <c r="AR29" s="119">
        <f t="shared" si="14"/>
        <v>2</v>
      </c>
      <c r="AS29" s="86">
        <f t="shared" ca="1" si="8"/>
        <v>88</v>
      </c>
      <c r="AT29" s="86">
        <f t="shared" ca="1" si="9"/>
        <v>0.47737932580038878</v>
      </c>
      <c r="AU29" s="86">
        <f ca="1">INDEX($AS$3:$AS$30,MATCH(SMALL($AT$3:$AT$30,ROWS(AT$3:AT29)),$AT$3:$AT$30,0))</f>
        <v>50</v>
      </c>
      <c r="AV29" s="86">
        <f ca="1">SMALL($AS$3:$AS$30,ROWS(AV$3:AV29))</f>
        <v>78</v>
      </c>
      <c r="AW29" s="94">
        <f ca="1">VLOOKUP(SMALL($BB$17:$BB$30,AX29),$BB$17:$BC$30,2,0)</f>
        <v>59</v>
      </c>
      <c r="AX29" s="94">
        <f t="shared" si="17"/>
        <v>14</v>
      </c>
      <c r="BA29" s="94">
        <v>27</v>
      </c>
      <c r="BB29" s="94">
        <f t="shared" ca="1" si="10"/>
        <v>0.74600781779114922</v>
      </c>
      <c r="BC29" s="94">
        <f t="shared" ca="1" si="11"/>
        <v>78</v>
      </c>
    </row>
    <row r="30" spans="1:63" ht="16.5" x14ac:dyDescent="0.3">
      <c r="A30" s="9">
        <v>28</v>
      </c>
      <c r="B30" s="109">
        <v>48</v>
      </c>
      <c r="C30" s="110">
        <v>90</v>
      </c>
      <c r="D30" s="111">
        <v>62</v>
      </c>
      <c r="E30" s="112">
        <v>44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6"/>
        <v>15.985573052026831</v>
      </c>
      <c r="AP30" s="97">
        <f ca="1">SMALL($AO$3:$AO$30,ROWS(AO$3:AO30))</f>
        <v>32.063091614547787</v>
      </c>
      <c r="AQ30" s="119">
        <f t="shared" ca="1" si="7"/>
        <v>1.2940723426901188</v>
      </c>
      <c r="AR30" s="119">
        <f t="shared" si="14"/>
        <v>1</v>
      </c>
      <c r="AS30" s="86">
        <f t="shared" ca="1" si="8"/>
        <v>42</v>
      </c>
      <c r="AT30" s="86">
        <f t="shared" ca="1" si="9"/>
        <v>0.14616098323982063</v>
      </c>
      <c r="AU30" s="86">
        <f ca="1">INDEX($AS$3:$AS$30,MATCH(SMALL($AT$3:$AT$30,ROWS(AT$3:AT30)),$AT$3:$AT$30,0))</f>
        <v>39</v>
      </c>
      <c r="AV30" s="86">
        <f ca="1">SMALL($AS$3:$AS$30,ROWS(AV$3:AV30))</f>
        <v>88</v>
      </c>
      <c r="AW30" s="94">
        <f ca="1">VLOOKUP(SMALL($BB$3:$BB$16,AX30),$BB$3:$BC$30,2,0)</f>
        <v>32</v>
      </c>
      <c r="AX30" s="94">
        <f t="shared" si="17"/>
        <v>14</v>
      </c>
      <c r="BA30" s="94">
        <v>28</v>
      </c>
      <c r="BB30" s="94">
        <f t="shared" ca="1" si="10"/>
        <v>0.82434511344497385</v>
      </c>
      <c r="BC30" s="94">
        <f t="shared" ca="1" si="11"/>
        <v>88</v>
      </c>
    </row>
    <row r="31" spans="1:63" ht="15" x14ac:dyDescent="0.25">
      <c r="A31"/>
      <c r="B31"/>
      <c r="C31"/>
      <c r="D31"/>
      <c r="E31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1243</v>
      </c>
      <c r="AT32"/>
      <c r="AU32" s="157">
        <f ca="1">SUM(AU3:AU30)</f>
        <v>1243</v>
      </c>
      <c r="AV32" s="157">
        <f ca="1">SUM(AV3:AV30)</f>
        <v>1243</v>
      </c>
      <c r="AW32" s="157">
        <f ca="1">SUM(AW3:AW30)</f>
        <v>1243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75">
        <f>A3</f>
        <v>1</v>
      </c>
      <c r="B35" s="75">
        <f>SUM(B$3:B3)</f>
        <v>50</v>
      </c>
      <c r="C35" s="75">
        <f>SUM(C$3:C3)</f>
        <v>25</v>
      </c>
      <c r="D35" s="75">
        <f>SUM(D$3:D3)</f>
        <v>33</v>
      </c>
      <c r="E35" s="75">
        <f>SUM(E$3:E3)</f>
        <v>39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75">
        <f>A4</f>
        <v>2</v>
      </c>
      <c r="B36" s="75">
        <f>SUM(B$3:B4)</f>
        <v>75</v>
      </c>
      <c r="C36" s="75">
        <f>SUM(C$3:C4)</f>
        <v>53</v>
      </c>
      <c r="D36" s="75">
        <f>SUM(D$3:D4)</f>
        <v>68</v>
      </c>
      <c r="E36" s="75">
        <f>SUM(E$3:E4)</f>
        <v>106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75">
        <f>A5</f>
        <v>3</v>
      </c>
      <c r="B37" s="75">
        <f>SUM(B$3:B5)</f>
        <v>108</v>
      </c>
      <c r="C37" s="75">
        <f>SUM(C$3:C5)</f>
        <v>84</v>
      </c>
      <c r="D37" s="75">
        <f>SUM(D$3:D5)</f>
        <v>116</v>
      </c>
      <c r="E37" s="75">
        <f>SUM(E$3:E5)</f>
        <v>156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75">
        <f>A6</f>
        <v>4</v>
      </c>
      <c r="B38" s="75">
        <f>SUM(B$3:B6)</f>
        <v>180</v>
      </c>
      <c r="C38" s="75">
        <f>SUM(C$3:C6)</f>
        <v>117</v>
      </c>
      <c r="D38" s="75">
        <f>SUM(D$3:D6)</f>
        <v>144</v>
      </c>
      <c r="E38" s="75">
        <f>SUM(E$3:E6)</f>
        <v>191</v>
      </c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75">
        <f>A7</f>
        <v>5</v>
      </c>
      <c r="B39" s="75">
        <f>SUM(B$3:B7)</f>
        <v>247</v>
      </c>
      <c r="C39" s="75">
        <f>SUM(C$3:C7)</f>
        <v>152</v>
      </c>
      <c r="D39" s="75">
        <f>SUM(D$3:D7)</f>
        <v>169</v>
      </c>
      <c r="E39" s="75">
        <f>SUM(E$3:E7)</f>
        <v>219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75">
        <f>A8</f>
        <v>6</v>
      </c>
      <c r="B40" s="75">
        <f>SUM(B$3:B8)</f>
        <v>282</v>
      </c>
      <c r="C40" s="75">
        <f>SUM(C$3:C8)</f>
        <v>191</v>
      </c>
      <c r="D40" s="75">
        <f>SUM(D$3:D8)</f>
        <v>222</v>
      </c>
      <c r="E40" s="75">
        <f>SUM(E$3:E8)</f>
        <v>280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75">
        <f>A9</f>
        <v>7</v>
      </c>
      <c r="B41" s="75">
        <f>SUM(B$3:B9)</f>
        <v>324</v>
      </c>
      <c r="C41" s="75">
        <f>SUM(C$3:C9)</f>
        <v>230</v>
      </c>
      <c r="D41" s="75">
        <f>SUM(D$3:D9)</f>
        <v>272</v>
      </c>
      <c r="E41" s="75">
        <f>SUM(E$3:E9)</f>
        <v>331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75">
        <f>A10</f>
        <v>8</v>
      </c>
      <c r="B42" s="75">
        <f>SUM(B$3:B10)</f>
        <v>368</v>
      </c>
      <c r="C42" s="75">
        <f>SUM(C$3:C10)</f>
        <v>270</v>
      </c>
      <c r="D42" s="75">
        <f>SUM(D$3:D10)</f>
        <v>314</v>
      </c>
      <c r="E42" s="75">
        <f>SUM(E$3:E10)</f>
        <v>377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75">
        <f>A11</f>
        <v>9</v>
      </c>
      <c r="B43" s="75">
        <f>SUM(B$3:B11)</f>
        <v>419</v>
      </c>
      <c r="C43" s="75">
        <f>SUM(C$3:C11)</f>
        <v>311</v>
      </c>
      <c r="D43" s="75">
        <f>SUM(D$3:D11)</f>
        <v>354</v>
      </c>
      <c r="E43" s="75">
        <f>SUM(E$3:E11)</f>
        <v>425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75">
        <f>A12</f>
        <v>10</v>
      </c>
      <c r="B44" s="75">
        <f>SUM(B$3:B12)</f>
        <v>458</v>
      </c>
      <c r="C44" s="75">
        <f>SUM(C$3:C12)</f>
        <v>353</v>
      </c>
      <c r="D44" s="75">
        <f>SUM(D$3:D12)</f>
        <v>400</v>
      </c>
      <c r="E44" s="75">
        <f>SUM(E$3:E12)</f>
        <v>481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75">
        <f>A13</f>
        <v>11</v>
      </c>
      <c r="B45" s="75">
        <f>SUM(B$3:B13)</f>
        <v>504</v>
      </c>
      <c r="C45" s="75">
        <f>SUM(C$3:C13)</f>
        <v>397</v>
      </c>
      <c r="D45" s="75">
        <f>SUM(D$3:D13)</f>
        <v>472</v>
      </c>
      <c r="E45" s="75">
        <f>SUM(E$3:E13)</f>
        <v>553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75">
        <f>A14</f>
        <v>12</v>
      </c>
      <c r="B46" s="75">
        <f>SUM(B$3:B14)</f>
        <v>545</v>
      </c>
      <c r="C46" s="75">
        <f>SUM(C$3:C14)</f>
        <v>443</v>
      </c>
      <c r="D46" s="75">
        <f>SUM(D$3:D14)</f>
        <v>503</v>
      </c>
      <c r="E46" s="75">
        <f>SUM(E$3:E14)</f>
        <v>593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75">
        <f>A15</f>
        <v>13</v>
      </c>
      <c r="B47" s="75">
        <f>SUM(B$3:B15)</f>
        <v>614</v>
      </c>
      <c r="C47" s="75">
        <f>SUM(C$3:C15)</f>
        <v>490</v>
      </c>
      <c r="D47" s="75">
        <f>SUM(D$3:D15)</f>
        <v>547</v>
      </c>
      <c r="E47" s="75">
        <f>SUM(E$3:E15)</f>
        <v>635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75">
        <f>A16</f>
        <v>14</v>
      </c>
      <c r="B48" s="75">
        <f>SUM(B$3:B16)</f>
        <v>642</v>
      </c>
      <c r="C48" s="75">
        <f>SUM(C$3:C16)</f>
        <v>538</v>
      </c>
      <c r="D48" s="75">
        <f>SUM(D$3:D16)</f>
        <v>586</v>
      </c>
      <c r="E48" s="75">
        <f>SUM(E$3:E16)</f>
        <v>707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75">
        <f>A17</f>
        <v>15</v>
      </c>
      <c r="B49" s="75">
        <f>SUM(B$3:B17)</f>
        <v>724</v>
      </c>
      <c r="C49" s="75">
        <f>SUM(C$3:C17)</f>
        <v>588</v>
      </c>
      <c r="D49" s="75">
        <f>SUM(D$3:D17)</f>
        <v>658</v>
      </c>
      <c r="E49" s="75">
        <f>SUM(E$3:E17)</f>
        <v>760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75">
        <f>A18</f>
        <v>16</v>
      </c>
      <c r="B50" s="75">
        <f>SUM(B$3:B18)</f>
        <v>789</v>
      </c>
      <c r="C50" s="75">
        <f>SUM(C$3:C18)</f>
        <v>639</v>
      </c>
      <c r="D50" s="75">
        <f>SUM(D$3:D18)</f>
        <v>709</v>
      </c>
      <c r="E50" s="75">
        <f>SUM(E$3:E18)</f>
        <v>801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75">
        <f>A19</f>
        <v>17</v>
      </c>
      <c r="B51" s="75">
        <f>SUM(B$3:B19)</f>
        <v>836</v>
      </c>
      <c r="C51" s="75">
        <f>SUM(C$3:C19)</f>
        <v>690</v>
      </c>
      <c r="D51" s="75">
        <f>SUM(D$3:D19)</f>
        <v>750</v>
      </c>
      <c r="E51" s="75">
        <f>SUM(E$3:E19)</f>
        <v>826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75">
        <f>A20</f>
        <v>18</v>
      </c>
      <c r="B52" s="75">
        <f>SUM(B$3:B20)</f>
        <v>889</v>
      </c>
      <c r="C52" s="75">
        <f>SUM(C$3:C20)</f>
        <v>743</v>
      </c>
      <c r="D52" s="75">
        <f>SUM(D$3:D20)</f>
        <v>815</v>
      </c>
      <c r="E52" s="75">
        <f>SUM(E$3:E20)</f>
        <v>895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75">
        <f>A21</f>
        <v>19</v>
      </c>
      <c r="B53" s="75">
        <f>SUM(B$3:B21)</f>
        <v>979</v>
      </c>
      <c r="C53" s="75">
        <f>SUM(C$3:C21)</f>
        <v>799</v>
      </c>
      <c r="D53" s="75">
        <f>SUM(D$3:D21)</f>
        <v>882</v>
      </c>
      <c r="E53" s="75">
        <f>SUM(E$3:E21)</f>
        <v>985</v>
      </c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75">
        <f>A22</f>
        <v>20</v>
      </c>
      <c r="B54" s="75">
        <f>SUM(B$3:B22)</f>
        <v>1035</v>
      </c>
      <c r="C54" s="75">
        <f>SUM(C$3:C22)</f>
        <v>860</v>
      </c>
      <c r="D54" s="75">
        <f>SUM(D$3:D22)</f>
        <v>933</v>
      </c>
      <c r="E54" s="75">
        <f>SUM(E$3:E22)</f>
        <v>1018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75">
        <f>A23</f>
        <v>21</v>
      </c>
      <c r="B55" s="75">
        <f>SUM(B$3:B23)</f>
        <v>1086</v>
      </c>
      <c r="C55" s="75">
        <f>SUM(C$3:C23)</f>
        <v>922</v>
      </c>
      <c r="D55" s="75">
        <f>SUM(D$3:D23)</f>
        <v>989</v>
      </c>
      <c r="E55" s="75">
        <f>SUM(E$3:E23)</f>
        <v>1049</v>
      </c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75">
        <f>A24</f>
        <v>22</v>
      </c>
      <c r="B56" s="75">
        <f>SUM(B$3:B24)</f>
        <v>1126</v>
      </c>
      <c r="C56" s="75">
        <f>SUM(C$3:C24)</f>
        <v>987</v>
      </c>
      <c r="D56" s="75">
        <f>SUM(D$3:D24)</f>
        <v>1058</v>
      </c>
      <c r="E56" s="75">
        <f>SUM(E$3:E24)</f>
        <v>1131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75">
        <f>A25</f>
        <v>23</v>
      </c>
      <c r="B57" s="75">
        <f>SUM(B$3:B25)</f>
        <v>1187</v>
      </c>
      <c r="C57" s="75">
        <f>SUM(C$3:C25)</f>
        <v>1054</v>
      </c>
      <c r="D57" s="75">
        <f>SUM(D$3:D25)</f>
        <v>1140</v>
      </c>
      <c r="E57" s="75">
        <f>SUM(E$3:E25)</f>
        <v>1193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75">
        <f>A26</f>
        <v>24</v>
      </c>
      <c r="B58" s="75">
        <f>SUM(B$3:B26)</f>
        <v>1259</v>
      </c>
      <c r="C58" s="75">
        <f>SUM(C$3:C26)</f>
        <v>1123</v>
      </c>
      <c r="D58" s="75">
        <f>SUM(D$3:D26)</f>
        <v>1179</v>
      </c>
      <c r="E58" s="75">
        <f>SUM(E$3:E26)</f>
        <v>1240</v>
      </c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75">
        <f>A27</f>
        <v>25</v>
      </c>
      <c r="B59" s="75">
        <f>SUM(B$3:B27)</f>
        <v>1298</v>
      </c>
      <c r="C59" s="75">
        <f>SUM(C$3:C27)</f>
        <v>1195</v>
      </c>
      <c r="D59" s="75">
        <f>SUM(D$3:D27)</f>
        <v>1226</v>
      </c>
      <c r="E59" s="75">
        <f>SUM(E$3:E27)</f>
        <v>1279</v>
      </c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75">
        <f>A28</f>
        <v>26</v>
      </c>
      <c r="B60" s="75">
        <f>SUM(B$3:B28)</f>
        <v>1329</v>
      </c>
      <c r="C60" s="75">
        <f>SUM(C$3:C28)</f>
        <v>1267</v>
      </c>
      <c r="D60" s="75">
        <f>SUM(D$3:D28)</f>
        <v>1287</v>
      </c>
      <c r="E60" s="75">
        <f>SUM(E$3:E28)</f>
        <v>1330</v>
      </c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75">
        <f>A29</f>
        <v>27</v>
      </c>
      <c r="B61" s="75">
        <f>SUM(B$3:B29)</f>
        <v>1391</v>
      </c>
      <c r="C61" s="75">
        <f>SUM(C$3:C29)</f>
        <v>1349</v>
      </c>
      <c r="D61" s="75">
        <f>SUM(D$3:D29)</f>
        <v>1377</v>
      </c>
      <c r="E61" s="75">
        <f>SUM(E$3:E29)</f>
        <v>1395</v>
      </c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75">
        <f>A30</f>
        <v>28</v>
      </c>
      <c r="B62" s="75">
        <f>SUM(B$3:B30)</f>
        <v>1439</v>
      </c>
      <c r="C62" s="75">
        <f>SUM(C$3:C30)</f>
        <v>1439</v>
      </c>
      <c r="D62" s="75">
        <f>SUM(D$3:D30)</f>
        <v>1439</v>
      </c>
      <c r="E62" s="75">
        <f>SUM(E$3:E30)</f>
        <v>1439</v>
      </c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27:63" ht="17.25" thickBot="1" x14ac:dyDescent="0.35"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2486</v>
      </c>
      <c r="AT88" s="157">
        <f t="shared" ref="AT88:AW88" ca="1" si="18">SUM(AT3:AT86)</f>
        <v>13.667933939565867</v>
      </c>
      <c r="AU88" s="157">
        <f t="shared" ca="1" si="18"/>
        <v>2486</v>
      </c>
      <c r="AV88" s="157">
        <f t="shared" ca="1" si="18"/>
        <v>2486</v>
      </c>
      <c r="AW88" s="157">
        <f t="shared" ca="1" si="18"/>
        <v>2486</v>
      </c>
      <c r="AX88"/>
    </row>
    <row r="89" spans="27:63" ht="17.25" thickBot="1" x14ac:dyDescent="0.35"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119"/>
      <c r="AR93" s="119"/>
      <c r="AS93"/>
      <c r="AT93"/>
      <c r="AU93"/>
      <c r="AX93"/>
    </row>
    <row r="94" spans="27:63" ht="16.5" x14ac:dyDescent="0.3">
      <c r="AP94"/>
      <c r="AQ94" s="119"/>
      <c r="AR94" s="119"/>
      <c r="AS94"/>
      <c r="AT94"/>
      <c r="AU94"/>
      <c r="AX94"/>
    </row>
    <row r="95" spans="27:63" ht="16.5" x14ac:dyDescent="0.3">
      <c r="AP95"/>
      <c r="AQ95" s="119"/>
      <c r="AR95" s="119"/>
      <c r="AS95"/>
      <c r="AT95"/>
      <c r="AU95"/>
      <c r="AX95"/>
    </row>
    <row r="96" spans="27:63" ht="16.5" x14ac:dyDescent="0.3">
      <c r="AP96"/>
      <c r="AQ96" s="119"/>
      <c r="AR96" s="119"/>
      <c r="AS96"/>
      <c r="AT96"/>
      <c r="AU96"/>
      <c r="AX96"/>
    </row>
    <row r="97" spans="42:50" ht="16.5" x14ac:dyDescent="0.3">
      <c r="AP97"/>
      <c r="AQ97" s="119"/>
      <c r="AR97" s="119"/>
      <c r="AS97"/>
      <c r="AT97"/>
      <c r="AU97"/>
      <c r="AX97"/>
    </row>
    <row r="98" spans="42:50" ht="16.5" x14ac:dyDescent="0.3">
      <c r="AP98"/>
      <c r="AQ98" s="119"/>
      <c r="AR98" s="119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9130-46C0-481B-AC68-C7B014E6BB06}">
  <dimension ref="A1:BH299"/>
  <sheetViews>
    <sheetView zoomScale="96" zoomScaleNormal="96" workbookViewId="0">
      <selection activeCell="G34" sqref="G34"/>
    </sheetView>
  </sheetViews>
  <sheetFormatPr defaultColWidth="9.140625" defaultRowHeight="15" x14ac:dyDescent="0.25"/>
  <cols>
    <col min="1" max="1" width="4.5703125" style="94" bestFit="1" customWidth="1"/>
    <col min="2" max="2" width="9.7109375" style="94" bestFit="1" customWidth="1"/>
    <col min="3" max="3" width="13" style="94" customWidth="1"/>
    <col min="4" max="4" width="8.7109375" style="94" customWidth="1"/>
    <col min="5" max="5" width="5.85546875" style="94" customWidth="1"/>
    <col min="6" max="6" width="9.7109375" style="94" customWidth="1"/>
    <col min="7" max="7" width="10.7109375" style="94" customWidth="1"/>
    <col min="8" max="8" width="7.28515625" style="94" customWidth="1"/>
    <col min="9" max="9" width="8.7109375" style="94" bestFit="1" customWidth="1"/>
    <col min="10" max="10" width="9.140625" style="94"/>
    <col min="11" max="11" width="12.140625" style="94" bestFit="1" customWidth="1"/>
    <col min="12" max="12" width="13.85546875" style="94" bestFit="1" customWidth="1"/>
    <col min="13" max="13" width="12.42578125" style="94" bestFit="1" customWidth="1"/>
    <col min="14" max="14" width="12.140625" style="94" bestFit="1" customWidth="1"/>
    <col min="15" max="18" width="9.28515625" style="94" bestFit="1" customWidth="1"/>
    <col min="19" max="20" width="9.140625" style="94"/>
    <col min="21" max="21" width="9.28515625" style="94" bestFit="1" customWidth="1"/>
    <col min="22" max="32" width="9.140625" style="94"/>
    <col min="33" max="33" width="9.140625" style="94" customWidth="1"/>
    <col min="34" max="36" width="9.140625" style="94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94"/>
  </cols>
  <sheetData>
    <row r="1" spans="1:43" customFormat="1" ht="15.75" thickBot="1" x14ac:dyDescent="0.3">
      <c r="J1" t="s">
        <v>134</v>
      </c>
      <c r="K1" s="162">
        <v>2.2929434185014169E-2</v>
      </c>
    </row>
    <row r="2" spans="1:43" ht="17.25" thickBot="1" x14ac:dyDescent="0.35">
      <c r="A2" s="98" t="s">
        <v>4</v>
      </c>
      <c r="B2" s="99" t="s">
        <v>122</v>
      </c>
      <c r="C2" s="1" t="s">
        <v>127</v>
      </c>
      <c r="D2" s="1" t="s">
        <v>128</v>
      </c>
      <c r="E2" s="1" t="s">
        <v>129</v>
      </c>
      <c r="F2" s="1" t="s">
        <v>130</v>
      </c>
      <c r="G2" s="1" t="s">
        <v>131</v>
      </c>
      <c r="H2" s="1" t="s">
        <v>1</v>
      </c>
      <c r="I2" s="1" t="s">
        <v>132</v>
      </c>
      <c r="J2" s="1" t="s">
        <v>133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65">
        <v>1</v>
      </c>
      <c r="B3" s="109">
        <v>50</v>
      </c>
      <c r="C3" s="1">
        <f>B3</f>
        <v>50</v>
      </c>
      <c r="D3" s="163">
        <f>B3-C3</f>
        <v>0</v>
      </c>
      <c r="E3" s="1">
        <f>ABS(D3)</f>
        <v>0</v>
      </c>
      <c r="F3" s="163">
        <f>D3^2</f>
        <v>0</v>
      </c>
      <c r="G3" s="163">
        <f>E3/B3</f>
        <v>0</v>
      </c>
      <c r="H3" s="163">
        <f>AVERAGE(E$3:E3)</f>
        <v>0</v>
      </c>
      <c r="I3" s="163">
        <f>AVERAGE(F$3:F3)</f>
        <v>0</v>
      </c>
      <c r="J3" s="163">
        <f>AVERAGE(G$3:G3)</f>
        <v>0</v>
      </c>
      <c r="K3"/>
      <c r="L3">
        <v>0.01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65">
        <v>2</v>
      </c>
      <c r="B4" s="109">
        <v>25</v>
      </c>
      <c r="C4" s="163">
        <f>(1-$K$1)*C3+$K$1*B3</f>
        <v>50.000000000000007</v>
      </c>
      <c r="D4" s="163">
        <f t="shared" ref="D4:D30" si="0">B4-C4</f>
        <v>-25.000000000000007</v>
      </c>
      <c r="E4" s="1">
        <f t="shared" ref="E4:E31" si="1">ABS(D4)</f>
        <v>25.000000000000007</v>
      </c>
      <c r="F4" s="163">
        <f t="shared" ref="F4:F31" si="2">D4^2</f>
        <v>625.00000000000034</v>
      </c>
      <c r="G4" s="163">
        <f t="shared" ref="G4:G31" si="3">E4/B4</f>
        <v>1.0000000000000002</v>
      </c>
      <c r="H4" s="163">
        <f>AVERAGE(E$3:E4)</f>
        <v>12.500000000000004</v>
      </c>
      <c r="I4" s="163">
        <f>AVERAGE(F$3:F4)</f>
        <v>312.50000000000017</v>
      </c>
      <c r="J4" s="163">
        <f>AVERAGE(G$3:G4)</f>
        <v>0.50000000000000011</v>
      </c>
      <c r="K4"/>
      <c r="L4">
        <v>2E-3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165">
        <v>3</v>
      </c>
      <c r="B5" s="109">
        <v>33</v>
      </c>
      <c r="C5" s="163">
        <f t="shared" ref="C5:C31" si="4">(1-$K$1)*C4+$K$1*B4</f>
        <v>49.426764145374655</v>
      </c>
      <c r="D5" s="163">
        <f t="shared" si="0"/>
        <v>-16.426764145374655</v>
      </c>
      <c r="E5" s="1">
        <f t="shared" si="1"/>
        <v>16.426764145374655</v>
      </c>
      <c r="F5" s="163">
        <f t="shared" si="2"/>
        <v>269.83858028776632</v>
      </c>
      <c r="G5" s="163">
        <f t="shared" si="3"/>
        <v>0.49778073167801984</v>
      </c>
      <c r="H5" s="163">
        <f>AVERAGE(E$3:E5)</f>
        <v>13.808921381791555</v>
      </c>
      <c r="I5" s="163">
        <f>AVERAGE(F$3:F5)</f>
        <v>298.27952676258889</v>
      </c>
      <c r="J5" s="163">
        <f>AVERAGE(G$3:G5)</f>
        <v>0.49926024389267337</v>
      </c>
      <c r="K5"/>
      <c r="L5"/>
      <c r="M5" s="162">
        <f>J30</f>
        <v>0.27413096018056099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65">
        <v>4</v>
      </c>
      <c r="B6" s="109">
        <v>72</v>
      </c>
      <c r="C6" s="163">
        <f t="shared" si="4"/>
        <v>49.05010773803054</v>
      </c>
      <c r="D6" s="163">
        <f t="shared" si="0"/>
        <v>22.94989226196946</v>
      </c>
      <c r="E6" s="1">
        <f t="shared" si="1"/>
        <v>22.94989226196946</v>
      </c>
      <c r="F6" s="163">
        <f t="shared" si="2"/>
        <v>526.69755483600568</v>
      </c>
      <c r="G6" s="163">
        <f t="shared" si="3"/>
        <v>0.31874850363846474</v>
      </c>
      <c r="H6" s="163">
        <f>AVERAGE(E$3:E6)</f>
        <v>16.094164101836029</v>
      </c>
      <c r="I6" s="163">
        <f>AVERAGE(F$3:F6)</f>
        <v>355.38403378094313</v>
      </c>
      <c r="J6" s="163">
        <f>AVERAGE(G$3:G6)</f>
        <v>0.4541323088291212</v>
      </c>
      <c r="K6"/>
      <c r="L6">
        <f>L3</f>
        <v>0.01</v>
      </c>
      <c r="M6">
        <f t="dataTable" ref="M6:M16" dt2D="0" dtr="0" r1="K1"/>
        <v>0.274155620971131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65">
        <v>5</v>
      </c>
      <c r="B7" s="109">
        <v>67</v>
      </c>
      <c r="C7" s="163">
        <f t="shared" si="4"/>
        <v>49.576335782204538</v>
      </c>
      <c r="D7" s="163">
        <f t="shared" si="0"/>
        <v>17.423664217795462</v>
      </c>
      <c r="E7" s="1">
        <f t="shared" si="1"/>
        <v>17.423664217795462</v>
      </c>
      <c r="F7" s="163">
        <f t="shared" si="2"/>
        <v>303.58407477448594</v>
      </c>
      <c r="G7" s="163">
        <f t="shared" si="3"/>
        <v>0.26005468981784274</v>
      </c>
      <c r="H7" s="163">
        <f>AVERAGE(E$3:E7)</f>
        <v>16.360064125027915</v>
      </c>
      <c r="I7" s="163">
        <f>AVERAGE(F$3:F7)</f>
        <v>345.02404197965171</v>
      </c>
      <c r="J7" s="163">
        <f>AVERAGE(G$3:G7)</f>
        <v>0.41531678502686553</v>
      </c>
      <c r="K7"/>
      <c r="L7">
        <f>L6+L$4</f>
        <v>1.2E-2</v>
      </c>
      <c r="M7">
        <v>0.27415005395583492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65">
        <v>6</v>
      </c>
      <c r="B8" s="109">
        <v>35</v>
      </c>
      <c r="C8" s="163">
        <f t="shared" si="4"/>
        <v>49.975850544148265</v>
      </c>
      <c r="D8" s="163">
        <f t="shared" si="0"/>
        <v>-14.975850544148265</v>
      </c>
      <c r="E8" s="1">
        <f t="shared" si="1"/>
        <v>14.975850544148265</v>
      </c>
      <c r="F8" s="163">
        <f t="shared" si="2"/>
        <v>224.27609952066589</v>
      </c>
      <c r="G8" s="163">
        <f t="shared" si="3"/>
        <v>0.42788144411852186</v>
      </c>
      <c r="H8" s="163">
        <f>AVERAGE(E$3:E8)</f>
        <v>16.129361861547974</v>
      </c>
      <c r="I8" s="163">
        <f>AVERAGE(F$3:F8)</f>
        <v>324.89938490315404</v>
      </c>
      <c r="J8" s="163">
        <f>AVERAGE(G$3:G8)</f>
        <v>0.41741089487547489</v>
      </c>
      <c r="K8"/>
      <c r="L8">
        <f t="shared" ref="L8:L17" si="5">L7+L$4</f>
        <v>1.4E-2</v>
      </c>
      <c r="M8">
        <v>0.27414540070220533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65">
        <v>7</v>
      </c>
      <c r="B9" s="109">
        <v>42</v>
      </c>
      <c r="C9" s="163">
        <f t="shared" si="4"/>
        <v>49.632462764731606</v>
      </c>
      <c r="D9" s="163">
        <f t="shared" si="0"/>
        <v>-7.6324627647316063</v>
      </c>
      <c r="E9" s="1">
        <f t="shared" si="1"/>
        <v>7.6324627647316063</v>
      </c>
      <c r="F9" s="163">
        <f t="shared" si="2"/>
        <v>58.254487855014439</v>
      </c>
      <c r="G9" s="163">
        <f t="shared" si="3"/>
        <v>0.18172530392218111</v>
      </c>
      <c r="H9" s="163">
        <f>AVERAGE(E$3:E9)</f>
        <v>14.915519133431347</v>
      </c>
      <c r="I9" s="163">
        <f>AVERAGE(F$3:F9)</f>
        <v>286.80725675341984</v>
      </c>
      <c r="J9" s="163">
        <f>AVERAGE(G$3:G9)</f>
        <v>0.38374152473929002</v>
      </c>
      <c r="K9"/>
      <c r="L9">
        <f t="shared" si="5"/>
        <v>1.6E-2</v>
      </c>
      <c r="M9">
        <v>0.27414146446295334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65">
        <v>8</v>
      </c>
      <c r="B10" s="109">
        <v>44</v>
      </c>
      <c r="C10" s="163">
        <f t="shared" si="4"/>
        <v>49.457454712098119</v>
      </c>
      <c r="D10" s="163">
        <f t="shared" si="0"/>
        <v>-5.4574547120981194</v>
      </c>
      <c r="E10" s="1">
        <f t="shared" si="1"/>
        <v>5.4574547120981194</v>
      </c>
      <c r="F10" s="163">
        <f t="shared" si="2"/>
        <v>29.783811934601967</v>
      </c>
      <c r="G10" s="163">
        <f t="shared" si="3"/>
        <v>0.12403306163859362</v>
      </c>
      <c r="H10" s="163">
        <f>AVERAGE(E$3:E10)</f>
        <v>13.733261080764695</v>
      </c>
      <c r="I10" s="163">
        <f>AVERAGE(F$3:F10)</f>
        <v>254.67932615106761</v>
      </c>
      <c r="J10" s="163">
        <f>AVERAGE(G$3:G10)</f>
        <v>0.35127796685170298</v>
      </c>
      <c r="K10"/>
      <c r="L10">
        <f t="shared" si="5"/>
        <v>1.8000000000000002E-2</v>
      </c>
      <c r="M10">
        <v>0.27413806476272762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65">
        <v>9</v>
      </c>
      <c r="B11" s="109">
        <v>51</v>
      </c>
      <c r="C11" s="163">
        <f t="shared" si="4"/>
        <v>49.332318363459372</v>
      </c>
      <c r="D11" s="163">
        <f t="shared" si="0"/>
        <v>1.6676816365406282</v>
      </c>
      <c r="E11" s="1">
        <f t="shared" si="1"/>
        <v>1.6676816365406282</v>
      </c>
      <c r="F11" s="163">
        <f t="shared" si="2"/>
        <v>2.7811620408548277</v>
      </c>
      <c r="G11" s="163">
        <f t="shared" si="3"/>
        <v>3.2699639932169178E-2</v>
      </c>
      <c r="H11" s="163">
        <f>AVERAGE(E$3:E11)</f>
        <v>12.392641142517578</v>
      </c>
      <c r="I11" s="163">
        <f>AVERAGE(F$3:F11)</f>
        <v>226.69064124993284</v>
      </c>
      <c r="J11" s="163">
        <f>AVERAGE(G$3:G11)</f>
        <v>0.31588037497175475</v>
      </c>
      <c r="K11"/>
      <c r="L11">
        <f t="shared" si="5"/>
        <v>2.0000000000000004E-2</v>
      </c>
      <c r="M11">
        <v>0.27413503643983356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65">
        <v>10</v>
      </c>
      <c r="B12" s="109">
        <v>39</v>
      </c>
      <c r="C12" s="163">
        <f t="shared" si="4"/>
        <v>49.370557359785984</v>
      </c>
      <c r="D12" s="163">
        <f t="shared" si="0"/>
        <v>-10.370557359785984</v>
      </c>
      <c r="E12" s="1">
        <f t="shared" si="1"/>
        <v>10.370557359785984</v>
      </c>
      <c r="F12" s="163">
        <f t="shared" si="2"/>
        <v>107.54845995261124</v>
      </c>
      <c r="G12" s="163">
        <f t="shared" si="3"/>
        <v>0.26591172717399958</v>
      </c>
      <c r="H12" s="163">
        <f>AVERAGE(E$3:E12)</f>
        <v>12.190432764244417</v>
      </c>
      <c r="I12" s="163">
        <f>AVERAGE(F$3:F12)</f>
        <v>214.77642312020072</v>
      </c>
      <c r="J12" s="163">
        <f>AVERAGE(G$3:G12)</f>
        <v>0.31088351019197924</v>
      </c>
      <c r="K12"/>
      <c r="L12">
        <f t="shared" si="5"/>
        <v>2.2000000000000006E-2</v>
      </c>
      <c r="M12">
        <v>0.27413222873619675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65">
        <v>11</v>
      </c>
      <c r="B13" s="109">
        <v>46</v>
      </c>
      <c r="C13" s="163">
        <f t="shared" si="4"/>
        <v>49.132766347342859</v>
      </c>
      <c r="D13" s="163">
        <f t="shared" si="0"/>
        <v>-3.1327663473428586</v>
      </c>
      <c r="E13" s="1">
        <f t="shared" si="1"/>
        <v>3.1327663473428586</v>
      </c>
      <c r="F13" s="163">
        <f t="shared" si="2"/>
        <v>9.8142249870439162</v>
      </c>
      <c r="G13" s="163">
        <f t="shared" si="3"/>
        <v>6.8103616246583884E-2</v>
      </c>
      <c r="H13" s="163">
        <f>AVERAGE(E$3:E13)</f>
        <v>11.367008544526094</v>
      </c>
      <c r="I13" s="163">
        <f>AVERAGE(F$3:F13)</f>
        <v>196.14349601718644</v>
      </c>
      <c r="J13" s="163">
        <f>AVERAGE(G$3:G13)</f>
        <v>0.28881261074239784</v>
      </c>
      <c r="K13"/>
      <c r="L13">
        <f t="shared" si="5"/>
        <v>2.4000000000000007E-2</v>
      </c>
      <c r="M13">
        <v>0.27420535913628102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65">
        <v>12</v>
      </c>
      <c r="B14" s="109">
        <v>41</v>
      </c>
      <c r="C14" s="163">
        <f t="shared" si="4"/>
        <v>49.060933787564437</v>
      </c>
      <c r="D14" s="163">
        <f t="shared" si="0"/>
        <v>-8.0609337875644371</v>
      </c>
      <c r="E14" s="1">
        <f t="shared" si="1"/>
        <v>8.0609337875644371</v>
      </c>
      <c r="F14" s="163">
        <f t="shared" si="2"/>
        <v>64.97865352749794</v>
      </c>
      <c r="G14" s="163">
        <f t="shared" si="3"/>
        <v>0.19660814116010822</v>
      </c>
      <c r="H14" s="163">
        <f>AVERAGE(E$3:E14)</f>
        <v>11.091502314779289</v>
      </c>
      <c r="I14" s="163">
        <f>AVERAGE(F$3:F14)</f>
        <v>185.21309247637907</v>
      </c>
      <c r="J14" s="163">
        <f>AVERAGE(G$3:G14)</f>
        <v>0.28112890494387371</v>
      </c>
      <c r="K14"/>
      <c r="L14">
        <f t="shared" si="5"/>
        <v>2.6000000000000009E-2</v>
      </c>
      <c r="M14">
        <v>0.27434611907800793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65">
        <v>13</v>
      </c>
      <c r="B15" s="109">
        <v>69</v>
      </c>
      <c r="C15" s="163">
        <f t="shared" si="4"/>
        <v>48.876101136812721</v>
      </c>
      <c r="D15" s="163">
        <f t="shared" si="0"/>
        <v>20.123898863187279</v>
      </c>
      <c r="E15" s="1">
        <f t="shared" si="1"/>
        <v>20.123898863187279</v>
      </c>
      <c r="F15" s="163">
        <f t="shared" si="2"/>
        <v>404.97130545579023</v>
      </c>
      <c r="G15" s="163">
        <f t="shared" si="3"/>
        <v>0.29165070816213445</v>
      </c>
      <c r="H15" s="163">
        <f>AVERAGE(E$3:E15)</f>
        <v>11.786302049272212</v>
      </c>
      <c r="I15" s="163">
        <f>AVERAGE(F$3:F15)</f>
        <v>202.11757039787224</v>
      </c>
      <c r="J15" s="163">
        <f>AVERAGE(G$3:G15)</f>
        <v>0.28193827442220148</v>
      </c>
      <c r="K15"/>
      <c r="L15">
        <f t="shared" si="5"/>
        <v>2.8000000000000011E-2</v>
      </c>
      <c r="M15">
        <v>0.27448893516528905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165">
        <v>14</v>
      </c>
      <c r="B16" s="109">
        <v>28</v>
      </c>
      <c r="C16" s="163">
        <f t="shared" si="4"/>
        <v>49.337530751342058</v>
      </c>
      <c r="D16" s="163">
        <f t="shared" si="0"/>
        <v>-21.337530751342058</v>
      </c>
      <c r="E16" s="1">
        <f t="shared" si="1"/>
        <v>21.337530751342058</v>
      </c>
      <c r="F16" s="163">
        <f t="shared" si="2"/>
        <v>455.29021856446798</v>
      </c>
      <c r="G16" s="163">
        <f t="shared" si="3"/>
        <v>0.76205466969078783</v>
      </c>
      <c r="H16" s="163">
        <f>AVERAGE(E$3:E16)</f>
        <v>12.46853267084863</v>
      </c>
      <c r="I16" s="163">
        <f>AVERAGE(F$3:F16)</f>
        <v>220.2013309812005</v>
      </c>
      <c r="J16" s="163">
        <f>AVERAGE(G$3:G16)</f>
        <v>0.31623230265567193</v>
      </c>
      <c r="K16" s="11"/>
      <c r="L16">
        <f t="shared" si="5"/>
        <v>3.0000000000000013E-2</v>
      </c>
      <c r="M16" s="11">
        <v>0.27463353462165579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02"/>
      <c r="AD16" s="102"/>
      <c r="AE16" s="102"/>
      <c r="AF16" s="102"/>
      <c r="AG16" s="102"/>
      <c r="AH16" s="102"/>
      <c r="AI16" s="102"/>
      <c r="AJ16" s="102"/>
      <c r="AK16" s="11"/>
      <c r="AL16" s="11"/>
      <c r="AM16" s="11"/>
      <c r="AN16" s="11"/>
      <c r="AO16" s="11"/>
      <c r="AP16" s="11"/>
      <c r="AQ16" s="11"/>
    </row>
    <row r="17" spans="1:60" ht="16.5" x14ac:dyDescent="0.3">
      <c r="A17" s="165">
        <v>15</v>
      </c>
      <c r="B17" s="109">
        <v>82</v>
      </c>
      <c r="C17" s="163">
        <f t="shared" si="4"/>
        <v>48.848273244308444</v>
      </c>
      <c r="D17" s="163">
        <f t="shared" si="0"/>
        <v>33.151726755691556</v>
      </c>
      <c r="E17" s="1">
        <f t="shared" si="1"/>
        <v>33.151726755691556</v>
      </c>
      <c r="F17" s="163">
        <f t="shared" si="2"/>
        <v>1099.0369868840353</v>
      </c>
      <c r="G17" s="163">
        <f t="shared" si="3"/>
        <v>0.40428935067916533</v>
      </c>
      <c r="H17" s="163">
        <f>AVERAGE(E$3:E17)</f>
        <v>13.847412276504825</v>
      </c>
      <c r="I17" s="163">
        <f>AVERAGE(F$3:F17)</f>
        <v>278.79037470805616</v>
      </c>
      <c r="J17" s="163">
        <f>AVERAGE(G$3:G17)</f>
        <v>0.32210277252390479</v>
      </c>
      <c r="K17" s="102"/>
      <c r="L17"/>
      <c r="M17" s="102">
        <f>MIN(M6:M16)</f>
        <v>0.27413222873619675</v>
      </c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1"/>
      <c r="AL17" s="11"/>
      <c r="AM17" s="11"/>
      <c r="AN17" s="11"/>
      <c r="AO17" s="11"/>
      <c r="AP17" s="11"/>
      <c r="AQ17" s="11"/>
    </row>
    <row r="18" spans="1:60" ht="16.5" x14ac:dyDescent="0.3">
      <c r="A18" s="165">
        <v>16</v>
      </c>
      <c r="B18" s="109">
        <v>65</v>
      </c>
      <c r="C18" s="163">
        <f t="shared" si="4"/>
        <v>49.60842358107265</v>
      </c>
      <c r="D18" s="163">
        <f t="shared" si="0"/>
        <v>15.39157641892735</v>
      </c>
      <c r="E18" s="1">
        <f t="shared" si="1"/>
        <v>15.39157641892735</v>
      </c>
      <c r="F18" s="163">
        <f t="shared" si="2"/>
        <v>236.90062465968049</v>
      </c>
      <c r="G18" s="163">
        <f t="shared" si="3"/>
        <v>0.23679348336811309</v>
      </c>
      <c r="H18" s="163">
        <f>AVERAGE(E$3:E18)</f>
        <v>13.943922535406232</v>
      </c>
      <c r="I18" s="163">
        <f>AVERAGE(F$3:F18)</f>
        <v>276.1722653300327</v>
      </c>
      <c r="J18" s="163">
        <f>AVERAGE(G$3:G18)</f>
        <v>0.31677094195166783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1"/>
      <c r="AL18" s="11"/>
      <c r="AM18" s="11"/>
      <c r="AN18" s="11"/>
      <c r="AO18" s="11"/>
      <c r="AP18" s="11"/>
      <c r="AQ18" s="11"/>
    </row>
    <row r="19" spans="1:60" ht="16.5" x14ac:dyDescent="0.3">
      <c r="A19" s="165">
        <v>17</v>
      </c>
      <c r="B19" s="109">
        <v>47</v>
      </c>
      <c r="C19" s="163">
        <f t="shared" si="4"/>
        <v>49.96134371957406</v>
      </c>
      <c r="D19" s="163">
        <f t="shared" si="0"/>
        <v>-2.9613437195740602</v>
      </c>
      <c r="E19" s="1">
        <f t="shared" si="1"/>
        <v>2.9613437195740602</v>
      </c>
      <c r="F19" s="163">
        <f t="shared" si="2"/>
        <v>8.76955662546073</v>
      </c>
      <c r="G19" s="163">
        <f t="shared" si="3"/>
        <v>6.3007313182426819E-2</v>
      </c>
      <c r="H19" s="163">
        <f>AVERAGE(E$3:E19)</f>
        <v>13.297888487416103</v>
      </c>
      <c r="I19" s="163">
        <f>AVERAGE(F$3:F19)</f>
        <v>260.44269422976373</v>
      </c>
      <c r="J19" s="163">
        <f>AVERAGE(G$3:G19)</f>
        <v>0.30184366967112419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1"/>
      <c r="AL19" s="11"/>
      <c r="AM19" s="11"/>
      <c r="AN19" s="11"/>
      <c r="AO19" s="11"/>
      <c r="AP19" s="11"/>
      <c r="AQ19" s="11"/>
    </row>
    <row r="20" spans="1:60" ht="16.5" x14ac:dyDescent="0.3">
      <c r="A20" s="165">
        <v>18</v>
      </c>
      <c r="B20" s="109">
        <v>53</v>
      </c>
      <c r="C20" s="163">
        <f t="shared" si="4"/>
        <v>49.893441783656883</v>
      </c>
      <c r="D20" s="163">
        <f t="shared" si="0"/>
        <v>3.1065582163431174</v>
      </c>
      <c r="E20" s="1">
        <f t="shared" si="1"/>
        <v>3.1065582163431174</v>
      </c>
      <c r="F20" s="163">
        <f t="shared" si="2"/>
        <v>9.6507039515289303</v>
      </c>
      <c r="G20" s="163">
        <f t="shared" si="3"/>
        <v>5.861430596873806E-2</v>
      </c>
      <c r="H20" s="163">
        <f>AVERAGE(E$3:E20)</f>
        <v>12.731703472356493</v>
      </c>
      <c r="I20" s="163">
        <f>AVERAGE(F$3:F20)</f>
        <v>246.50980588097295</v>
      </c>
      <c r="J20" s="163">
        <f>AVERAGE(G$3:G20)</f>
        <v>0.28833092724321385</v>
      </c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1"/>
      <c r="AL20" s="11"/>
      <c r="AM20" s="11"/>
      <c r="AN20" s="11"/>
      <c r="AO20" s="11"/>
      <c r="AP20" s="11"/>
      <c r="AQ20" s="11"/>
    </row>
    <row r="21" spans="1:60" ht="16.5" x14ac:dyDescent="0.3">
      <c r="A21" s="165">
        <v>19</v>
      </c>
      <c r="B21" s="109">
        <v>90</v>
      </c>
      <c r="C21" s="163">
        <f t="shared" si="4"/>
        <v>49.964673405820442</v>
      </c>
      <c r="D21" s="163">
        <f t="shared" si="0"/>
        <v>40.035326594179558</v>
      </c>
      <c r="E21" s="1">
        <f t="shared" si="1"/>
        <v>40.035326594179558</v>
      </c>
      <c r="F21" s="163">
        <f t="shared" si="2"/>
        <v>1602.827375502621</v>
      </c>
      <c r="G21" s="163">
        <f t="shared" si="3"/>
        <v>0.44483696215755064</v>
      </c>
      <c r="H21" s="163">
        <f>AVERAGE(E$3:E21)</f>
        <v>14.168736268241915</v>
      </c>
      <c r="I21" s="163">
        <f>AVERAGE(F$3:F21)</f>
        <v>317.89494112421761</v>
      </c>
      <c r="J21" s="163">
        <f>AVERAGE(G$3:G21)</f>
        <v>0.29656808697554737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1"/>
      <c r="AL21" s="11"/>
      <c r="AM21" s="11"/>
      <c r="AN21" s="11"/>
      <c r="AO21" s="11"/>
      <c r="AP21" s="11"/>
      <c r="AQ21" s="11"/>
    </row>
    <row r="22" spans="1:60" ht="16.5" x14ac:dyDescent="0.3">
      <c r="A22" s="165">
        <v>20</v>
      </c>
      <c r="B22" s="109">
        <v>56</v>
      </c>
      <c r="C22" s="163">
        <f t="shared" si="4"/>
        <v>50.882660792037228</v>
      </c>
      <c r="D22" s="163">
        <f t="shared" si="0"/>
        <v>5.1173392079627718</v>
      </c>
      <c r="E22" s="1">
        <f t="shared" si="1"/>
        <v>5.1173392079627718</v>
      </c>
      <c r="F22" s="163">
        <f t="shared" si="2"/>
        <v>26.187160569353047</v>
      </c>
      <c r="G22" s="163">
        <f t="shared" si="3"/>
        <v>9.13810572850495E-2</v>
      </c>
      <c r="H22" s="163">
        <f>AVERAGE(E$3:E22)</f>
        <v>13.716166415227956</v>
      </c>
      <c r="I22" s="163">
        <f>AVERAGE(F$3:F22)</f>
        <v>303.30955209647436</v>
      </c>
      <c r="J22" s="163">
        <f>AVERAGE(G$3:G22)</f>
        <v>0.28630873549102248</v>
      </c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1"/>
      <c r="AL22" s="11"/>
      <c r="AM22" s="11"/>
      <c r="AN22" s="11"/>
      <c r="AO22" s="11"/>
      <c r="AP22" s="11"/>
      <c r="AQ22" s="11"/>
    </row>
    <row r="23" spans="1:60" ht="16.5" x14ac:dyDescent="0.3">
      <c r="A23" s="165">
        <v>21</v>
      </c>
      <c r="B23" s="109">
        <v>51</v>
      </c>
      <c r="C23" s="163">
        <f t="shared" si="4"/>
        <v>50.999998484608604</v>
      </c>
      <c r="D23" s="163">
        <f t="shared" si="0"/>
        <v>1.5153913963672494E-6</v>
      </c>
      <c r="E23" s="1">
        <f t="shared" si="1"/>
        <v>1.5153913963672494E-6</v>
      </c>
      <c r="F23" s="163">
        <f t="shared" si="2"/>
        <v>2.2964110841838819E-12</v>
      </c>
      <c r="G23" s="163">
        <f t="shared" si="3"/>
        <v>2.9713556791514694E-8</v>
      </c>
      <c r="H23" s="163">
        <f>AVERAGE(E$3:E23)</f>
        <v>13.06301570571193</v>
      </c>
      <c r="I23" s="163">
        <f>AVERAGE(F$3:F23)</f>
        <v>288.86624009188046</v>
      </c>
      <c r="J23" s="163">
        <f>AVERAGE(G$3:G23)</f>
        <v>0.27267498759685749</v>
      </c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1"/>
      <c r="AL23" s="11"/>
      <c r="AM23" s="11"/>
      <c r="AN23" s="11"/>
      <c r="AO23" s="11"/>
      <c r="AP23" s="11"/>
      <c r="AQ23" s="11"/>
    </row>
    <row r="24" spans="1:60" ht="16.5" x14ac:dyDescent="0.3">
      <c r="A24" s="165">
        <v>22</v>
      </c>
      <c r="B24" s="109">
        <v>40</v>
      </c>
      <c r="C24" s="163">
        <f t="shared" si="4"/>
        <v>50.999998519355671</v>
      </c>
      <c r="D24" s="163">
        <f t="shared" si="0"/>
        <v>-10.999998519355671</v>
      </c>
      <c r="E24" s="1">
        <f t="shared" si="1"/>
        <v>10.999998519355671</v>
      </c>
      <c r="F24" s="163">
        <f t="shared" si="2"/>
        <v>120.99996742582695</v>
      </c>
      <c r="G24" s="163">
        <f t="shared" si="3"/>
        <v>0.27499996298389179</v>
      </c>
      <c r="H24" s="163">
        <f>AVERAGE(E$3:E24)</f>
        <v>12.969242197241188</v>
      </c>
      <c r="I24" s="163">
        <f>AVERAGE(F$3:F24)</f>
        <v>281.23595497069624</v>
      </c>
      <c r="J24" s="163">
        <f>AVERAGE(G$3:G24)</f>
        <v>0.27278066829626813</v>
      </c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1"/>
      <c r="AL24" s="11"/>
      <c r="AM24" s="11"/>
      <c r="AN24" s="11"/>
      <c r="AO24" s="11"/>
      <c r="AP24" s="11"/>
      <c r="AQ24" s="11"/>
    </row>
    <row r="25" spans="1:60" ht="16.5" x14ac:dyDescent="0.3">
      <c r="A25" s="165">
        <v>23</v>
      </c>
      <c r="B25" s="109">
        <v>61</v>
      </c>
      <c r="C25" s="163">
        <f t="shared" si="4"/>
        <v>50.747774777270855</v>
      </c>
      <c r="D25" s="163">
        <f t="shared" si="0"/>
        <v>10.252225222729145</v>
      </c>
      <c r="E25" s="1">
        <f t="shared" si="1"/>
        <v>10.252225222729145</v>
      </c>
      <c r="F25" s="163">
        <f t="shared" si="2"/>
        <v>105.10812201756366</v>
      </c>
      <c r="G25" s="163">
        <f t="shared" si="3"/>
        <v>0.16806926594637941</v>
      </c>
      <c r="H25" s="163">
        <f>AVERAGE(E$3:E25)</f>
        <v>12.851111024436317</v>
      </c>
      <c r="I25" s="163">
        <f>AVERAGE(F$3:F25)</f>
        <v>273.57822310316874</v>
      </c>
      <c r="J25" s="163">
        <f>AVERAGE(G$3:G25)</f>
        <v>0.26822799862888169</v>
      </c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1"/>
      <c r="AL25" s="11"/>
      <c r="AM25" s="11"/>
      <c r="AN25" s="11"/>
      <c r="AO25" s="11"/>
      <c r="AP25" s="11"/>
      <c r="AQ25" s="11"/>
    </row>
    <row r="26" spans="1:60" ht="16.5" x14ac:dyDescent="0.3">
      <c r="A26" s="165">
        <v>24</v>
      </c>
      <c r="B26" s="109">
        <v>72</v>
      </c>
      <c r="C26" s="163">
        <f t="shared" si="4"/>
        <v>50.982852500765368</v>
      </c>
      <c r="D26" s="163">
        <f t="shared" si="0"/>
        <v>21.017147499234632</v>
      </c>
      <c r="E26" s="1">
        <f t="shared" si="1"/>
        <v>21.017147499234632</v>
      </c>
      <c r="F26" s="163">
        <f t="shared" si="2"/>
        <v>441.72048900458452</v>
      </c>
      <c r="G26" s="163">
        <f t="shared" si="3"/>
        <v>0.29190482637825876</v>
      </c>
      <c r="H26" s="163">
        <f>AVERAGE(E$3:E26)</f>
        <v>13.191362544219579</v>
      </c>
      <c r="I26" s="163">
        <f>AVERAGE(F$3:F26)</f>
        <v>280.58415084906102</v>
      </c>
      <c r="J26" s="163">
        <f>AVERAGE(G$3:G26)</f>
        <v>0.26921453311843907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1"/>
      <c r="AL26" s="11"/>
      <c r="AM26" s="11"/>
      <c r="AN26" s="11"/>
      <c r="AO26" s="11"/>
      <c r="AP26" s="11"/>
      <c r="AQ26" s="11"/>
    </row>
    <row r="27" spans="1:60" ht="16.5" x14ac:dyDescent="0.3">
      <c r="A27" s="165">
        <v>25</v>
      </c>
      <c r="B27" s="109">
        <v>39</v>
      </c>
      <c r="C27" s="163">
        <f t="shared" si="4"/>
        <v>51.464763801105804</v>
      </c>
      <c r="D27" s="163">
        <f t="shared" si="0"/>
        <v>-12.464763801105804</v>
      </c>
      <c r="E27" s="1">
        <f t="shared" si="1"/>
        <v>12.464763801105804</v>
      </c>
      <c r="F27" s="163">
        <f t="shared" si="2"/>
        <v>155.37033661735759</v>
      </c>
      <c r="G27" s="163">
        <f t="shared" si="3"/>
        <v>0.31960932823348215</v>
      </c>
      <c r="H27" s="163">
        <f>AVERAGE(E$3:E27)</f>
        <v>13.162298594495027</v>
      </c>
      <c r="I27" s="163">
        <f>AVERAGE(F$3:F27)</f>
        <v>275.57559827979293</v>
      </c>
      <c r="J27" s="163">
        <f>AVERAGE(G$3:G27)</f>
        <v>0.27123032492304078</v>
      </c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1"/>
      <c r="AL27" s="11"/>
      <c r="AM27" s="11"/>
      <c r="AN27" s="11"/>
      <c r="AO27" s="11"/>
      <c r="AP27" s="11"/>
      <c r="AQ27" s="11"/>
    </row>
    <row r="28" spans="1:60" ht="16.5" x14ac:dyDescent="0.3">
      <c r="A28" s="165">
        <v>26</v>
      </c>
      <c r="B28" s="109">
        <v>31</v>
      </c>
      <c r="C28" s="163">
        <f t="shared" si="4"/>
        <v>51.178953819896606</v>
      </c>
      <c r="D28" s="163">
        <f t="shared" si="0"/>
        <v>-20.178953819896606</v>
      </c>
      <c r="E28" s="1">
        <f t="shared" si="1"/>
        <v>20.178953819896606</v>
      </c>
      <c r="F28" s="163">
        <f t="shared" si="2"/>
        <v>407.19017726551982</v>
      </c>
      <c r="G28" s="163">
        <f t="shared" si="3"/>
        <v>0.65093399419021314</v>
      </c>
      <c r="H28" s="163">
        <f>AVERAGE(E$3:E28)</f>
        <v>13.432169949318165</v>
      </c>
      <c r="I28" s="163">
        <f>AVERAGE(F$3:F28)</f>
        <v>280.63769747155163</v>
      </c>
      <c r="J28" s="163">
        <f>AVERAGE(G$3:G28)</f>
        <v>0.2858343122025474</v>
      </c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1"/>
      <c r="AL28" s="11"/>
      <c r="AM28" s="11"/>
      <c r="AN28" s="11"/>
      <c r="AO28" s="11"/>
      <c r="AP28" s="11"/>
      <c r="AQ28" s="11"/>
    </row>
    <row r="29" spans="1:60" ht="16.5" x14ac:dyDescent="0.3">
      <c r="A29" s="165">
        <v>27</v>
      </c>
      <c r="B29" s="109">
        <v>62</v>
      </c>
      <c r="C29" s="163">
        <f t="shared" si="4"/>
        <v>50.716261826360842</v>
      </c>
      <c r="D29" s="163">
        <f t="shared" si="0"/>
        <v>11.283738173639158</v>
      </c>
      <c r="E29" s="1">
        <f t="shared" si="1"/>
        <v>11.283738173639158</v>
      </c>
      <c r="F29" s="163">
        <f t="shared" si="2"/>
        <v>127.32274717124156</v>
      </c>
      <c r="G29" s="163">
        <f t="shared" si="3"/>
        <v>0.18199577699417996</v>
      </c>
      <c r="H29" s="163">
        <f>AVERAGE(E$3:E29)</f>
        <v>13.352598402070795</v>
      </c>
      <c r="I29" s="163">
        <f>AVERAGE(F$3:F29)</f>
        <v>274.95936597894757</v>
      </c>
      <c r="J29" s="163">
        <f>AVERAGE(G$3:G29)</f>
        <v>0.28198844052816341</v>
      </c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1"/>
      <c r="AL29" s="11"/>
      <c r="AM29" s="11"/>
      <c r="AN29" s="11"/>
      <c r="AO29" s="11"/>
      <c r="AP29" s="11"/>
      <c r="AQ29" s="11"/>
    </row>
    <row r="30" spans="1:60" ht="16.5" x14ac:dyDescent="0.3">
      <c r="A30" s="165">
        <v>28</v>
      </c>
      <c r="B30" s="109">
        <v>48</v>
      </c>
      <c r="C30" s="163">
        <f t="shared" si="4"/>
        <v>50.974991558174239</v>
      </c>
      <c r="D30" s="163">
        <f t="shared" si="0"/>
        <v>-2.9749915581742385</v>
      </c>
      <c r="E30" s="1">
        <f t="shared" si="1"/>
        <v>2.9749915581742385</v>
      </c>
      <c r="F30" s="163">
        <f t="shared" si="2"/>
        <v>8.8505747712079845</v>
      </c>
      <c r="G30" s="163">
        <f t="shared" si="3"/>
        <v>6.1978990795296639E-2</v>
      </c>
      <c r="H30" s="163">
        <f>AVERAGE(E$3:E30)</f>
        <v>12.981969586217346</v>
      </c>
      <c r="I30" s="163">
        <f>AVERAGE(F$3:F30)</f>
        <v>265.45548057867114</v>
      </c>
      <c r="J30" s="163">
        <f>AVERAGE(G$3:G30)</f>
        <v>0.27413096018056099</v>
      </c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1"/>
      <c r="AL30" s="11"/>
      <c r="AM30" s="11"/>
      <c r="AN30" s="11"/>
      <c r="AO30" s="11"/>
      <c r="AP30" s="11"/>
      <c r="AQ30" s="11"/>
    </row>
    <row r="31" spans="1:60" ht="16.5" x14ac:dyDescent="0.3">
      <c r="A31" s="164">
        <v>29</v>
      </c>
      <c r="B31"/>
      <c r="C31" s="163">
        <f t="shared" si="4"/>
        <v>50.906776685040107</v>
      </c>
      <c r="D31" s="151"/>
      <c r="E31" s="1"/>
      <c r="F31" s="163"/>
      <c r="G31" s="163"/>
      <c r="H31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1"/>
      <c r="AL31" s="11"/>
      <c r="AM31" s="11"/>
      <c r="AN31" s="11"/>
      <c r="AO31" s="11"/>
      <c r="AP31" s="11"/>
      <c r="AQ31" s="11"/>
      <c r="BD31"/>
      <c r="BE31"/>
      <c r="BF31"/>
      <c r="BG31"/>
      <c r="BH31"/>
    </row>
    <row r="32" spans="1:60" x14ac:dyDescent="0.25">
      <c r="A32"/>
      <c r="B32"/>
      <c r="C32" s="11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1"/>
      <c r="AL32" s="11"/>
      <c r="AM32" s="11"/>
      <c r="AN32" s="11"/>
      <c r="AO32" s="11"/>
      <c r="AP32" s="11"/>
      <c r="AQ32" s="11"/>
      <c r="BD32"/>
      <c r="BE32"/>
      <c r="BF32"/>
      <c r="BG32"/>
      <c r="BH32"/>
    </row>
    <row r="33" spans="1:60" x14ac:dyDescent="0.25">
      <c r="A33"/>
      <c r="B33"/>
      <c r="C33" s="1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1"/>
      <c r="AL33" s="11"/>
      <c r="AM33" s="11"/>
      <c r="AN33" s="11"/>
      <c r="AO33" s="11"/>
      <c r="AP33" s="11"/>
      <c r="AQ33" s="11"/>
      <c r="BD33"/>
      <c r="BE33"/>
      <c r="BF33"/>
      <c r="BG33"/>
      <c r="BH33"/>
    </row>
    <row r="34" spans="1:60" x14ac:dyDescent="0.25">
      <c r="A34"/>
      <c r="B34"/>
      <c r="C34" s="11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1"/>
      <c r="AL34" s="11"/>
      <c r="AM34" s="11"/>
      <c r="AN34" s="11"/>
      <c r="AO34" s="11"/>
      <c r="AP34" s="11"/>
      <c r="AQ34" s="11"/>
      <c r="BD34"/>
      <c r="BE34"/>
      <c r="BF34"/>
      <c r="BG34"/>
      <c r="BH34"/>
    </row>
    <row r="35" spans="1:60" x14ac:dyDescent="0.25">
      <c r="A35"/>
      <c r="B35"/>
      <c r="C35" s="11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1"/>
      <c r="AL35" s="11"/>
      <c r="AM35" s="11"/>
      <c r="AN35" s="11"/>
      <c r="AO35" s="11"/>
      <c r="AP35" s="11"/>
      <c r="AQ35" s="11"/>
      <c r="BD35"/>
      <c r="BE35"/>
      <c r="BF35"/>
      <c r="BG35"/>
      <c r="BH35"/>
    </row>
    <row r="36" spans="1:60" x14ac:dyDescent="0.25">
      <c r="A36"/>
      <c r="B36"/>
      <c r="C36" s="1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1"/>
      <c r="AL36" s="11"/>
      <c r="AM36" s="11"/>
      <c r="AN36" s="11"/>
      <c r="AO36" s="11"/>
      <c r="AP36" s="11"/>
      <c r="AQ36" s="11"/>
      <c r="BD36"/>
      <c r="BE36"/>
      <c r="BF36"/>
      <c r="BG36"/>
      <c r="BH36"/>
    </row>
    <row r="37" spans="1:60" x14ac:dyDescent="0.25">
      <c r="A37"/>
      <c r="B37"/>
      <c r="C37" s="11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1"/>
      <c r="AL37" s="11"/>
      <c r="AM37" s="11"/>
      <c r="AN37" s="11"/>
      <c r="AO37" s="11"/>
      <c r="AP37" s="11"/>
      <c r="AQ37" s="11"/>
      <c r="BD37"/>
      <c r="BE37"/>
      <c r="BF37"/>
      <c r="BG37"/>
      <c r="BH37"/>
    </row>
    <row r="38" spans="1:60" x14ac:dyDescent="0.25">
      <c r="A38"/>
      <c r="B38"/>
      <c r="C38" s="1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1"/>
      <c r="AL38" s="11"/>
      <c r="AM38" s="11"/>
      <c r="AN38" s="11"/>
      <c r="AO38" s="11"/>
      <c r="AP38" s="11"/>
      <c r="AQ38" s="11"/>
      <c r="BD38"/>
      <c r="BE38"/>
      <c r="BF38"/>
      <c r="BG38"/>
      <c r="BH38"/>
    </row>
    <row r="39" spans="1:60" x14ac:dyDescent="0.25">
      <c r="A39"/>
      <c r="B39"/>
      <c r="C39" s="11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1"/>
      <c r="AL39" s="11"/>
      <c r="AM39" s="11"/>
      <c r="AN39" s="11"/>
      <c r="AO39" s="11"/>
      <c r="AP39" s="11"/>
      <c r="AQ39" s="11"/>
      <c r="BD39"/>
      <c r="BE39"/>
      <c r="BF39"/>
      <c r="BG39"/>
      <c r="BH39"/>
    </row>
    <row r="40" spans="1:60" x14ac:dyDescent="0.25">
      <c r="A40"/>
      <c r="B40"/>
      <c r="C40" s="1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1"/>
      <c r="AL40" s="11"/>
      <c r="AM40" s="11"/>
      <c r="AN40" s="11"/>
      <c r="AO40" s="11"/>
      <c r="AP40" s="11"/>
      <c r="AQ40" s="11"/>
      <c r="BD40"/>
      <c r="BE40"/>
      <c r="BF40"/>
      <c r="BG40"/>
      <c r="BH40"/>
    </row>
    <row r="41" spans="1:60" x14ac:dyDescent="0.25">
      <c r="A41"/>
      <c r="B41"/>
      <c r="C41" s="1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1"/>
      <c r="AL41" s="11"/>
      <c r="AM41" s="11"/>
      <c r="AN41" s="11"/>
      <c r="AO41" s="11"/>
      <c r="AP41" s="11"/>
      <c r="AQ41" s="11"/>
      <c r="BD41"/>
      <c r="BE41"/>
      <c r="BF41"/>
      <c r="BG41"/>
      <c r="BH41"/>
    </row>
    <row r="42" spans="1:60" x14ac:dyDescent="0.25">
      <c r="A42"/>
      <c r="B42"/>
      <c r="C42" s="1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1"/>
      <c r="AL42" s="11"/>
      <c r="AM42" s="11"/>
      <c r="AN42" s="11"/>
      <c r="AO42" s="11"/>
      <c r="AP42" s="11"/>
      <c r="AQ42" s="11"/>
      <c r="BD42"/>
      <c r="BE42"/>
      <c r="BF42"/>
      <c r="BG42"/>
      <c r="BH42"/>
    </row>
    <row r="43" spans="1:60" x14ac:dyDescent="0.25">
      <c r="A43"/>
      <c r="B43"/>
      <c r="C43" s="1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1"/>
      <c r="AL43" s="11"/>
      <c r="AM43" s="11"/>
      <c r="AN43" s="11"/>
      <c r="AO43" s="11"/>
      <c r="AP43" s="11"/>
      <c r="AQ43" s="11"/>
      <c r="BD43"/>
      <c r="BE43"/>
      <c r="BF43"/>
      <c r="BG43"/>
      <c r="BH43"/>
    </row>
    <row r="44" spans="1:60" x14ac:dyDescent="0.25">
      <c r="A44"/>
      <c r="B44"/>
      <c r="C44" s="1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1"/>
      <c r="AL44" s="11"/>
      <c r="AM44" s="11"/>
      <c r="AN44" s="11"/>
      <c r="AO44" s="11"/>
      <c r="AP44" s="11"/>
      <c r="AQ44" s="11"/>
      <c r="BD44"/>
      <c r="BE44"/>
      <c r="BF44"/>
      <c r="BG44"/>
      <c r="BH44"/>
    </row>
    <row r="45" spans="1:60" x14ac:dyDescent="0.25">
      <c r="A45"/>
      <c r="B45"/>
      <c r="C45" s="1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1"/>
      <c r="AL45" s="11"/>
      <c r="AM45" s="11"/>
      <c r="AN45" s="11"/>
      <c r="AO45" s="11"/>
      <c r="AP45" s="11"/>
      <c r="AQ45" s="11"/>
      <c r="BD45"/>
      <c r="BE45"/>
      <c r="BF45"/>
      <c r="BG45"/>
      <c r="BH45"/>
    </row>
    <row r="46" spans="1:60" x14ac:dyDescent="0.25">
      <c r="A46"/>
      <c r="B46"/>
      <c r="C46" s="1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1"/>
      <c r="AL46" s="11"/>
      <c r="AM46" s="11"/>
      <c r="AN46" s="11"/>
      <c r="AO46" s="11"/>
      <c r="AP46" s="11"/>
      <c r="AQ46" s="11"/>
      <c r="BD46"/>
      <c r="BE46"/>
      <c r="BF46"/>
      <c r="BG46"/>
      <c r="BH46"/>
    </row>
    <row r="47" spans="1:60" x14ac:dyDescent="0.25">
      <c r="A47"/>
      <c r="B47"/>
      <c r="C47" s="1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1"/>
      <c r="AL47" s="11"/>
      <c r="AM47" s="11"/>
      <c r="AN47" s="11"/>
      <c r="AO47" s="11"/>
      <c r="AP47" s="11"/>
      <c r="AQ47" s="11"/>
      <c r="BD47"/>
      <c r="BE47"/>
      <c r="BF47"/>
      <c r="BG47"/>
      <c r="BH47"/>
    </row>
    <row r="48" spans="1:60" x14ac:dyDescent="0.25">
      <c r="A48"/>
      <c r="B48"/>
      <c r="C48" s="11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1"/>
      <c r="AL48" s="11"/>
      <c r="AM48" s="11"/>
      <c r="AN48" s="11"/>
      <c r="AO48" s="11"/>
      <c r="AP48" s="11"/>
      <c r="AQ48" s="11"/>
      <c r="BD48"/>
      <c r="BE48"/>
      <c r="BF48"/>
      <c r="BG48"/>
      <c r="BH48"/>
    </row>
    <row r="49" spans="1:60" x14ac:dyDescent="0.25">
      <c r="A49"/>
      <c r="B49"/>
      <c r="C49" s="11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1"/>
      <c r="AL49" s="11"/>
      <c r="AM49" s="11"/>
      <c r="AN49" s="11"/>
      <c r="AO49" s="11"/>
      <c r="AP49" s="11"/>
      <c r="AQ49" s="11"/>
      <c r="BD49"/>
      <c r="BE49"/>
      <c r="BF49"/>
      <c r="BG49"/>
      <c r="BH49"/>
    </row>
    <row r="50" spans="1:60" x14ac:dyDescent="0.25">
      <c r="A50"/>
      <c r="B50"/>
      <c r="C50" s="11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1"/>
      <c r="AL50" s="11"/>
      <c r="AM50" s="11"/>
      <c r="AN50" s="11"/>
      <c r="AO50" s="11"/>
      <c r="AP50" s="11"/>
      <c r="AQ50" s="11"/>
      <c r="BD50"/>
      <c r="BE50"/>
      <c r="BF50"/>
      <c r="BG50"/>
      <c r="BH50"/>
    </row>
    <row r="51" spans="1:60" x14ac:dyDescent="0.25">
      <c r="A51"/>
      <c r="B51"/>
      <c r="C51" s="11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1"/>
      <c r="AL51" s="11"/>
      <c r="AM51" s="11"/>
      <c r="AN51" s="11"/>
      <c r="AO51" s="11"/>
      <c r="AP51" s="11"/>
      <c r="AQ51" s="11"/>
      <c r="BD51"/>
      <c r="BE51"/>
      <c r="BF51"/>
      <c r="BG51"/>
      <c r="BH51"/>
    </row>
    <row r="52" spans="1:60" x14ac:dyDescent="0.25">
      <c r="A52"/>
      <c r="B52"/>
      <c r="C52" s="11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1"/>
      <c r="AL52" s="11"/>
      <c r="AM52" s="11"/>
      <c r="AN52" s="11"/>
      <c r="AO52" s="11"/>
      <c r="AP52" s="11"/>
      <c r="AQ52" s="11"/>
      <c r="BD52"/>
      <c r="BE52"/>
      <c r="BF52"/>
      <c r="BG52"/>
      <c r="BH52"/>
    </row>
    <row r="53" spans="1:60" x14ac:dyDescent="0.25">
      <c r="A53"/>
      <c r="B53"/>
      <c r="C53" s="11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1"/>
      <c r="AL53" s="11"/>
      <c r="AM53" s="11"/>
      <c r="AN53" s="11"/>
      <c r="AO53" s="11"/>
      <c r="AP53" s="11"/>
      <c r="AQ53" s="11"/>
      <c r="BD53"/>
      <c r="BE53"/>
      <c r="BF53"/>
      <c r="BG53"/>
      <c r="BH53"/>
    </row>
    <row r="54" spans="1:60" x14ac:dyDescent="0.25">
      <c r="A54"/>
      <c r="B54"/>
      <c r="C54" s="11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1"/>
      <c r="AL54" s="11"/>
      <c r="AM54" s="11"/>
      <c r="AN54" s="11"/>
      <c r="AO54" s="11"/>
      <c r="AP54" s="11"/>
      <c r="AQ54" s="11"/>
      <c r="BD54"/>
      <c r="BE54"/>
      <c r="BF54"/>
      <c r="BG54"/>
      <c r="BH54"/>
    </row>
    <row r="55" spans="1:60" x14ac:dyDescent="0.25">
      <c r="A55"/>
      <c r="B55"/>
      <c r="C55" s="11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1"/>
      <c r="AL55" s="11"/>
      <c r="AM55" s="11"/>
      <c r="AN55" s="11"/>
      <c r="AO55" s="11"/>
      <c r="AP55" s="11"/>
      <c r="AQ55" s="11"/>
      <c r="BD55"/>
      <c r="BE55"/>
      <c r="BF55"/>
      <c r="BG55"/>
      <c r="BH55"/>
    </row>
    <row r="56" spans="1:60" x14ac:dyDescent="0.25">
      <c r="A56"/>
      <c r="B56"/>
      <c r="C56" s="11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1"/>
      <c r="AL56" s="11"/>
      <c r="AM56" s="11"/>
      <c r="AN56" s="11"/>
      <c r="AO56" s="11"/>
      <c r="AP56" s="11"/>
      <c r="AQ56" s="11"/>
      <c r="BD56"/>
      <c r="BE56"/>
      <c r="BF56"/>
      <c r="BG56"/>
      <c r="BH56"/>
    </row>
    <row r="57" spans="1:60" x14ac:dyDescent="0.25">
      <c r="A57"/>
      <c r="B57"/>
      <c r="C57" s="11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1"/>
      <c r="AL57" s="11"/>
      <c r="AM57" s="11"/>
      <c r="AN57" s="11"/>
      <c r="AO57" s="11"/>
      <c r="AP57" s="11"/>
      <c r="AQ57" s="11"/>
      <c r="BD57"/>
      <c r="BE57"/>
      <c r="BF57"/>
      <c r="BG57"/>
      <c r="BH57"/>
    </row>
    <row r="58" spans="1:60" x14ac:dyDescent="0.25">
      <c r="A58"/>
      <c r="B58"/>
      <c r="C58" s="11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1"/>
      <c r="AL58" s="11"/>
      <c r="AM58" s="11"/>
      <c r="AN58" s="11"/>
      <c r="AO58" s="11"/>
      <c r="AP58" s="11"/>
      <c r="AQ58" s="11"/>
      <c r="BD58"/>
      <c r="BE58"/>
      <c r="BF58"/>
      <c r="BG58"/>
      <c r="BH58"/>
    </row>
    <row r="59" spans="1:60" x14ac:dyDescent="0.25">
      <c r="A59"/>
      <c r="B59"/>
      <c r="C59" s="11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1"/>
      <c r="AL59" s="11"/>
      <c r="AM59" s="11"/>
      <c r="AN59" s="11"/>
      <c r="AO59" s="11"/>
      <c r="AP59" s="11"/>
      <c r="AQ59" s="11"/>
      <c r="BD59"/>
      <c r="BE59"/>
      <c r="BF59"/>
      <c r="BG59"/>
      <c r="BH59"/>
    </row>
    <row r="60" spans="1:60" x14ac:dyDescent="0.25">
      <c r="A60"/>
      <c r="B60"/>
      <c r="C60" s="1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1"/>
      <c r="AL60" s="11"/>
      <c r="AM60" s="11"/>
      <c r="AN60" s="11"/>
      <c r="AO60" s="11"/>
      <c r="AP60" s="11"/>
      <c r="AQ60" s="11"/>
      <c r="BD60"/>
      <c r="BE60"/>
      <c r="BF60"/>
      <c r="BG60"/>
      <c r="BH60"/>
    </row>
    <row r="61" spans="1:60" x14ac:dyDescent="0.25">
      <c r="A61"/>
      <c r="B61"/>
      <c r="C61" s="11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1"/>
      <c r="AL61" s="11"/>
      <c r="AM61" s="11"/>
      <c r="AN61" s="11"/>
      <c r="AO61" s="11"/>
      <c r="AP61" s="11"/>
      <c r="AQ61" s="11"/>
      <c r="BD61"/>
      <c r="BE61"/>
      <c r="BF61"/>
      <c r="BG61"/>
      <c r="BH61"/>
    </row>
    <row r="62" spans="1:60" x14ac:dyDescent="0.25">
      <c r="A62"/>
      <c r="B62"/>
      <c r="C62" s="11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1"/>
      <c r="AL62" s="11"/>
      <c r="AM62" s="11"/>
      <c r="AN62" s="11"/>
      <c r="AO62" s="11"/>
      <c r="AP62" s="11"/>
      <c r="AQ62" s="11"/>
      <c r="BD62"/>
      <c r="BE62"/>
      <c r="BF62"/>
      <c r="BG62"/>
      <c r="BH62"/>
    </row>
    <row r="63" spans="1:60" x14ac:dyDescent="0.25">
      <c r="A63"/>
      <c r="B63"/>
      <c r="C63" s="11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1"/>
      <c r="AL63" s="11"/>
      <c r="AM63" s="11"/>
      <c r="AN63" s="11"/>
      <c r="AO63" s="11"/>
      <c r="AP63" s="11"/>
      <c r="AQ63" s="11"/>
      <c r="BD63"/>
      <c r="BE63"/>
      <c r="BF63"/>
      <c r="BG63"/>
      <c r="BH63"/>
    </row>
    <row r="64" spans="1:60" x14ac:dyDescent="0.25">
      <c r="A64"/>
      <c r="B64"/>
      <c r="C64" s="1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1"/>
      <c r="AL64" s="11"/>
      <c r="AM64" s="11"/>
      <c r="AN64" s="11"/>
      <c r="AO64" s="11"/>
      <c r="AP64" s="11"/>
      <c r="AQ64" s="11"/>
      <c r="BD64"/>
      <c r="BE64"/>
      <c r="BF64"/>
      <c r="BG64"/>
      <c r="BH64"/>
    </row>
    <row r="65" spans="1:60" x14ac:dyDescent="0.25">
      <c r="A65"/>
      <c r="B65"/>
      <c r="C65" s="11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1"/>
      <c r="AL65" s="11"/>
      <c r="AM65" s="11"/>
      <c r="AN65" s="11"/>
      <c r="AO65" s="11"/>
      <c r="AP65" s="11"/>
      <c r="AQ65" s="11"/>
      <c r="BD65"/>
      <c r="BE65"/>
      <c r="BF65"/>
      <c r="BG65"/>
      <c r="BH65"/>
    </row>
    <row r="66" spans="1:60" x14ac:dyDescent="0.25">
      <c r="A66"/>
      <c r="B66"/>
      <c r="C66" s="11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1"/>
      <c r="AL66" s="11"/>
      <c r="AM66" s="11"/>
      <c r="AN66" s="11"/>
      <c r="AO66" s="11"/>
      <c r="AP66" s="11"/>
      <c r="AQ66" s="11"/>
      <c r="BD66"/>
      <c r="BE66"/>
      <c r="BF66"/>
      <c r="BG66"/>
      <c r="BH66"/>
    </row>
    <row r="67" spans="1:60" x14ac:dyDescent="0.25">
      <c r="A67"/>
      <c r="B67"/>
      <c r="C67" s="11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1"/>
      <c r="AL67" s="11"/>
      <c r="AM67" s="11"/>
      <c r="AN67" s="11"/>
      <c r="AO67" s="11"/>
      <c r="AP67" s="11"/>
      <c r="AQ67" s="11"/>
      <c r="BD67"/>
      <c r="BE67"/>
      <c r="BF67"/>
      <c r="BG67"/>
      <c r="BH67"/>
    </row>
    <row r="68" spans="1:60" x14ac:dyDescent="0.25">
      <c r="A68"/>
      <c r="B68"/>
      <c r="C68" s="1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1"/>
      <c r="AL68" s="11"/>
      <c r="AM68" s="11"/>
      <c r="AN68" s="11"/>
      <c r="AO68" s="11"/>
      <c r="AP68" s="11"/>
      <c r="AQ68" s="11"/>
      <c r="BD68"/>
      <c r="BE68"/>
      <c r="BF68"/>
      <c r="BG68"/>
      <c r="BH68"/>
    </row>
    <row r="69" spans="1:60" x14ac:dyDescent="0.25">
      <c r="A69"/>
      <c r="B69"/>
      <c r="C69" s="11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1"/>
      <c r="AL69" s="11"/>
      <c r="AM69" s="11"/>
      <c r="AN69" s="11"/>
      <c r="AO69" s="11"/>
      <c r="AP69" s="11"/>
      <c r="AQ69" s="11"/>
      <c r="BD69"/>
      <c r="BE69"/>
      <c r="BF69"/>
      <c r="BG69"/>
      <c r="BH69"/>
    </row>
    <row r="70" spans="1:60" x14ac:dyDescent="0.25">
      <c r="A70"/>
      <c r="B70"/>
      <c r="C70" s="11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1"/>
      <c r="AL70" s="11"/>
      <c r="AM70" s="11"/>
      <c r="AN70" s="11"/>
      <c r="AO70" s="11"/>
      <c r="AP70" s="11"/>
      <c r="AQ70" s="11"/>
      <c r="BD70"/>
      <c r="BE70"/>
      <c r="BF70"/>
      <c r="BG70"/>
      <c r="BH70"/>
    </row>
    <row r="71" spans="1:60" x14ac:dyDescent="0.25">
      <c r="A71"/>
      <c r="B71"/>
      <c r="C71" s="11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1"/>
      <c r="AL71" s="11"/>
      <c r="AM71" s="11"/>
      <c r="AN71" s="11"/>
      <c r="AO71" s="11"/>
      <c r="AP71" s="11"/>
      <c r="AQ71" s="11"/>
      <c r="BD71"/>
      <c r="BE71"/>
      <c r="BF71"/>
      <c r="BG71"/>
      <c r="BH71"/>
    </row>
    <row r="72" spans="1:60" x14ac:dyDescent="0.25">
      <c r="A72"/>
      <c r="B72"/>
      <c r="C72" s="11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1"/>
      <c r="AL72" s="11"/>
      <c r="AM72" s="11"/>
      <c r="AN72" s="11"/>
      <c r="AO72" s="11"/>
      <c r="AP72" s="11"/>
      <c r="AQ72" s="11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BD78"/>
      <c r="BE78"/>
      <c r="BF78"/>
      <c r="BG78"/>
      <c r="BH78"/>
    </row>
    <row r="79" spans="1:60" ht="16.5" x14ac:dyDescent="0.3">
      <c r="A79"/>
      <c r="B79"/>
      <c r="C79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BD79"/>
      <c r="BE79"/>
      <c r="BF79"/>
      <c r="BG79"/>
      <c r="BH79"/>
    </row>
    <row r="80" spans="1:60" ht="16.5" x14ac:dyDescent="0.3">
      <c r="A80"/>
      <c r="B80"/>
      <c r="C80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BD80"/>
      <c r="BE80"/>
      <c r="BF80"/>
      <c r="BG80"/>
      <c r="BH80"/>
    </row>
    <row r="81" spans="1:60" ht="16.5" x14ac:dyDescent="0.3">
      <c r="A81"/>
      <c r="B81"/>
      <c r="C81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BD81"/>
      <c r="BE81"/>
      <c r="BF81"/>
      <c r="BG81"/>
      <c r="BH81"/>
    </row>
    <row r="82" spans="1:60" ht="16.5" x14ac:dyDescent="0.3">
      <c r="A82"/>
      <c r="B82"/>
      <c r="C82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BD82"/>
      <c r="BE82"/>
      <c r="BF82"/>
      <c r="BG82"/>
      <c r="BH82"/>
    </row>
    <row r="83" spans="1:60" ht="16.5" x14ac:dyDescent="0.3">
      <c r="A83"/>
      <c r="B83"/>
      <c r="C83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BD83"/>
      <c r="BE83"/>
      <c r="BF83"/>
      <c r="BG83"/>
      <c r="BH83"/>
    </row>
    <row r="84" spans="1:60" ht="16.5" x14ac:dyDescent="0.3">
      <c r="A84"/>
      <c r="B84"/>
      <c r="C84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BD84"/>
      <c r="BE84"/>
      <c r="BF84"/>
      <c r="BG84"/>
      <c r="BH84"/>
    </row>
    <row r="85" spans="1:60" ht="16.5" x14ac:dyDescent="0.3">
      <c r="A85"/>
      <c r="B85"/>
      <c r="C8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BD85"/>
      <c r="BE85"/>
      <c r="BF85"/>
      <c r="BG85"/>
      <c r="BH85"/>
    </row>
    <row r="86" spans="1:60" ht="16.5" x14ac:dyDescent="0.3">
      <c r="A86"/>
      <c r="B86"/>
      <c r="C86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BD86"/>
      <c r="BE86"/>
      <c r="BF86"/>
      <c r="BG86"/>
      <c r="BH86"/>
    </row>
    <row r="87" spans="1:60" ht="16.5" x14ac:dyDescent="0.3">
      <c r="A87"/>
      <c r="B87"/>
      <c r="C87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60" ht="16.5" x14ac:dyDescent="0.3">
      <c r="A88"/>
      <c r="B88"/>
      <c r="C88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60" ht="16.5" x14ac:dyDescent="0.3">
      <c r="A89"/>
      <c r="B89"/>
      <c r="C89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9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dimension ref="A1:BH299"/>
  <sheetViews>
    <sheetView zoomScale="96" zoomScaleNormal="96" workbookViewId="0">
      <selection activeCell="D33" sqref="D33"/>
    </sheetView>
  </sheetViews>
  <sheetFormatPr defaultColWidth="9.140625" defaultRowHeight="15" x14ac:dyDescent="0.25"/>
  <cols>
    <col min="1" max="1" width="4.5703125" style="94" bestFit="1" customWidth="1"/>
    <col min="2" max="2" width="9.7109375" style="94" bestFit="1" customWidth="1"/>
    <col min="3" max="3" width="13" style="94" customWidth="1"/>
    <col min="4" max="4" width="8.7109375" style="94" customWidth="1"/>
    <col min="5" max="5" width="13.140625" style="94" customWidth="1"/>
    <col min="6" max="6" width="9.7109375" style="94" customWidth="1"/>
    <col min="7" max="7" width="10.7109375" style="94" customWidth="1"/>
    <col min="8" max="8" width="7.28515625" style="94" customWidth="1"/>
    <col min="9" max="9" width="8.7109375" style="94" bestFit="1" customWidth="1"/>
    <col min="10" max="10" width="9.140625" style="94"/>
    <col min="11" max="11" width="12.140625" style="94" bestFit="1" customWidth="1"/>
    <col min="12" max="12" width="13.85546875" style="94" bestFit="1" customWidth="1"/>
    <col min="13" max="13" width="12.42578125" style="94" bestFit="1" customWidth="1"/>
    <col min="14" max="14" width="12.140625" style="94" bestFit="1" customWidth="1"/>
    <col min="15" max="18" width="9.28515625" style="94" bestFit="1" customWidth="1"/>
    <col min="19" max="20" width="9.140625" style="94"/>
    <col min="21" max="21" width="9.28515625" style="94" bestFit="1" customWidth="1"/>
    <col min="22" max="32" width="9.140625" style="94"/>
    <col min="33" max="33" width="9.140625" style="94" customWidth="1"/>
    <col min="34" max="36" width="9.140625" style="94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94"/>
  </cols>
  <sheetData>
    <row r="1" spans="1:43" customFormat="1" ht="15.75" thickBot="1" x14ac:dyDescent="0.3">
      <c r="J1" t="s">
        <v>134</v>
      </c>
      <c r="K1" s="162">
        <v>1</v>
      </c>
      <c r="L1" t="s">
        <v>135</v>
      </c>
      <c r="M1">
        <v>0</v>
      </c>
    </row>
    <row r="2" spans="1:43" ht="17.25" thickBot="1" x14ac:dyDescent="0.35">
      <c r="A2" s="98" t="s">
        <v>4</v>
      </c>
      <c r="B2" s="100" t="s">
        <v>19</v>
      </c>
      <c r="C2" s="1" t="s">
        <v>127</v>
      </c>
      <c r="D2" s="1" t="s">
        <v>128</v>
      </c>
      <c r="E2" s="1" t="s">
        <v>129</v>
      </c>
      <c r="F2" s="1" t="s">
        <v>130</v>
      </c>
      <c r="G2" s="1" t="s">
        <v>131</v>
      </c>
      <c r="H2" s="1" t="s">
        <v>1</v>
      </c>
      <c r="I2" s="1" t="s">
        <v>132</v>
      </c>
      <c r="J2" s="1" t="s">
        <v>133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65">
        <v>1</v>
      </c>
      <c r="B3" s="110">
        <v>25</v>
      </c>
      <c r="C3" s="1">
        <f>B3</f>
        <v>25</v>
      </c>
      <c r="D3" s="163">
        <f>B3-C3</f>
        <v>0</v>
      </c>
      <c r="E3" s="1">
        <f>ABS(D3)</f>
        <v>0</v>
      </c>
      <c r="F3" s="163">
        <f>D3^2</f>
        <v>0</v>
      </c>
      <c r="G3" s="163">
        <f>E3/B3</f>
        <v>0</v>
      </c>
      <c r="H3" s="163">
        <f>AVERAGE(E$3:E3)</f>
        <v>0</v>
      </c>
      <c r="I3" s="163">
        <f>AVERAGE(F$3:F3)</f>
        <v>0</v>
      </c>
      <c r="J3" s="163">
        <f>AVERAGE(G$3:G3)</f>
        <v>0</v>
      </c>
      <c r="K3"/>
      <c r="L3"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65">
        <v>2</v>
      </c>
      <c r="B4" s="110">
        <v>28</v>
      </c>
      <c r="C4" s="163">
        <f>(1-$K$1)*C3+$K$1*B3+$M$1</f>
        <v>25</v>
      </c>
      <c r="D4" s="163">
        <f t="shared" ref="D4:D30" si="0">B4-C4</f>
        <v>3</v>
      </c>
      <c r="E4" s="1">
        <f>ABS(D4)</f>
        <v>3</v>
      </c>
      <c r="F4" s="163">
        <f>D4^2</f>
        <v>9</v>
      </c>
      <c r="G4" s="163">
        <f>E4/B4</f>
        <v>0.10714285714285714</v>
      </c>
      <c r="H4" s="163">
        <f>AVERAGE(E$3:E4)</f>
        <v>1.5</v>
      </c>
      <c r="I4" s="163">
        <f>AVERAGE(F$3:F4)</f>
        <v>4.5</v>
      </c>
      <c r="J4" s="163">
        <f>AVERAGE(G$3:G4)</f>
        <v>5.3571428571428568E-2</v>
      </c>
      <c r="K4"/>
      <c r="L4">
        <v>0.1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165">
        <v>3</v>
      </c>
      <c r="B5" s="110">
        <v>31</v>
      </c>
      <c r="C5" s="163">
        <f>(1-$K$1)*C4+$K$1*B4+$M$1</f>
        <v>28</v>
      </c>
      <c r="D5" s="163">
        <f t="shared" si="0"/>
        <v>3</v>
      </c>
      <c r="E5" s="1">
        <f>ABS(D5)</f>
        <v>3</v>
      </c>
      <c r="F5" s="163">
        <f>D5^2</f>
        <v>9</v>
      </c>
      <c r="G5" s="163">
        <f>E5/B5</f>
        <v>9.6774193548387094E-2</v>
      </c>
      <c r="H5" s="163">
        <f>AVERAGE(E$3:E5)</f>
        <v>2</v>
      </c>
      <c r="I5" s="163">
        <f>AVERAGE(F$3:F5)</f>
        <v>6</v>
      </c>
      <c r="J5" s="163">
        <f>AVERAGE(G$3:G5)</f>
        <v>6.7972350230414744E-2</v>
      </c>
      <c r="K5"/>
      <c r="L5"/>
      <c r="M5" s="162">
        <f>J30</f>
        <v>4.4106457678324593E-2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65">
        <v>4</v>
      </c>
      <c r="B6" s="110">
        <v>33</v>
      </c>
      <c r="C6" s="163">
        <f>(1-$K$1)*C5+$K$1*B5+$M$1</f>
        <v>31</v>
      </c>
      <c r="D6" s="163">
        <f t="shared" si="0"/>
        <v>2</v>
      </c>
      <c r="E6" s="1">
        <f>ABS(D6)</f>
        <v>2</v>
      </c>
      <c r="F6" s="163">
        <f>D6^2</f>
        <v>4</v>
      </c>
      <c r="G6" s="163">
        <f>E6/B6</f>
        <v>6.0606060606060608E-2</v>
      </c>
      <c r="H6" s="163">
        <f>AVERAGE(E$3:E6)</f>
        <v>2</v>
      </c>
      <c r="I6" s="163">
        <f>AVERAGE(F$3:F6)</f>
        <v>5.5</v>
      </c>
      <c r="J6" s="163">
        <f>AVERAGE(G$3:G6)</f>
        <v>6.6130777824326206E-2</v>
      </c>
      <c r="K6"/>
      <c r="L6">
        <f>L3</f>
        <v>0</v>
      </c>
      <c r="M6">
        <f t="dataTable" ref="M6:M16" dt2D="0" dtr="0" r1="K1"/>
        <v>0.46227237333735033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65">
        <v>5</v>
      </c>
      <c r="B7" s="110">
        <v>35</v>
      </c>
      <c r="C7" s="163">
        <f>(1-$K$1)*C6+$K$1*B6+$M$1</f>
        <v>33</v>
      </c>
      <c r="D7" s="163">
        <f t="shared" si="0"/>
        <v>2</v>
      </c>
      <c r="E7" s="1">
        <f>ABS(D7)</f>
        <v>2</v>
      </c>
      <c r="F7" s="163">
        <f>D7^2</f>
        <v>4</v>
      </c>
      <c r="G7" s="163">
        <f>E7/B7</f>
        <v>5.7142857142857141E-2</v>
      </c>
      <c r="H7" s="163">
        <f>AVERAGE(E$3:E7)</f>
        <v>2</v>
      </c>
      <c r="I7" s="163">
        <f>AVERAGE(F$3:F7)</f>
        <v>5.2</v>
      </c>
      <c r="J7" s="163">
        <f>AVERAGE(G$3:G7)</f>
        <v>6.4333193688032392E-2</v>
      </c>
      <c r="K7"/>
      <c r="L7">
        <f>L6+L$4</f>
        <v>0.1</v>
      </c>
      <c r="M7">
        <v>0.24338090157177442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65">
        <v>6</v>
      </c>
      <c r="B8" s="110">
        <v>39</v>
      </c>
      <c r="C8" s="163">
        <f>(1-$K$1)*C7+$K$1*B7+$M$1</f>
        <v>35</v>
      </c>
      <c r="D8" s="163">
        <f t="shared" si="0"/>
        <v>4</v>
      </c>
      <c r="E8" s="1">
        <f>ABS(D8)</f>
        <v>4</v>
      </c>
      <c r="F8" s="163">
        <f>D8^2</f>
        <v>16</v>
      </c>
      <c r="G8" s="163">
        <f>E8/B8</f>
        <v>0.10256410256410256</v>
      </c>
      <c r="H8" s="163">
        <f>AVERAGE(E$3:E8)</f>
        <v>2.3333333333333335</v>
      </c>
      <c r="I8" s="163">
        <f>AVERAGE(F$3:F8)</f>
        <v>7</v>
      </c>
      <c r="J8" s="163">
        <f>AVERAGE(G$3:G8)</f>
        <v>7.0705011834044096E-2</v>
      </c>
      <c r="K8"/>
      <c r="L8">
        <f t="shared" ref="L8:L17" si="1">L7+L$4</f>
        <v>0.2</v>
      </c>
      <c r="M8">
        <v>0.16013913125619425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65">
        <v>7</v>
      </c>
      <c r="B9" s="110">
        <v>39</v>
      </c>
      <c r="C9" s="163">
        <f>(1-$K$1)*C8+$K$1*B8+$M$1</f>
        <v>39</v>
      </c>
      <c r="D9" s="163">
        <f t="shared" si="0"/>
        <v>0</v>
      </c>
      <c r="E9" s="1">
        <f>ABS(D9)</f>
        <v>0</v>
      </c>
      <c r="F9" s="163">
        <f>D9^2</f>
        <v>0</v>
      </c>
      <c r="G9" s="163">
        <f>E9/B9</f>
        <v>0</v>
      </c>
      <c r="H9" s="163">
        <f>AVERAGE(E$3:E9)</f>
        <v>2</v>
      </c>
      <c r="I9" s="163">
        <f>AVERAGE(F$3:F9)</f>
        <v>6</v>
      </c>
      <c r="J9" s="163">
        <f>AVERAGE(G$3:G9)</f>
        <v>6.060429585775208E-2</v>
      </c>
      <c r="K9"/>
      <c r="L9">
        <f t="shared" si="1"/>
        <v>0.30000000000000004</v>
      </c>
      <c r="M9">
        <v>0.11920550519076048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65">
        <v>8</v>
      </c>
      <c r="B10" s="110">
        <v>40</v>
      </c>
      <c r="C10" s="163">
        <f>(1-$K$1)*C9+$K$1*B9+$M$1</f>
        <v>39</v>
      </c>
      <c r="D10" s="163">
        <f t="shared" si="0"/>
        <v>1</v>
      </c>
      <c r="E10" s="1">
        <f>ABS(D10)</f>
        <v>1</v>
      </c>
      <c r="F10" s="163">
        <f>D10^2</f>
        <v>1</v>
      </c>
      <c r="G10" s="163">
        <f>E10/B10</f>
        <v>2.5000000000000001E-2</v>
      </c>
      <c r="H10" s="163">
        <f>AVERAGE(E$3:E10)</f>
        <v>1.875</v>
      </c>
      <c r="I10" s="163">
        <f>AVERAGE(F$3:F10)</f>
        <v>5.375</v>
      </c>
      <c r="J10" s="163">
        <f>AVERAGE(G$3:G10)</f>
        <v>5.6153758875533075E-2</v>
      </c>
      <c r="K10"/>
      <c r="L10">
        <f t="shared" si="1"/>
        <v>0.4</v>
      </c>
      <c r="M10">
        <v>9.5198497216437097E-2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65">
        <v>9</v>
      </c>
      <c r="B11" s="110">
        <v>41</v>
      </c>
      <c r="C11" s="163">
        <f>(1-$K$1)*C10+$K$1*B10+$M$1</f>
        <v>40</v>
      </c>
      <c r="D11" s="163">
        <f t="shared" si="0"/>
        <v>1</v>
      </c>
      <c r="E11" s="1">
        <f>ABS(D11)</f>
        <v>1</v>
      </c>
      <c r="F11" s="163">
        <f>D11^2</f>
        <v>1</v>
      </c>
      <c r="G11" s="163">
        <f>E11/B11</f>
        <v>2.4390243902439025E-2</v>
      </c>
      <c r="H11" s="163">
        <f>AVERAGE(E$3:E11)</f>
        <v>1.7777777777777777</v>
      </c>
      <c r="I11" s="163">
        <f>AVERAGE(F$3:F11)</f>
        <v>4.8888888888888893</v>
      </c>
      <c r="J11" s="163">
        <f>AVERAGE(G$3:G11)</f>
        <v>5.2624479434078185E-2</v>
      </c>
      <c r="K11"/>
      <c r="L11">
        <f t="shared" si="1"/>
        <v>0.5</v>
      </c>
      <c r="M11">
        <v>7.9449515947552049E-2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65">
        <v>10</v>
      </c>
      <c r="B12" s="110">
        <v>42</v>
      </c>
      <c r="C12" s="163">
        <f>(1-$K$1)*C11+$K$1*B11+$M$1</f>
        <v>41</v>
      </c>
      <c r="D12" s="163">
        <f t="shared" si="0"/>
        <v>1</v>
      </c>
      <c r="E12" s="1">
        <f>ABS(D12)</f>
        <v>1</v>
      </c>
      <c r="F12" s="163">
        <f>D12^2</f>
        <v>1</v>
      </c>
      <c r="G12" s="163">
        <f>E12/B12</f>
        <v>2.3809523809523808E-2</v>
      </c>
      <c r="H12" s="163">
        <f>AVERAGE(E$3:E12)</f>
        <v>1.7</v>
      </c>
      <c r="I12" s="163">
        <f>AVERAGE(F$3:F12)</f>
        <v>4.5</v>
      </c>
      <c r="J12" s="163">
        <f>AVERAGE(G$3:G12)</f>
        <v>4.9742983871622751E-2</v>
      </c>
      <c r="K12"/>
      <c r="L12">
        <f t="shared" si="1"/>
        <v>0.6</v>
      </c>
      <c r="M12">
        <v>6.831442662284723E-2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65">
        <v>11</v>
      </c>
      <c r="B13" s="110">
        <v>44</v>
      </c>
      <c r="C13" s="163">
        <f>(1-$K$1)*C12+$K$1*B12+$M$1</f>
        <v>42</v>
      </c>
      <c r="D13" s="163">
        <f t="shared" si="0"/>
        <v>2</v>
      </c>
      <c r="E13" s="1">
        <f>ABS(D13)</f>
        <v>2</v>
      </c>
      <c r="F13" s="163">
        <f>D13^2</f>
        <v>4</v>
      </c>
      <c r="G13" s="163">
        <f>E13/B13</f>
        <v>4.5454545454545456E-2</v>
      </c>
      <c r="H13" s="163">
        <f>AVERAGE(E$3:E13)</f>
        <v>1.7272727272727273</v>
      </c>
      <c r="I13" s="163">
        <f>AVERAGE(F$3:F13)</f>
        <v>4.4545454545454541</v>
      </c>
      <c r="J13" s="163">
        <f>AVERAGE(G$3:G13)</f>
        <v>4.9353125833706629E-2</v>
      </c>
      <c r="K13"/>
      <c r="L13">
        <f t="shared" si="1"/>
        <v>0.7</v>
      </c>
      <c r="M13">
        <v>6.0006770756256121E-2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65">
        <v>12</v>
      </c>
      <c r="B14" s="110">
        <v>46</v>
      </c>
      <c r="C14" s="163">
        <f>(1-$K$1)*C13+$K$1*B13+$M$1</f>
        <v>44</v>
      </c>
      <c r="D14" s="163">
        <f t="shared" si="0"/>
        <v>2</v>
      </c>
      <c r="E14" s="1">
        <f>ABS(D14)</f>
        <v>2</v>
      </c>
      <c r="F14" s="163">
        <f>D14^2</f>
        <v>4</v>
      </c>
      <c r="G14" s="163">
        <f>E14/B14</f>
        <v>4.3478260869565216E-2</v>
      </c>
      <c r="H14" s="163">
        <f>AVERAGE(E$3:E14)</f>
        <v>1.75</v>
      </c>
      <c r="I14" s="163">
        <f>AVERAGE(F$3:F14)</f>
        <v>4.416666666666667</v>
      </c>
      <c r="J14" s="163">
        <f>AVERAGE(G$3:G14)</f>
        <v>4.8863553753361509E-2</v>
      </c>
      <c r="K14"/>
      <c r="L14">
        <f t="shared" si="1"/>
        <v>0.79999999999999993</v>
      </c>
      <c r="M14">
        <v>5.3551162696784782E-2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65">
        <v>13</v>
      </c>
      <c r="B15" s="110">
        <v>47</v>
      </c>
      <c r="C15" s="163">
        <f>(1-$K$1)*C14+$K$1*B14+$M$1</f>
        <v>46</v>
      </c>
      <c r="D15" s="163">
        <f t="shared" si="0"/>
        <v>1</v>
      </c>
      <c r="E15" s="1">
        <f>ABS(D15)</f>
        <v>1</v>
      </c>
      <c r="F15" s="163">
        <f>D15^2</f>
        <v>1</v>
      </c>
      <c r="G15" s="163">
        <f>E15/B15</f>
        <v>2.1276595744680851E-2</v>
      </c>
      <c r="H15" s="163">
        <f>AVERAGE(E$3:E15)</f>
        <v>1.6923076923076923</v>
      </c>
      <c r="I15" s="163">
        <f>AVERAGE(F$3:F15)</f>
        <v>4.1538461538461542</v>
      </c>
      <c r="J15" s="163">
        <f>AVERAGE(G$3:G15)</f>
        <v>4.6741480060386073E-2</v>
      </c>
      <c r="K15"/>
      <c r="L15">
        <f t="shared" si="1"/>
        <v>0.89999999999999991</v>
      </c>
      <c r="M15">
        <v>4.8371574426280803E-2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165">
        <v>14</v>
      </c>
      <c r="B16" s="110">
        <v>48</v>
      </c>
      <c r="C16" s="163">
        <f>(1-$K$1)*C15+$K$1*B15+$M$1</f>
        <v>47</v>
      </c>
      <c r="D16" s="163">
        <f t="shared" si="0"/>
        <v>1</v>
      </c>
      <c r="E16" s="1">
        <f>ABS(D16)</f>
        <v>1</v>
      </c>
      <c r="F16" s="163">
        <f>D16^2</f>
        <v>1</v>
      </c>
      <c r="G16" s="163">
        <f>E16/B16</f>
        <v>2.0833333333333332E-2</v>
      </c>
      <c r="H16" s="163">
        <f>AVERAGE(E$3:E16)</f>
        <v>1.6428571428571428</v>
      </c>
      <c r="I16" s="163">
        <f>AVERAGE(F$3:F16)</f>
        <v>3.9285714285714284</v>
      </c>
      <c r="J16" s="163">
        <f>AVERAGE(G$3:G16)</f>
        <v>4.4890898151310879E-2</v>
      </c>
      <c r="K16" s="11"/>
      <c r="L16">
        <f t="shared" si="1"/>
        <v>0.99999999999999989</v>
      </c>
      <c r="M16" s="11">
        <v>4.4106457678324607E-2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02"/>
      <c r="AD16" s="102"/>
      <c r="AE16" s="102"/>
      <c r="AF16" s="102"/>
      <c r="AG16" s="102"/>
      <c r="AH16" s="102"/>
      <c r="AI16" s="102"/>
      <c r="AJ16" s="102"/>
      <c r="AK16" s="11"/>
      <c r="AL16" s="11"/>
      <c r="AM16" s="11"/>
      <c r="AN16" s="11"/>
      <c r="AO16" s="11"/>
      <c r="AP16" s="11"/>
      <c r="AQ16" s="11"/>
    </row>
    <row r="17" spans="1:60" ht="16.5" x14ac:dyDescent="0.3">
      <c r="A17" s="165">
        <v>15</v>
      </c>
      <c r="B17" s="110">
        <v>50</v>
      </c>
      <c r="C17" s="163">
        <f>(1-$K$1)*C16+$K$1*B16+$M$1</f>
        <v>48</v>
      </c>
      <c r="D17" s="163">
        <f t="shared" si="0"/>
        <v>2</v>
      </c>
      <c r="E17" s="1">
        <f>ABS(D17)</f>
        <v>2</v>
      </c>
      <c r="F17" s="163">
        <f>D17^2</f>
        <v>4</v>
      </c>
      <c r="G17" s="163">
        <f>E17/B17</f>
        <v>0.04</v>
      </c>
      <c r="H17" s="163">
        <f>AVERAGE(E$3:E17)</f>
        <v>1.6666666666666667</v>
      </c>
      <c r="I17" s="163">
        <f>AVERAGE(F$3:F17)</f>
        <v>3.9333333333333331</v>
      </c>
      <c r="J17" s="163">
        <f>AVERAGE(G$3:G17)</f>
        <v>4.4564838274556824E-2</v>
      </c>
      <c r="K17" s="102"/>
      <c r="L17"/>
      <c r="M17" s="102">
        <f>MIN(M6:M16)</f>
        <v>4.4106457678324607E-2</v>
      </c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1"/>
      <c r="AL17" s="11"/>
      <c r="AM17" s="11"/>
      <c r="AN17" s="11"/>
      <c r="AO17" s="11"/>
      <c r="AP17" s="11"/>
      <c r="AQ17" s="11"/>
    </row>
    <row r="18" spans="1:60" ht="16.5" x14ac:dyDescent="0.3">
      <c r="A18" s="165">
        <v>16</v>
      </c>
      <c r="B18" s="110">
        <v>51</v>
      </c>
      <c r="C18" s="163">
        <f>(1-$K$1)*C17+$K$1*B17+$M$1</f>
        <v>50</v>
      </c>
      <c r="D18" s="163">
        <f t="shared" si="0"/>
        <v>1</v>
      </c>
      <c r="E18" s="1">
        <f>ABS(D18)</f>
        <v>1</v>
      </c>
      <c r="F18" s="163">
        <f>D18^2</f>
        <v>1</v>
      </c>
      <c r="G18" s="163">
        <f>E18/B18</f>
        <v>1.9607843137254902E-2</v>
      </c>
      <c r="H18" s="163">
        <f>AVERAGE(E$3:E18)</f>
        <v>1.625</v>
      </c>
      <c r="I18" s="163">
        <f>AVERAGE(F$3:F18)</f>
        <v>3.75</v>
      </c>
      <c r="J18" s="163">
        <f>AVERAGE(G$3:G18)</f>
        <v>4.3005026078475457E-2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1"/>
      <c r="AL18" s="11"/>
      <c r="AM18" s="11"/>
      <c r="AN18" s="11"/>
      <c r="AO18" s="11"/>
      <c r="AP18" s="11"/>
      <c r="AQ18" s="11"/>
    </row>
    <row r="19" spans="1:60" ht="16.5" x14ac:dyDescent="0.3">
      <c r="A19" s="165">
        <v>17</v>
      </c>
      <c r="B19" s="110">
        <v>51</v>
      </c>
      <c r="C19" s="163">
        <f>(1-$K$1)*C18+$K$1*B18+$M$1</f>
        <v>51</v>
      </c>
      <c r="D19" s="163">
        <f t="shared" si="0"/>
        <v>0</v>
      </c>
      <c r="E19" s="1">
        <f>ABS(D19)</f>
        <v>0</v>
      </c>
      <c r="F19" s="163">
        <f>D19^2</f>
        <v>0</v>
      </c>
      <c r="G19" s="163">
        <f>E19/B19</f>
        <v>0</v>
      </c>
      <c r="H19" s="163">
        <f>AVERAGE(E$3:E19)</f>
        <v>1.5294117647058822</v>
      </c>
      <c r="I19" s="163">
        <f>AVERAGE(F$3:F19)</f>
        <v>3.5294117647058822</v>
      </c>
      <c r="J19" s="163">
        <f>AVERAGE(G$3:G19)</f>
        <v>4.0475318662094549E-2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1"/>
      <c r="AL19" s="11"/>
      <c r="AM19" s="11"/>
      <c r="AN19" s="11"/>
      <c r="AO19" s="11"/>
      <c r="AP19" s="11"/>
      <c r="AQ19" s="11"/>
    </row>
    <row r="20" spans="1:60" ht="16.5" x14ac:dyDescent="0.3">
      <c r="A20" s="165">
        <v>18</v>
      </c>
      <c r="B20" s="110">
        <v>53</v>
      </c>
      <c r="C20" s="163">
        <f>(1-$K$1)*C19+$K$1*B19+$M$1</f>
        <v>51</v>
      </c>
      <c r="D20" s="163">
        <f t="shared" si="0"/>
        <v>2</v>
      </c>
      <c r="E20" s="1">
        <f>ABS(D20)</f>
        <v>2</v>
      </c>
      <c r="F20" s="163">
        <f>D20^2</f>
        <v>4</v>
      </c>
      <c r="G20" s="163">
        <f>E20/B20</f>
        <v>3.7735849056603772E-2</v>
      </c>
      <c r="H20" s="163">
        <f>AVERAGE(E$3:E20)</f>
        <v>1.5555555555555556</v>
      </c>
      <c r="I20" s="163">
        <f>AVERAGE(F$3:F20)</f>
        <v>3.5555555555555554</v>
      </c>
      <c r="J20" s="163">
        <f>AVERAGE(G$3:G20)</f>
        <v>4.032312590623395E-2</v>
      </c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1"/>
      <c r="AL20" s="11"/>
      <c r="AM20" s="11"/>
      <c r="AN20" s="11"/>
      <c r="AO20" s="11"/>
      <c r="AP20" s="11"/>
      <c r="AQ20" s="11"/>
    </row>
    <row r="21" spans="1:60" ht="16.5" x14ac:dyDescent="0.3">
      <c r="A21" s="165">
        <v>19</v>
      </c>
      <c r="B21" s="110">
        <v>56</v>
      </c>
      <c r="C21" s="163">
        <f>(1-$K$1)*C20+$K$1*B20+$M$1</f>
        <v>53</v>
      </c>
      <c r="D21" s="163">
        <f t="shared" si="0"/>
        <v>3</v>
      </c>
      <c r="E21" s="1">
        <f>ABS(D21)</f>
        <v>3</v>
      </c>
      <c r="F21" s="163">
        <f>D21^2</f>
        <v>9</v>
      </c>
      <c r="G21" s="163">
        <f>E21/B21</f>
        <v>5.3571428571428568E-2</v>
      </c>
      <c r="H21" s="163">
        <f>AVERAGE(E$3:E21)</f>
        <v>1.631578947368421</v>
      </c>
      <c r="I21" s="163">
        <f>AVERAGE(F$3:F21)</f>
        <v>3.8421052631578947</v>
      </c>
      <c r="J21" s="163">
        <f>AVERAGE(G$3:G21)</f>
        <v>4.102040499387577E-2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1"/>
      <c r="AL21" s="11"/>
      <c r="AM21" s="11"/>
      <c r="AN21" s="11"/>
      <c r="AO21" s="11"/>
      <c r="AP21" s="11"/>
      <c r="AQ21" s="11"/>
    </row>
    <row r="22" spans="1:60" ht="16.5" x14ac:dyDescent="0.3">
      <c r="A22" s="165">
        <v>20</v>
      </c>
      <c r="B22" s="110">
        <v>61</v>
      </c>
      <c r="C22" s="163">
        <f>(1-$K$1)*C21+$K$1*B21+$M$1</f>
        <v>56</v>
      </c>
      <c r="D22" s="163">
        <f t="shared" si="0"/>
        <v>5</v>
      </c>
      <c r="E22" s="1">
        <f>ABS(D22)</f>
        <v>5</v>
      </c>
      <c r="F22" s="163">
        <f>D22^2</f>
        <v>25</v>
      </c>
      <c r="G22" s="163">
        <f>E22/B22</f>
        <v>8.1967213114754092E-2</v>
      </c>
      <c r="H22" s="163">
        <f>AVERAGE(E$3:E22)</f>
        <v>1.8</v>
      </c>
      <c r="I22" s="163">
        <f>AVERAGE(F$3:F22)</f>
        <v>4.9000000000000004</v>
      </c>
      <c r="J22" s="163">
        <f>AVERAGE(G$3:G22)</f>
        <v>4.3067745399919685E-2</v>
      </c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1"/>
      <c r="AL22" s="11"/>
      <c r="AM22" s="11"/>
      <c r="AN22" s="11"/>
      <c r="AO22" s="11"/>
      <c r="AP22" s="11"/>
      <c r="AQ22" s="11"/>
    </row>
    <row r="23" spans="1:60" ht="16.5" x14ac:dyDescent="0.3">
      <c r="A23" s="165">
        <v>21</v>
      </c>
      <c r="B23" s="110">
        <v>62</v>
      </c>
      <c r="C23" s="163">
        <f>(1-$K$1)*C22+$K$1*B22+$M$1</f>
        <v>61</v>
      </c>
      <c r="D23" s="163">
        <f t="shared" si="0"/>
        <v>1</v>
      </c>
      <c r="E23" s="1">
        <f>ABS(D23)</f>
        <v>1</v>
      </c>
      <c r="F23" s="163">
        <f>D23^2</f>
        <v>1</v>
      </c>
      <c r="G23" s="163">
        <f>E23/B23</f>
        <v>1.6129032258064516E-2</v>
      </c>
      <c r="H23" s="163">
        <f>AVERAGE(E$3:E23)</f>
        <v>1.7619047619047619</v>
      </c>
      <c r="I23" s="163">
        <f>AVERAGE(F$3:F23)</f>
        <v>4.7142857142857144</v>
      </c>
      <c r="J23" s="163">
        <f>AVERAGE(G$3:G23)</f>
        <v>4.1784949536021819E-2</v>
      </c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1"/>
      <c r="AL23" s="11"/>
      <c r="AM23" s="11"/>
      <c r="AN23" s="11"/>
      <c r="AO23" s="11"/>
      <c r="AP23" s="11"/>
      <c r="AQ23" s="11"/>
    </row>
    <row r="24" spans="1:60" ht="16.5" x14ac:dyDescent="0.3">
      <c r="A24" s="165">
        <v>22</v>
      </c>
      <c r="B24" s="110">
        <v>65</v>
      </c>
      <c r="C24" s="163">
        <f>(1-$K$1)*C23+$K$1*B23+$M$1</f>
        <v>62</v>
      </c>
      <c r="D24" s="163">
        <f t="shared" si="0"/>
        <v>3</v>
      </c>
      <c r="E24" s="1">
        <f>ABS(D24)</f>
        <v>3</v>
      </c>
      <c r="F24" s="163">
        <f>D24^2</f>
        <v>9</v>
      </c>
      <c r="G24" s="163">
        <f>E24/B24</f>
        <v>4.6153846153846156E-2</v>
      </c>
      <c r="H24" s="163">
        <f>AVERAGE(E$3:E24)</f>
        <v>1.8181818181818181</v>
      </c>
      <c r="I24" s="163">
        <f>AVERAGE(F$3:F24)</f>
        <v>4.9090909090909092</v>
      </c>
      <c r="J24" s="163">
        <f>AVERAGE(G$3:G24)</f>
        <v>4.198353574592293E-2</v>
      </c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1"/>
      <c r="AL24" s="11"/>
      <c r="AM24" s="11"/>
      <c r="AN24" s="11"/>
      <c r="AO24" s="11"/>
      <c r="AP24" s="11"/>
      <c r="AQ24" s="11"/>
    </row>
    <row r="25" spans="1:60" ht="16.5" x14ac:dyDescent="0.3">
      <c r="A25" s="165">
        <v>23</v>
      </c>
      <c r="B25" s="110">
        <v>67</v>
      </c>
      <c r="C25" s="163">
        <f>(1-$K$1)*C24+$K$1*B24+$M$1</f>
        <v>65</v>
      </c>
      <c r="D25" s="163">
        <f t="shared" si="0"/>
        <v>2</v>
      </c>
      <c r="E25" s="1">
        <f>ABS(D25)</f>
        <v>2</v>
      </c>
      <c r="F25" s="163">
        <f>D25^2</f>
        <v>4</v>
      </c>
      <c r="G25" s="163">
        <f>E25/B25</f>
        <v>2.9850746268656716E-2</v>
      </c>
      <c r="H25" s="163">
        <f>AVERAGE(E$3:E25)</f>
        <v>1.826086956521739</v>
      </c>
      <c r="I25" s="163">
        <f>AVERAGE(F$3:F25)</f>
        <v>4.8695652173913047</v>
      </c>
      <c r="J25" s="163">
        <f>AVERAGE(G$3:G25)</f>
        <v>4.1456023159954836E-2</v>
      </c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1"/>
      <c r="AL25" s="11"/>
      <c r="AM25" s="11"/>
      <c r="AN25" s="11"/>
      <c r="AO25" s="11"/>
      <c r="AP25" s="11"/>
      <c r="AQ25" s="11"/>
    </row>
    <row r="26" spans="1:60" ht="16.5" x14ac:dyDescent="0.3">
      <c r="A26" s="165">
        <v>24</v>
      </c>
      <c r="B26" s="110">
        <v>69</v>
      </c>
      <c r="C26" s="163">
        <f>(1-$K$1)*C25+$K$1*B25+$M$1</f>
        <v>67</v>
      </c>
      <c r="D26" s="163">
        <f t="shared" si="0"/>
        <v>2</v>
      </c>
      <c r="E26" s="1">
        <f>ABS(D26)</f>
        <v>2</v>
      </c>
      <c r="F26" s="163">
        <f>D26^2</f>
        <v>4</v>
      </c>
      <c r="G26" s="163">
        <f>E26/B26</f>
        <v>2.8985507246376812E-2</v>
      </c>
      <c r="H26" s="163">
        <f>AVERAGE(E$3:E26)</f>
        <v>1.8333333333333333</v>
      </c>
      <c r="I26" s="163">
        <f>AVERAGE(F$3:F26)</f>
        <v>4.833333333333333</v>
      </c>
      <c r="J26" s="163">
        <f>AVERAGE(G$3:G26)</f>
        <v>4.0936418330222414E-2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1"/>
      <c r="AL26" s="11"/>
      <c r="AM26" s="11"/>
      <c r="AN26" s="11"/>
      <c r="AO26" s="11"/>
      <c r="AP26" s="11"/>
      <c r="AQ26" s="11"/>
    </row>
    <row r="27" spans="1:60" ht="16.5" x14ac:dyDescent="0.3">
      <c r="A27" s="165">
        <v>25</v>
      </c>
      <c r="B27" s="110">
        <v>72</v>
      </c>
      <c r="C27" s="163">
        <f>(1-$K$1)*C26+$K$1*B26+$M$1</f>
        <v>69</v>
      </c>
      <c r="D27" s="163">
        <f t="shared" si="0"/>
        <v>3</v>
      </c>
      <c r="E27" s="1">
        <f>ABS(D27)</f>
        <v>3</v>
      </c>
      <c r="F27" s="163">
        <f>D27^2</f>
        <v>9</v>
      </c>
      <c r="G27" s="163">
        <f>E27/B27</f>
        <v>4.1666666666666664E-2</v>
      </c>
      <c r="H27" s="163">
        <f>AVERAGE(E$3:E27)</f>
        <v>1.88</v>
      </c>
      <c r="I27" s="163">
        <f>AVERAGE(F$3:F27)</f>
        <v>5</v>
      </c>
      <c r="J27" s="163">
        <f>AVERAGE(G$3:G27)</f>
        <v>4.0965628263680193E-2</v>
      </c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1"/>
      <c r="AL27" s="11"/>
      <c r="AM27" s="11"/>
      <c r="AN27" s="11"/>
      <c r="AO27" s="11"/>
      <c r="AP27" s="11"/>
      <c r="AQ27" s="11"/>
    </row>
    <row r="28" spans="1:60" ht="16.5" x14ac:dyDescent="0.3">
      <c r="A28" s="165">
        <v>26</v>
      </c>
      <c r="B28" s="110">
        <v>72</v>
      </c>
      <c r="C28" s="163">
        <f>(1-$K$1)*C27+$K$1*B27+$M$1</f>
        <v>72</v>
      </c>
      <c r="D28" s="163">
        <f t="shared" si="0"/>
        <v>0</v>
      </c>
      <c r="E28" s="1">
        <f>ABS(D28)</f>
        <v>0</v>
      </c>
      <c r="F28" s="163">
        <f>D28^2</f>
        <v>0</v>
      </c>
      <c r="G28" s="163">
        <f>E28/B28</f>
        <v>0</v>
      </c>
      <c r="H28" s="163">
        <f>AVERAGE(E$3:E28)</f>
        <v>1.8076923076923077</v>
      </c>
      <c r="I28" s="163">
        <f>AVERAGE(F$3:F28)</f>
        <v>4.8076923076923075</v>
      </c>
      <c r="J28" s="163">
        <f>AVERAGE(G$3:G28)</f>
        <v>3.9390027176615564E-2</v>
      </c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1"/>
      <c r="AL28" s="11"/>
      <c r="AM28" s="11"/>
      <c r="AN28" s="11"/>
      <c r="AO28" s="11"/>
      <c r="AP28" s="11"/>
      <c r="AQ28" s="11"/>
    </row>
    <row r="29" spans="1:60" ht="16.5" x14ac:dyDescent="0.3">
      <c r="A29" s="165">
        <v>27</v>
      </c>
      <c r="B29" s="110">
        <v>82</v>
      </c>
      <c r="C29" s="163">
        <f>(1-$K$1)*C28+$K$1*B28+$M$1</f>
        <v>72</v>
      </c>
      <c r="D29" s="163">
        <f t="shared" si="0"/>
        <v>10</v>
      </c>
      <c r="E29" s="1">
        <f>ABS(D29)</f>
        <v>10</v>
      </c>
      <c r="F29" s="163">
        <f>D29^2</f>
        <v>100</v>
      </c>
      <c r="G29" s="163">
        <f>E29/B29</f>
        <v>0.12195121951219512</v>
      </c>
      <c r="H29" s="163">
        <f>AVERAGE(E$3:E29)</f>
        <v>2.1111111111111112</v>
      </c>
      <c r="I29" s="163">
        <f>AVERAGE(F$3:F29)</f>
        <v>8.3333333333333339</v>
      </c>
      <c r="J29" s="163">
        <f>AVERAGE(G$3:G29)</f>
        <v>4.2447849114970362E-2</v>
      </c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1"/>
      <c r="AL29" s="11"/>
      <c r="AM29" s="11"/>
      <c r="AN29" s="11"/>
      <c r="AO29" s="11"/>
      <c r="AP29" s="11"/>
      <c r="AQ29" s="11"/>
    </row>
    <row r="30" spans="1:60" ht="16.5" x14ac:dyDescent="0.3">
      <c r="A30" s="165">
        <v>28</v>
      </c>
      <c r="B30" s="110">
        <v>90</v>
      </c>
      <c r="C30" s="163">
        <f>(1-$K$1)*C29+$K$1*B29+$M$1</f>
        <v>82</v>
      </c>
      <c r="D30" s="163">
        <f t="shared" si="0"/>
        <v>8</v>
      </c>
      <c r="E30" s="1">
        <f>ABS(D30)</f>
        <v>8</v>
      </c>
      <c r="F30" s="163">
        <f>D30^2</f>
        <v>64</v>
      </c>
      <c r="G30" s="163">
        <f>E30/B30</f>
        <v>8.8888888888888892E-2</v>
      </c>
      <c r="H30" s="163">
        <f>AVERAGE(E$3:E30)</f>
        <v>2.3214285714285716</v>
      </c>
      <c r="I30" s="163">
        <f>AVERAGE(F$3:F30)</f>
        <v>10.321428571428571</v>
      </c>
      <c r="J30" s="163">
        <f>AVERAGE(G$3:G30)</f>
        <v>4.4106457678324593E-2</v>
      </c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1"/>
      <c r="AL30" s="11"/>
      <c r="AM30" s="11"/>
      <c r="AN30" s="11"/>
      <c r="AO30" s="11"/>
      <c r="AP30" s="11"/>
      <c r="AQ30" s="11"/>
    </row>
    <row r="31" spans="1:60" ht="16.5" x14ac:dyDescent="0.3">
      <c r="A31" s="164">
        <v>29</v>
      </c>
      <c r="B31"/>
      <c r="C31" s="163">
        <f>(1-$K$1)*C30+$K$1*B30+$M$1</f>
        <v>90</v>
      </c>
      <c r="D31" s="171">
        <f>AVERAGE(D3:D30)</f>
        <v>2.3214285714285716</v>
      </c>
      <c r="E31" s="171"/>
      <c r="F31" s="171"/>
      <c r="G31" s="163"/>
      <c r="H31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1"/>
      <c r="AL31" s="11"/>
      <c r="AM31" s="11"/>
      <c r="AN31" s="11"/>
      <c r="AO31" s="11"/>
      <c r="AP31" s="11"/>
      <c r="AQ31" s="11"/>
      <c r="BD31"/>
      <c r="BE31"/>
      <c r="BF31"/>
      <c r="BG31"/>
      <c r="BH31"/>
    </row>
    <row r="32" spans="1:60" x14ac:dyDescent="0.25">
      <c r="A32"/>
      <c r="B32"/>
      <c r="C32" s="11"/>
      <c r="D32" s="151" t="s">
        <v>140</v>
      </c>
      <c r="E32" s="102"/>
      <c r="F32" s="15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1"/>
      <c r="AL32" s="11"/>
      <c r="AM32" s="11"/>
      <c r="AN32" s="11"/>
      <c r="AO32" s="11"/>
      <c r="AP32" s="11"/>
      <c r="AQ32" s="11"/>
      <c r="BD32"/>
      <c r="BE32"/>
      <c r="BF32"/>
      <c r="BG32"/>
      <c r="BH32"/>
    </row>
    <row r="33" spans="1:60" x14ac:dyDescent="0.25">
      <c r="A33"/>
      <c r="B33"/>
      <c r="C33" s="11"/>
      <c r="D33" s="102"/>
      <c r="E33" s="17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1"/>
      <c r="AL33" s="11"/>
      <c r="AM33" s="11"/>
      <c r="AN33" s="11"/>
      <c r="AO33" s="11"/>
      <c r="AP33" s="11"/>
      <c r="AQ33" s="11"/>
      <c r="BD33"/>
      <c r="BE33"/>
      <c r="BF33"/>
      <c r="BG33"/>
      <c r="BH33"/>
    </row>
    <row r="34" spans="1:60" x14ac:dyDescent="0.25">
      <c r="A34"/>
      <c r="B34"/>
      <c r="C34" s="11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1"/>
      <c r="AL34" s="11"/>
      <c r="AM34" s="11"/>
      <c r="AN34" s="11"/>
      <c r="AO34" s="11"/>
      <c r="AP34" s="11"/>
      <c r="AQ34" s="11"/>
      <c r="BD34"/>
      <c r="BE34"/>
      <c r="BF34"/>
      <c r="BG34"/>
      <c r="BH34"/>
    </row>
    <row r="35" spans="1:60" x14ac:dyDescent="0.25">
      <c r="A35"/>
      <c r="B35"/>
      <c r="C35" s="173"/>
      <c r="D35" s="174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1"/>
      <c r="AL35" s="11"/>
      <c r="AM35" s="11"/>
      <c r="AN35" s="11"/>
      <c r="AO35" s="11"/>
      <c r="AP35" s="11"/>
      <c r="AQ35" s="11"/>
      <c r="BD35"/>
      <c r="BE35"/>
      <c r="BF35"/>
      <c r="BG35"/>
      <c r="BH35"/>
    </row>
    <row r="36" spans="1:60" x14ac:dyDescent="0.25">
      <c r="A36"/>
      <c r="B36"/>
      <c r="C36" s="173"/>
      <c r="D36" s="174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1"/>
      <c r="AL36" s="11"/>
      <c r="AM36" s="11"/>
      <c r="AN36" s="11"/>
      <c r="AO36" s="11"/>
      <c r="AP36" s="11"/>
      <c r="AQ36" s="11"/>
      <c r="BD36"/>
      <c r="BE36"/>
      <c r="BF36"/>
      <c r="BG36"/>
      <c r="BH36"/>
    </row>
    <row r="37" spans="1:60" x14ac:dyDescent="0.25">
      <c r="A37"/>
      <c r="B37"/>
      <c r="C37" s="11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1"/>
      <c r="AL37" s="11"/>
      <c r="AM37" s="11"/>
      <c r="AN37" s="11"/>
      <c r="AO37" s="11"/>
      <c r="AP37" s="11"/>
      <c r="AQ37" s="11"/>
      <c r="BD37"/>
      <c r="BE37"/>
      <c r="BF37"/>
      <c r="BG37"/>
      <c r="BH37"/>
    </row>
    <row r="38" spans="1:60" x14ac:dyDescent="0.25">
      <c r="A38"/>
      <c r="B38"/>
      <c r="C38" s="1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1"/>
      <c r="AL38" s="11"/>
      <c r="AM38" s="11"/>
      <c r="AN38" s="11"/>
      <c r="AO38" s="11"/>
      <c r="AP38" s="11"/>
      <c r="AQ38" s="11"/>
      <c r="BD38"/>
      <c r="BE38"/>
      <c r="BF38"/>
      <c r="BG38"/>
      <c r="BH38"/>
    </row>
    <row r="39" spans="1:60" x14ac:dyDescent="0.25">
      <c r="A39"/>
      <c r="B39"/>
      <c r="C39" s="11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1"/>
      <c r="AL39" s="11"/>
      <c r="AM39" s="11"/>
      <c r="AN39" s="11"/>
      <c r="AO39" s="11"/>
      <c r="AP39" s="11"/>
      <c r="AQ39" s="11"/>
      <c r="BD39"/>
      <c r="BE39"/>
      <c r="BF39"/>
      <c r="BG39"/>
      <c r="BH39"/>
    </row>
    <row r="40" spans="1:60" x14ac:dyDescent="0.25">
      <c r="A40"/>
      <c r="B40"/>
      <c r="C40" s="1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1"/>
      <c r="AL40" s="11"/>
      <c r="AM40" s="11"/>
      <c r="AN40" s="11"/>
      <c r="AO40" s="11"/>
      <c r="AP40" s="11"/>
      <c r="AQ40" s="11"/>
      <c r="BD40"/>
      <c r="BE40"/>
      <c r="BF40"/>
      <c r="BG40"/>
      <c r="BH40"/>
    </row>
    <row r="41" spans="1:60" x14ac:dyDescent="0.25">
      <c r="A41"/>
      <c r="B41"/>
      <c r="C41" s="1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1"/>
      <c r="AL41" s="11"/>
      <c r="AM41" s="11"/>
      <c r="AN41" s="11"/>
      <c r="AO41" s="11"/>
      <c r="AP41" s="11"/>
      <c r="AQ41" s="11"/>
      <c r="BD41"/>
      <c r="BE41"/>
      <c r="BF41"/>
      <c r="BG41"/>
      <c r="BH41"/>
    </row>
    <row r="42" spans="1:60" x14ac:dyDescent="0.25">
      <c r="A42"/>
      <c r="B42"/>
      <c r="C42" s="1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1"/>
      <c r="AL42" s="11"/>
      <c r="AM42" s="11"/>
      <c r="AN42" s="11"/>
      <c r="AO42" s="11"/>
      <c r="AP42" s="11"/>
      <c r="AQ42" s="11"/>
      <c r="BD42"/>
      <c r="BE42"/>
      <c r="BF42"/>
      <c r="BG42"/>
      <c r="BH42"/>
    </row>
    <row r="43" spans="1:60" x14ac:dyDescent="0.25">
      <c r="A43"/>
      <c r="B43"/>
      <c r="C43" s="1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1"/>
      <c r="AL43" s="11"/>
      <c r="AM43" s="11"/>
      <c r="AN43" s="11"/>
      <c r="AO43" s="11"/>
      <c r="AP43" s="11"/>
      <c r="AQ43" s="11"/>
      <c r="BD43"/>
      <c r="BE43"/>
      <c r="BF43"/>
      <c r="BG43"/>
      <c r="BH43"/>
    </row>
    <row r="44" spans="1:60" x14ac:dyDescent="0.25">
      <c r="A44"/>
      <c r="B44"/>
      <c r="C44" s="1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1"/>
      <c r="AL44" s="11"/>
      <c r="AM44" s="11"/>
      <c r="AN44" s="11"/>
      <c r="AO44" s="11"/>
      <c r="AP44" s="11"/>
      <c r="AQ44" s="11"/>
      <c r="BD44"/>
      <c r="BE44"/>
      <c r="BF44"/>
      <c r="BG44"/>
      <c r="BH44"/>
    </row>
    <row r="45" spans="1:60" x14ac:dyDescent="0.25">
      <c r="A45"/>
      <c r="B45"/>
      <c r="C45" s="1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1"/>
      <c r="AL45" s="11"/>
      <c r="AM45" s="11"/>
      <c r="AN45" s="11"/>
      <c r="AO45" s="11"/>
      <c r="AP45" s="11"/>
      <c r="AQ45" s="11"/>
      <c r="BD45"/>
      <c r="BE45"/>
      <c r="BF45"/>
      <c r="BG45"/>
      <c r="BH45"/>
    </row>
    <row r="46" spans="1:60" x14ac:dyDescent="0.25">
      <c r="A46"/>
      <c r="B46"/>
      <c r="C46" s="1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1"/>
      <c r="AL46" s="11"/>
      <c r="AM46" s="11"/>
      <c r="AN46" s="11"/>
      <c r="AO46" s="11"/>
      <c r="AP46" s="11"/>
      <c r="AQ46" s="11"/>
      <c r="BD46"/>
      <c r="BE46"/>
      <c r="BF46"/>
      <c r="BG46"/>
      <c r="BH46"/>
    </row>
    <row r="47" spans="1:60" x14ac:dyDescent="0.25">
      <c r="A47"/>
      <c r="B47"/>
      <c r="C47" s="1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1"/>
      <c r="AL47" s="11"/>
      <c r="AM47" s="11"/>
      <c r="AN47" s="11"/>
      <c r="AO47" s="11"/>
      <c r="AP47" s="11"/>
      <c r="AQ47" s="11"/>
      <c r="BD47"/>
      <c r="BE47"/>
      <c r="BF47"/>
      <c r="BG47"/>
      <c r="BH47"/>
    </row>
    <row r="48" spans="1:60" x14ac:dyDescent="0.25">
      <c r="A48"/>
      <c r="B48"/>
      <c r="C48" s="11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1"/>
      <c r="AL48" s="11"/>
      <c r="AM48" s="11"/>
      <c r="AN48" s="11"/>
      <c r="AO48" s="11"/>
      <c r="AP48" s="11"/>
      <c r="AQ48" s="11"/>
      <c r="BD48"/>
      <c r="BE48"/>
      <c r="BF48"/>
      <c r="BG48"/>
      <c r="BH48"/>
    </row>
    <row r="49" spans="1:60" x14ac:dyDescent="0.25">
      <c r="A49"/>
      <c r="B49"/>
      <c r="C49" s="11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1"/>
      <c r="AL49" s="11"/>
      <c r="AM49" s="11"/>
      <c r="AN49" s="11"/>
      <c r="AO49" s="11"/>
      <c r="AP49" s="11"/>
      <c r="AQ49" s="11"/>
      <c r="BD49"/>
      <c r="BE49"/>
      <c r="BF49"/>
      <c r="BG49"/>
      <c r="BH49"/>
    </row>
    <row r="50" spans="1:60" x14ac:dyDescent="0.25">
      <c r="A50"/>
      <c r="B50"/>
      <c r="C50" s="11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1"/>
      <c r="AL50" s="11"/>
      <c r="AM50" s="11"/>
      <c r="AN50" s="11"/>
      <c r="AO50" s="11"/>
      <c r="AP50" s="11"/>
      <c r="AQ50" s="11"/>
      <c r="BD50"/>
      <c r="BE50"/>
      <c r="BF50"/>
      <c r="BG50"/>
      <c r="BH50"/>
    </row>
    <row r="51" spans="1:60" x14ac:dyDescent="0.25">
      <c r="A51"/>
      <c r="B51"/>
      <c r="C51" s="11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1"/>
      <c r="AL51" s="11"/>
      <c r="AM51" s="11"/>
      <c r="AN51" s="11"/>
      <c r="AO51" s="11"/>
      <c r="AP51" s="11"/>
      <c r="AQ51" s="11"/>
      <c r="BD51"/>
      <c r="BE51"/>
      <c r="BF51"/>
      <c r="BG51"/>
      <c r="BH51"/>
    </row>
    <row r="52" spans="1:60" x14ac:dyDescent="0.25">
      <c r="A52"/>
      <c r="B52"/>
      <c r="C52" s="11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1"/>
      <c r="AL52" s="11"/>
      <c r="AM52" s="11"/>
      <c r="AN52" s="11"/>
      <c r="AO52" s="11"/>
      <c r="AP52" s="11"/>
      <c r="AQ52" s="11"/>
      <c r="BD52"/>
      <c r="BE52"/>
      <c r="BF52"/>
      <c r="BG52"/>
      <c r="BH52"/>
    </row>
    <row r="53" spans="1:60" x14ac:dyDescent="0.25">
      <c r="A53"/>
      <c r="B53"/>
      <c r="C53" s="11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1"/>
      <c r="AL53" s="11"/>
      <c r="AM53" s="11"/>
      <c r="AN53" s="11"/>
      <c r="AO53" s="11"/>
      <c r="AP53" s="11"/>
      <c r="AQ53" s="11"/>
      <c r="BD53"/>
      <c r="BE53"/>
      <c r="BF53"/>
      <c r="BG53"/>
      <c r="BH53"/>
    </row>
    <row r="54" spans="1:60" x14ac:dyDescent="0.25">
      <c r="A54"/>
      <c r="B54"/>
      <c r="C54" s="11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1"/>
      <c r="AL54" s="11"/>
      <c r="AM54" s="11"/>
      <c r="AN54" s="11"/>
      <c r="AO54" s="11"/>
      <c r="AP54" s="11"/>
      <c r="AQ54" s="11"/>
      <c r="BD54"/>
      <c r="BE54"/>
      <c r="BF54"/>
      <c r="BG54"/>
      <c r="BH54"/>
    </row>
    <row r="55" spans="1:60" x14ac:dyDescent="0.25">
      <c r="A55"/>
      <c r="B55"/>
      <c r="C55" s="11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1"/>
      <c r="AL55" s="11"/>
      <c r="AM55" s="11"/>
      <c r="AN55" s="11"/>
      <c r="AO55" s="11"/>
      <c r="AP55" s="11"/>
      <c r="AQ55" s="11"/>
      <c r="BD55"/>
      <c r="BE55"/>
      <c r="BF55"/>
      <c r="BG55"/>
      <c r="BH55"/>
    </row>
    <row r="56" spans="1:60" x14ac:dyDescent="0.25">
      <c r="A56"/>
      <c r="B56"/>
      <c r="C56" s="11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1"/>
      <c r="AL56" s="11"/>
      <c r="AM56" s="11"/>
      <c r="AN56" s="11"/>
      <c r="AO56" s="11"/>
      <c r="AP56" s="11"/>
      <c r="AQ56" s="11"/>
      <c r="BD56"/>
      <c r="BE56"/>
      <c r="BF56"/>
      <c r="BG56"/>
      <c r="BH56"/>
    </row>
    <row r="57" spans="1:60" x14ac:dyDescent="0.25">
      <c r="A57"/>
      <c r="B57"/>
      <c r="C57" s="11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1"/>
      <c r="AL57" s="11"/>
      <c r="AM57" s="11"/>
      <c r="AN57" s="11"/>
      <c r="AO57" s="11"/>
      <c r="AP57" s="11"/>
      <c r="AQ57" s="11"/>
      <c r="BD57"/>
      <c r="BE57"/>
      <c r="BF57"/>
      <c r="BG57"/>
      <c r="BH57"/>
    </row>
    <row r="58" spans="1:60" x14ac:dyDescent="0.25">
      <c r="A58"/>
      <c r="B58"/>
      <c r="C58" s="11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1"/>
      <c r="AL58" s="11"/>
      <c r="AM58" s="11"/>
      <c r="AN58" s="11"/>
      <c r="AO58" s="11"/>
      <c r="AP58" s="11"/>
      <c r="AQ58" s="11"/>
      <c r="BD58"/>
      <c r="BE58"/>
      <c r="BF58"/>
      <c r="BG58"/>
      <c r="BH58"/>
    </row>
    <row r="59" spans="1:60" x14ac:dyDescent="0.25">
      <c r="A59"/>
      <c r="B59"/>
      <c r="C59" s="11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1"/>
      <c r="AL59" s="11"/>
      <c r="AM59" s="11"/>
      <c r="AN59" s="11"/>
      <c r="AO59" s="11"/>
      <c r="AP59" s="11"/>
      <c r="AQ59" s="11"/>
      <c r="BD59"/>
      <c r="BE59"/>
      <c r="BF59"/>
      <c r="BG59"/>
      <c r="BH59"/>
    </row>
    <row r="60" spans="1:60" x14ac:dyDescent="0.25">
      <c r="A60"/>
      <c r="B60"/>
      <c r="C60" s="1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1"/>
      <c r="AL60" s="11"/>
      <c r="AM60" s="11"/>
      <c r="AN60" s="11"/>
      <c r="AO60" s="11"/>
      <c r="AP60" s="11"/>
      <c r="AQ60" s="11"/>
      <c r="BD60"/>
      <c r="BE60"/>
      <c r="BF60"/>
      <c r="BG60"/>
      <c r="BH60"/>
    </row>
    <row r="61" spans="1:60" x14ac:dyDescent="0.25">
      <c r="A61"/>
      <c r="B61"/>
      <c r="C61" s="11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1"/>
      <c r="AL61" s="11"/>
      <c r="AM61" s="11"/>
      <c r="AN61" s="11"/>
      <c r="AO61" s="11"/>
      <c r="AP61" s="11"/>
      <c r="AQ61" s="11"/>
      <c r="BD61"/>
      <c r="BE61"/>
      <c r="BF61"/>
      <c r="BG61"/>
      <c r="BH61"/>
    </row>
    <row r="62" spans="1:60" x14ac:dyDescent="0.25">
      <c r="A62"/>
      <c r="B62"/>
      <c r="C62" s="11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1"/>
      <c r="AL62" s="11"/>
      <c r="AM62" s="11"/>
      <c r="AN62" s="11"/>
      <c r="AO62" s="11"/>
      <c r="AP62" s="11"/>
      <c r="AQ62" s="11"/>
      <c r="BD62"/>
      <c r="BE62"/>
      <c r="BF62"/>
      <c r="BG62"/>
      <c r="BH62"/>
    </row>
    <row r="63" spans="1:60" x14ac:dyDescent="0.25">
      <c r="A63"/>
      <c r="B63"/>
      <c r="C63" s="11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1"/>
      <c r="AL63" s="11"/>
      <c r="AM63" s="11"/>
      <c r="AN63" s="11"/>
      <c r="AO63" s="11"/>
      <c r="AP63" s="11"/>
      <c r="AQ63" s="11"/>
      <c r="BD63"/>
      <c r="BE63"/>
      <c r="BF63"/>
      <c r="BG63"/>
      <c r="BH63"/>
    </row>
    <row r="64" spans="1:60" x14ac:dyDescent="0.25">
      <c r="A64"/>
      <c r="B64"/>
      <c r="C64" s="1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1"/>
      <c r="AL64" s="11"/>
      <c r="AM64" s="11"/>
      <c r="AN64" s="11"/>
      <c r="AO64" s="11"/>
      <c r="AP64" s="11"/>
      <c r="AQ64" s="11"/>
      <c r="BD64"/>
      <c r="BE64"/>
      <c r="BF64"/>
      <c r="BG64"/>
      <c r="BH64"/>
    </row>
    <row r="65" spans="1:60" x14ac:dyDescent="0.25">
      <c r="A65"/>
      <c r="B65"/>
      <c r="C65" s="11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1"/>
      <c r="AL65" s="11"/>
      <c r="AM65" s="11"/>
      <c r="AN65" s="11"/>
      <c r="AO65" s="11"/>
      <c r="AP65" s="11"/>
      <c r="AQ65" s="11"/>
      <c r="BD65"/>
      <c r="BE65"/>
      <c r="BF65"/>
      <c r="BG65"/>
      <c r="BH65"/>
    </row>
    <row r="66" spans="1:60" x14ac:dyDescent="0.25">
      <c r="A66"/>
      <c r="B66"/>
      <c r="C66" s="11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1"/>
      <c r="AL66" s="11"/>
      <c r="AM66" s="11"/>
      <c r="AN66" s="11"/>
      <c r="AO66" s="11"/>
      <c r="AP66" s="11"/>
      <c r="AQ66" s="11"/>
      <c r="BD66"/>
      <c r="BE66"/>
      <c r="BF66"/>
      <c r="BG66"/>
      <c r="BH66"/>
    </row>
    <row r="67" spans="1:60" x14ac:dyDescent="0.25">
      <c r="A67"/>
      <c r="B67"/>
      <c r="C67" s="11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1"/>
      <c r="AL67" s="11"/>
      <c r="AM67" s="11"/>
      <c r="AN67" s="11"/>
      <c r="AO67" s="11"/>
      <c r="AP67" s="11"/>
      <c r="AQ67" s="11"/>
      <c r="BD67"/>
      <c r="BE67"/>
      <c r="BF67"/>
      <c r="BG67"/>
      <c r="BH67"/>
    </row>
    <row r="68" spans="1:60" x14ac:dyDescent="0.25">
      <c r="A68"/>
      <c r="B68"/>
      <c r="C68" s="1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1"/>
      <c r="AL68" s="11"/>
      <c r="AM68" s="11"/>
      <c r="AN68" s="11"/>
      <c r="AO68" s="11"/>
      <c r="AP68" s="11"/>
      <c r="AQ68" s="11"/>
      <c r="BD68"/>
      <c r="BE68"/>
      <c r="BF68"/>
      <c r="BG68"/>
      <c r="BH68"/>
    </row>
    <row r="69" spans="1:60" x14ac:dyDescent="0.25">
      <c r="A69"/>
      <c r="B69"/>
      <c r="C69" s="11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1"/>
      <c r="AL69" s="11"/>
      <c r="AM69" s="11"/>
      <c r="AN69" s="11"/>
      <c r="AO69" s="11"/>
      <c r="AP69" s="11"/>
      <c r="AQ69" s="11"/>
      <c r="BD69"/>
      <c r="BE69"/>
      <c r="BF69"/>
      <c r="BG69"/>
      <c r="BH69"/>
    </row>
    <row r="70" spans="1:60" x14ac:dyDescent="0.25">
      <c r="A70"/>
      <c r="B70"/>
      <c r="C70" s="11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1"/>
      <c r="AL70" s="11"/>
      <c r="AM70" s="11"/>
      <c r="AN70" s="11"/>
      <c r="AO70" s="11"/>
      <c r="AP70" s="11"/>
      <c r="AQ70" s="11"/>
      <c r="BD70"/>
      <c r="BE70"/>
      <c r="BF70"/>
      <c r="BG70"/>
      <c r="BH70"/>
    </row>
    <row r="71" spans="1:60" x14ac:dyDescent="0.25">
      <c r="A71"/>
      <c r="B71"/>
      <c r="C71" s="11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1"/>
      <c r="AL71" s="11"/>
      <c r="AM71" s="11"/>
      <c r="AN71" s="11"/>
      <c r="AO71" s="11"/>
      <c r="AP71" s="11"/>
      <c r="AQ71" s="11"/>
      <c r="BD71"/>
      <c r="BE71"/>
      <c r="BF71"/>
      <c r="BG71"/>
      <c r="BH71"/>
    </row>
    <row r="72" spans="1:60" x14ac:dyDescent="0.25">
      <c r="A72"/>
      <c r="B72"/>
      <c r="C72" s="11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1"/>
      <c r="AL72" s="11"/>
      <c r="AM72" s="11"/>
      <c r="AN72" s="11"/>
      <c r="AO72" s="11"/>
      <c r="AP72" s="11"/>
      <c r="AQ72" s="11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BD78"/>
      <c r="BE78"/>
      <c r="BF78"/>
      <c r="BG78"/>
      <c r="BH78"/>
    </row>
    <row r="79" spans="1:60" ht="16.5" x14ac:dyDescent="0.3">
      <c r="A79"/>
      <c r="B79"/>
      <c r="C79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BD79"/>
      <c r="BE79"/>
      <c r="BF79"/>
      <c r="BG79"/>
      <c r="BH79"/>
    </row>
    <row r="80" spans="1:60" ht="16.5" x14ac:dyDescent="0.3">
      <c r="A80"/>
      <c r="B80"/>
      <c r="C80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BD80"/>
      <c r="BE80"/>
      <c r="BF80"/>
      <c r="BG80"/>
      <c r="BH80"/>
    </row>
    <row r="81" spans="1:60" ht="16.5" x14ac:dyDescent="0.3">
      <c r="A81"/>
      <c r="B81"/>
      <c r="C81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BD81"/>
      <c r="BE81"/>
      <c r="BF81"/>
      <c r="BG81"/>
      <c r="BH81"/>
    </row>
    <row r="82" spans="1:60" ht="16.5" x14ac:dyDescent="0.3">
      <c r="A82"/>
      <c r="B82"/>
      <c r="C82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BD82"/>
      <c r="BE82"/>
      <c r="BF82"/>
      <c r="BG82"/>
      <c r="BH82"/>
    </row>
    <row r="83" spans="1:60" ht="16.5" x14ac:dyDescent="0.3">
      <c r="A83"/>
      <c r="B83"/>
      <c r="C83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BD83"/>
      <c r="BE83"/>
      <c r="BF83"/>
      <c r="BG83"/>
      <c r="BH83"/>
    </row>
    <row r="84" spans="1:60" ht="16.5" x14ac:dyDescent="0.3">
      <c r="A84"/>
      <c r="B84"/>
      <c r="C84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BD84"/>
      <c r="BE84"/>
      <c r="BF84"/>
      <c r="BG84"/>
      <c r="BH84"/>
    </row>
    <row r="85" spans="1:60" ht="16.5" x14ac:dyDescent="0.3">
      <c r="A85"/>
      <c r="B85"/>
      <c r="C8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BD85"/>
      <c r="BE85"/>
      <c r="BF85"/>
      <c r="BG85"/>
      <c r="BH85"/>
    </row>
    <row r="86" spans="1:60" ht="16.5" x14ac:dyDescent="0.3">
      <c r="A86"/>
      <c r="B86"/>
      <c r="C86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BD86"/>
      <c r="BE86"/>
      <c r="BF86"/>
      <c r="BG86"/>
      <c r="BH86"/>
    </row>
    <row r="87" spans="1:60" ht="16.5" x14ac:dyDescent="0.3">
      <c r="A87"/>
      <c r="B87"/>
      <c r="C87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60" ht="16.5" x14ac:dyDescent="0.3">
      <c r="A88"/>
      <c r="B88"/>
      <c r="C88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60" ht="16.5" x14ac:dyDescent="0.3">
      <c r="A89"/>
      <c r="B89"/>
      <c r="C89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8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dimension ref="A1:BE300"/>
  <sheetViews>
    <sheetView topLeftCell="C1" zoomScale="96" zoomScaleNormal="96" workbookViewId="0">
      <selection activeCell="J27" sqref="J27"/>
    </sheetView>
  </sheetViews>
  <sheetFormatPr defaultColWidth="9.140625" defaultRowHeight="15" x14ac:dyDescent="0.25"/>
  <cols>
    <col min="1" max="1" width="4.5703125" style="94" bestFit="1" customWidth="1"/>
    <col min="2" max="2" width="9.7109375" style="94" bestFit="1" customWidth="1"/>
    <col min="3" max="3" width="13" style="94" customWidth="1"/>
    <col min="4" max="4" width="8.7109375" style="94" customWidth="1"/>
    <col min="5" max="5" width="12.42578125" style="94" bestFit="1" customWidth="1"/>
    <col min="6" max="6" width="9.7109375" style="94" customWidth="1"/>
    <col min="7" max="7" width="9.140625" style="94"/>
    <col min="8" max="8" width="12.140625" style="94" bestFit="1" customWidth="1"/>
    <col min="9" max="9" width="13.85546875" style="94" bestFit="1" customWidth="1"/>
    <col min="10" max="10" width="12.42578125" style="94" bestFit="1" customWidth="1"/>
    <col min="11" max="11" width="12.140625" style="94" bestFit="1" customWidth="1"/>
    <col min="12" max="15" width="9.28515625" style="94" bestFit="1" customWidth="1"/>
    <col min="16" max="17" width="9.140625" style="94"/>
    <col min="18" max="18" width="9.28515625" style="94" bestFit="1" customWidth="1"/>
    <col min="19" max="29" width="9.140625" style="94"/>
    <col min="30" max="30" width="9.140625" style="94" customWidth="1"/>
    <col min="31" max="33" width="9.140625" style="94"/>
    <col min="34" max="34" width="9.28515625" bestFit="1" customWidth="1"/>
    <col min="35" max="35" width="14" customWidth="1"/>
    <col min="36" max="36" width="12.28515625" customWidth="1"/>
    <col min="37" max="37" width="10.140625" bestFit="1" customWidth="1"/>
    <col min="38" max="38" width="10.140625" customWidth="1"/>
    <col min="39" max="41" width="9.28515625" customWidth="1"/>
    <col min="42" max="42" width="9.28515625" bestFit="1" customWidth="1"/>
    <col min="43" max="43" width="12.28515625" bestFit="1" customWidth="1"/>
    <col min="53" max="16384" width="9.140625" style="94"/>
  </cols>
  <sheetData>
    <row r="1" spans="1:57" ht="15.75" thickBot="1" x14ac:dyDescent="0.3">
      <c r="G1" s="166" t="s">
        <v>65</v>
      </c>
      <c r="H1" s="167">
        <v>1</v>
      </c>
      <c r="I1" s="166" t="s">
        <v>136</v>
      </c>
      <c r="J1" s="12">
        <v>0.31904520104151834</v>
      </c>
    </row>
    <row r="2" spans="1:57" customFormat="1" ht="17.25" thickBot="1" x14ac:dyDescent="0.35">
      <c r="A2" s="98" t="s">
        <v>4</v>
      </c>
      <c r="B2" s="100" t="s">
        <v>137</v>
      </c>
      <c r="C2" s="127" t="s">
        <v>73</v>
      </c>
      <c r="D2" s="127" t="s">
        <v>19</v>
      </c>
      <c r="E2" s="1" t="s">
        <v>127</v>
      </c>
      <c r="F2" s="1" t="s">
        <v>130</v>
      </c>
      <c r="G2" s="1" t="s">
        <v>132</v>
      </c>
      <c r="H2" s="94"/>
      <c r="I2" s="94"/>
      <c r="J2" s="94"/>
    </row>
    <row r="3" spans="1:57" customFormat="1" x14ac:dyDescent="0.25">
      <c r="A3" s="94">
        <v>0</v>
      </c>
      <c r="B3" s="94"/>
      <c r="C3" s="169">
        <f>INTERCEPT($B$4:$B$31,$A$4:$A$31)</f>
        <v>23.166666666666675</v>
      </c>
      <c r="D3" s="169">
        <f>SLOPE($B$4:$B$31,$A$4:$A$31)</f>
        <v>1.9466338259441704</v>
      </c>
      <c r="E3" s="127"/>
      <c r="F3" s="127"/>
      <c r="G3" s="127"/>
      <c r="H3" s="94"/>
      <c r="I3" s="1"/>
      <c r="Z3" s="94"/>
      <c r="AA3" s="94"/>
      <c r="AB3" s="94"/>
      <c r="AC3" s="94"/>
      <c r="AD3" s="94"/>
      <c r="AE3" s="94"/>
      <c r="AF3" s="94"/>
      <c r="AG3" s="94"/>
      <c r="BA3" s="94"/>
      <c r="BB3" s="94"/>
      <c r="BC3" s="94"/>
      <c r="BD3" s="94"/>
      <c r="BE3" s="94"/>
    </row>
    <row r="4" spans="1:57" customFormat="1" ht="16.5" x14ac:dyDescent="0.3">
      <c r="A4" s="165">
        <v>1</v>
      </c>
      <c r="B4" s="110">
        <v>25</v>
      </c>
      <c r="C4" s="170">
        <f>$H$1*B4+(1-$H$1)*E4</f>
        <v>25</v>
      </c>
      <c r="D4" s="170">
        <f>(1-$J$1)*D3+$J$1*(C4-C3)</f>
        <v>1.9104858475010404</v>
      </c>
      <c r="E4" s="169">
        <f>C3+D3</f>
        <v>25.113300492610847</v>
      </c>
      <c r="F4" s="163">
        <f>(B4-E4)^2</f>
        <v>1.2837001625860586E-2</v>
      </c>
      <c r="G4" s="163">
        <f>AVERAGE(F$4:F4)</f>
        <v>1.2837001625860586E-2</v>
      </c>
      <c r="H4" s="94"/>
      <c r="I4" s="163"/>
      <c r="J4" s="94"/>
      <c r="K4" s="94"/>
      <c r="M4">
        <v>0.9</v>
      </c>
      <c r="Z4" s="94"/>
      <c r="AA4" s="94"/>
      <c r="AB4" s="94"/>
      <c r="AC4" s="94"/>
      <c r="AD4" s="94"/>
      <c r="AE4" s="94"/>
      <c r="AF4" s="94"/>
      <c r="AG4" s="94"/>
      <c r="BA4" s="94"/>
      <c r="BB4" s="94"/>
      <c r="BC4" s="94"/>
      <c r="BD4" s="94"/>
      <c r="BE4" s="94"/>
    </row>
    <row r="5" spans="1:57" customFormat="1" ht="16.5" x14ac:dyDescent="0.3">
      <c r="A5" s="165">
        <v>2</v>
      </c>
      <c r="B5" s="110">
        <v>28</v>
      </c>
      <c r="C5" s="170">
        <f t="shared" ref="C5:C31" si="0">$H$1*B5+(1-$H$1)*E5</f>
        <v>28</v>
      </c>
      <c r="D5" s="170">
        <f t="shared" ref="D5:D31" si="1">(1-$J$1)*D4+$J$1*(C5-C4)</f>
        <v>2.2580901093226506</v>
      </c>
      <c r="E5" s="169">
        <f t="shared" ref="E5:E31" si="2">C4+D4</f>
        <v>26.91048584750104</v>
      </c>
      <c r="F5" s="163">
        <f>(B5-E5)^2</f>
        <v>1.187041088495528</v>
      </c>
      <c r="G5" s="163">
        <f>AVERAGE(F$4:F5)</f>
        <v>0.59993904506069429</v>
      </c>
      <c r="H5" s="94"/>
      <c r="I5" s="163"/>
      <c r="J5" s="94"/>
      <c r="K5" s="94"/>
      <c r="M5">
        <v>0.01</v>
      </c>
      <c r="Z5" s="94"/>
      <c r="AA5" s="94"/>
      <c r="AB5" s="94"/>
      <c r="AC5" s="94"/>
      <c r="AD5" s="94"/>
      <c r="AE5" s="94"/>
      <c r="AF5" s="94"/>
      <c r="AG5" s="94"/>
      <c r="BA5" s="94"/>
      <c r="BB5" s="94"/>
      <c r="BC5" s="94"/>
      <c r="BD5" s="94"/>
      <c r="BE5" s="94"/>
    </row>
    <row r="6" spans="1:57" customFormat="1" ht="16.5" x14ac:dyDescent="0.3">
      <c r="A6" s="165">
        <v>3</v>
      </c>
      <c r="B6" s="110">
        <v>31</v>
      </c>
      <c r="C6" s="170">
        <f t="shared" si="0"/>
        <v>31</v>
      </c>
      <c r="D6" s="170">
        <f t="shared" si="1"/>
        <v>2.4947928995484965</v>
      </c>
      <c r="E6" s="169">
        <f t="shared" si="2"/>
        <v>30.258090109322652</v>
      </c>
      <c r="F6" s="163">
        <f>(B6-E6)^2</f>
        <v>0.55043028588487519</v>
      </c>
      <c r="G6" s="163">
        <f>AVERAGE(F$4:F6)</f>
        <v>0.58343612533542133</v>
      </c>
      <c r="H6" s="94"/>
      <c r="I6" s="163"/>
      <c r="J6" s="94"/>
      <c r="K6" s="94">
        <v>0.2</v>
      </c>
      <c r="L6">
        <v>0.02</v>
      </c>
      <c r="M6" s="162">
        <f>G31</f>
        <v>4.5087648946540781</v>
      </c>
      <c r="N6">
        <f>K6</f>
        <v>0.2</v>
      </c>
      <c r="O6">
        <f>N6+$L$6</f>
        <v>0.22</v>
      </c>
      <c r="P6">
        <f t="shared" ref="P6:X6" si="3">O6+$L$6</f>
        <v>0.24</v>
      </c>
      <c r="Q6">
        <f t="shared" si="3"/>
        <v>0.26</v>
      </c>
      <c r="R6">
        <f t="shared" si="3"/>
        <v>0.28000000000000003</v>
      </c>
      <c r="S6">
        <f t="shared" si="3"/>
        <v>0.30000000000000004</v>
      </c>
      <c r="T6">
        <f t="shared" si="3"/>
        <v>0.32000000000000006</v>
      </c>
      <c r="U6">
        <f t="shared" si="3"/>
        <v>0.34000000000000008</v>
      </c>
      <c r="V6">
        <f>U6+$L$6</f>
        <v>0.3600000000000001</v>
      </c>
      <c r="W6">
        <f t="shared" si="3"/>
        <v>0.38000000000000012</v>
      </c>
      <c r="X6">
        <f t="shared" si="3"/>
        <v>0.40000000000000013</v>
      </c>
      <c r="Z6" s="94"/>
      <c r="AA6" s="94"/>
      <c r="AB6" s="94"/>
      <c r="AC6" s="94"/>
      <c r="AD6" s="94"/>
      <c r="AE6" s="94"/>
      <c r="AF6" s="94"/>
      <c r="AG6" s="94"/>
      <c r="BA6" s="94"/>
      <c r="BB6" s="94"/>
      <c r="BC6" s="94"/>
      <c r="BD6" s="94"/>
      <c r="BE6" s="94"/>
    </row>
    <row r="7" spans="1:57" customFormat="1" ht="16.5" x14ac:dyDescent="0.3">
      <c r="A7" s="165">
        <v>4</v>
      </c>
      <c r="B7" s="110">
        <v>33</v>
      </c>
      <c r="C7" s="170">
        <f t="shared" si="0"/>
        <v>33</v>
      </c>
      <c r="D7" s="170">
        <f t="shared" si="1"/>
        <v>2.3369315994381306</v>
      </c>
      <c r="E7" s="169">
        <f t="shared" si="2"/>
        <v>33.4947928995485</v>
      </c>
      <c r="F7" s="163">
        <f>(B7-E7)^2</f>
        <v>0.24482001344361204</v>
      </c>
      <c r="G7" s="163">
        <f>AVERAGE(F$4:F7)</f>
        <v>0.49878209736246898</v>
      </c>
      <c r="H7" s="94"/>
      <c r="I7" s="163"/>
      <c r="J7" s="94"/>
      <c r="K7" s="94"/>
      <c r="M7">
        <f>M4</f>
        <v>0.9</v>
      </c>
      <c r="N7">
        <f t="dataTable" ref="N7:X17" dt2D="1" dtr="1" r1="J1" r2="H1"/>
        <v>4.7543617740243871</v>
      </c>
      <c r="O7">
        <v>4.7206660657974089</v>
      </c>
      <c r="P7">
        <v>4.6921311112603021</v>
      </c>
      <c r="Q7">
        <v>4.6682610995269238</v>
      </c>
      <c r="R7">
        <v>4.6485143698360636</v>
      </c>
      <c r="S7">
        <v>4.6323558239312552</v>
      </c>
      <c r="T7">
        <v>4.6192891100964895</v>
      </c>
      <c r="U7">
        <v>4.608874361334558</v>
      </c>
      <c r="V7">
        <v>4.6007360654525788</v>
      </c>
      <c r="W7">
        <v>4.5945644889128578</v>
      </c>
      <c r="X7">
        <v>4.5901131034014941</v>
      </c>
      <c r="Z7" s="94"/>
      <c r="AA7" s="94"/>
      <c r="AB7" s="94"/>
      <c r="AC7" s="94"/>
      <c r="AD7" s="94"/>
      <c r="AE7" s="94"/>
      <c r="AF7" s="94"/>
      <c r="AG7" s="94"/>
      <c r="BA7" s="94"/>
      <c r="BB7" s="94"/>
      <c r="BC7" s="94"/>
      <c r="BD7" s="94"/>
      <c r="BE7" s="94"/>
    </row>
    <row r="8" spans="1:57" customFormat="1" ht="16.5" x14ac:dyDescent="0.3">
      <c r="A8" s="165">
        <v>5</v>
      </c>
      <c r="B8" s="110">
        <v>35</v>
      </c>
      <c r="C8" s="170">
        <f t="shared" si="0"/>
        <v>35</v>
      </c>
      <c r="D8" s="170">
        <f t="shared" si="1"/>
        <v>2.2294351895581519</v>
      </c>
      <c r="E8" s="169">
        <f t="shared" si="2"/>
        <v>35.336931599438131</v>
      </c>
      <c r="F8" s="163">
        <f>(B8-E8)^2</f>
        <v>0.11352290269993716</v>
      </c>
      <c r="G8" s="163">
        <f>AVERAGE(F$4:F8)</f>
        <v>0.42173025842996265</v>
      </c>
      <c r="H8" s="94"/>
      <c r="I8" s="163"/>
      <c r="J8" s="94"/>
      <c r="K8" s="94"/>
      <c r="M8">
        <f>M7+$M$5</f>
        <v>0.91</v>
      </c>
      <c r="N8">
        <v>4.7321035492141252</v>
      </c>
      <c r="O8">
        <v>4.699473079399092</v>
      </c>
      <c r="P8">
        <v>4.6719504280901827</v>
      </c>
      <c r="Q8">
        <v>4.6490481300200637</v>
      </c>
      <c r="R8">
        <v>4.6302366497459886</v>
      </c>
      <c r="S8">
        <v>4.6149950880150294</v>
      </c>
      <c r="T8">
        <v>4.6028421118198741</v>
      </c>
      <c r="U8">
        <v>4.5933528111107744</v>
      </c>
      <c r="V8">
        <v>4.5861659766279548</v>
      </c>
      <c r="W8">
        <v>4.580985146817631</v>
      </c>
      <c r="X8">
        <v>4.5775758131374849</v>
      </c>
      <c r="Z8" s="94"/>
      <c r="AA8" s="94"/>
      <c r="AB8" s="94"/>
      <c r="AC8" s="94"/>
      <c r="AD8" s="94"/>
      <c r="AE8" s="94"/>
      <c r="AF8" s="94"/>
      <c r="AG8" s="94"/>
      <c r="BA8" s="94"/>
      <c r="BB8" s="94"/>
      <c r="BC8" s="94"/>
      <c r="BD8" s="94"/>
      <c r="BE8" s="94"/>
    </row>
    <row r="9" spans="1:57" customFormat="1" ht="16.5" x14ac:dyDescent="0.3">
      <c r="A9" s="165">
        <v>6</v>
      </c>
      <c r="B9" s="110">
        <v>39</v>
      </c>
      <c r="C9" s="170">
        <f t="shared" si="0"/>
        <v>39</v>
      </c>
      <c r="D9" s="170">
        <f t="shared" si="1"/>
        <v>2.7943253954626091</v>
      </c>
      <c r="E9" s="169">
        <f t="shared" si="2"/>
        <v>37.229435189558153</v>
      </c>
      <c r="F9" s="163">
        <f>(B9-E9)^2</f>
        <v>3.1348997479749743</v>
      </c>
      <c r="G9" s="163">
        <f>AVERAGE(F$4:F9)</f>
        <v>0.87392517335413122</v>
      </c>
      <c r="H9" s="94"/>
      <c r="I9" s="163"/>
      <c r="J9" s="94"/>
      <c r="K9" s="94"/>
      <c r="M9">
        <f t="shared" ref="M9:M17" si="4">M8+$M$5</f>
        <v>0.92</v>
      </c>
      <c r="N9">
        <v>4.7107518712957281</v>
      </c>
      <c r="O9">
        <v>4.6792115481346723</v>
      </c>
      <c r="P9">
        <v>4.6527315484342306</v>
      </c>
      <c r="Q9">
        <v>4.6308329599284761</v>
      </c>
      <c r="R9">
        <v>4.6129983573674824</v>
      </c>
      <c r="S9">
        <v>4.5987208629482144</v>
      </c>
      <c r="T9">
        <v>4.587533872738077</v>
      </c>
      <c r="U9">
        <v>4.5790270724534547</v>
      </c>
      <c r="V9">
        <v>4.572853155060554</v>
      </c>
      <c r="W9">
        <v>4.5687285160368427</v>
      </c>
      <c r="X9">
        <v>4.5664302576564699</v>
      </c>
      <c r="Z9" s="94"/>
      <c r="AA9" s="94"/>
      <c r="AB9" s="94"/>
      <c r="AC9" s="94"/>
      <c r="AD9" s="94"/>
      <c r="AE9" s="94"/>
      <c r="AF9" s="94"/>
      <c r="AG9" s="94"/>
      <c r="BA9" s="94"/>
      <c r="BB9" s="94"/>
      <c r="BC9" s="94"/>
      <c r="BD9" s="94"/>
      <c r="BE9" s="94"/>
    </row>
    <row r="10" spans="1:57" customFormat="1" ht="16.5" x14ac:dyDescent="0.3">
      <c r="A10" s="165">
        <v>7</v>
      </c>
      <c r="B10" s="110">
        <v>39</v>
      </c>
      <c r="C10" s="170">
        <f t="shared" si="0"/>
        <v>39</v>
      </c>
      <c r="D10" s="170">
        <f t="shared" si="1"/>
        <v>1.9028092878918208</v>
      </c>
      <c r="E10" s="169">
        <f t="shared" si="2"/>
        <v>41.794325395462607</v>
      </c>
      <c r="F10" s="163">
        <f>(B10-E10)^2</f>
        <v>7.8082544157272569</v>
      </c>
      <c r="G10" s="163">
        <f>AVERAGE(F$4:F10)</f>
        <v>1.8645436365502921</v>
      </c>
      <c r="H10" s="94"/>
      <c r="I10" s="163"/>
      <c r="J10" s="94"/>
      <c r="K10" s="94"/>
      <c r="M10">
        <f t="shared" si="4"/>
        <v>0.93</v>
      </c>
      <c r="N10">
        <v>4.6903175313929593</v>
      </c>
      <c r="O10">
        <v>4.6598943066814273</v>
      </c>
      <c r="P10">
        <v>4.6344892593991576</v>
      </c>
      <c r="Q10">
        <v>4.6136322110550854</v>
      </c>
      <c r="R10">
        <v>4.5968178183404502</v>
      </c>
      <c r="S10">
        <v>4.583553045835191</v>
      </c>
      <c r="T10">
        <v>4.5733857374465385</v>
      </c>
      <c r="U10">
        <v>4.5659198303772985</v>
      </c>
      <c r="V10">
        <v>4.560821543393927</v>
      </c>
      <c r="W10">
        <v>4.5578197448078663</v>
      </c>
      <c r="X10">
        <v>4.55670277520339</v>
      </c>
      <c r="Z10" s="94"/>
      <c r="AA10" s="94"/>
      <c r="AB10" s="94"/>
      <c r="AC10" s="94"/>
      <c r="AD10" s="94"/>
      <c r="AE10" s="94"/>
      <c r="AF10" s="94"/>
      <c r="AG10" s="94"/>
      <c r="BA10" s="94"/>
      <c r="BB10" s="94"/>
      <c r="BC10" s="94"/>
      <c r="BD10" s="94"/>
      <c r="BE10" s="94"/>
    </row>
    <row r="11" spans="1:57" customFormat="1" ht="16.5" x14ac:dyDescent="0.3">
      <c r="A11" s="165">
        <v>8</v>
      </c>
      <c r="B11" s="110">
        <v>40</v>
      </c>
      <c r="C11" s="170">
        <f t="shared" si="0"/>
        <v>40</v>
      </c>
      <c r="D11" s="170">
        <f t="shared" si="1"/>
        <v>1.6147723171342248</v>
      </c>
      <c r="E11" s="169">
        <f t="shared" si="2"/>
        <v>40.90280928789182</v>
      </c>
      <c r="F11" s="163">
        <f>(B11-E11)^2</f>
        <v>0.81506461030373534</v>
      </c>
      <c r="G11" s="163">
        <f>AVERAGE(F$4:F11)</f>
        <v>1.7333587582694725</v>
      </c>
      <c r="H11" s="94"/>
      <c r="I11" s="163"/>
      <c r="J11" s="94"/>
      <c r="K11" s="94"/>
      <c r="M11">
        <f t="shared" si="4"/>
        <v>0.94000000000000006</v>
      </c>
      <c r="N11">
        <v>4.6708119315969281</v>
      </c>
      <c r="O11">
        <v>4.6415347637701885</v>
      </c>
      <c r="P11">
        <v>4.6172388951755545</v>
      </c>
      <c r="Q11">
        <v>4.5974630393139666</v>
      </c>
      <c r="R11">
        <v>4.5817138969406681</v>
      </c>
      <c r="S11">
        <v>4.5695120974314447</v>
      </c>
      <c r="T11">
        <v>4.5604196622248194</v>
      </c>
      <c r="U11">
        <v>4.5540544547145201</v>
      </c>
      <c r="V11">
        <v>4.5500958689571274</v>
      </c>
      <c r="W11">
        <v>4.5482848938180327</v>
      </c>
      <c r="X11">
        <v>4.5484207727853221</v>
      </c>
      <c r="Z11" s="94"/>
      <c r="AA11" s="94"/>
      <c r="AB11" s="94"/>
      <c r="AC11" s="94"/>
      <c r="AD11" s="94"/>
      <c r="AE11" s="94"/>
      <c r="AF11" s="94"/>
      <c r="AG11" s="94"/>
      <c r="BA11" s="94"/>
      <c r="BB11" s="94"/>
      <c r="BC11" s="94"/>
      <c r="BD11" s="94"/>
      <c r="BE11" s="94"/>
    </row>
    <row r="12" spans="1:57" customFormat="1" ht="16.5" x14ac:dyDescent="0.3">
      <c r="A12" s="165">
        <v>9</v>
      </c>
      <c r="B12" s="110">
        <v>41</v>
      </c>
      <c r="C12" s="170">
        <f t="shared" si="0"/>
        <v>41</v>
      </c>
      <c r="D12" s="170">
        <f t="shared" si="1"/>
        <v>1.4186321596193761</v>
      </c>
      <c r="E12" s="169">
        <f t="shared" si="2"/>
        <v>41.614772317134225</v>
      </c>
      <c r="F12" s="163">
        <f>(B12-E12)^2</f>
        <v>0.37794500191458408</v>
      </c>
      <c r="G12" s="163">
        <f>AVERAGE(F$4:F12)</f>
        <v>1.5827572297855961</v>
      </c>
      <c r="H12" s="94"/>
      <c r="I12" s="163"/>
      <c r="J12" s="94"/>
      <c r="K12" s="94"/>
      <c r="M12">
        <f t="shared" si="4"/>
        <v>0.95000000000000007</v>
      </c>
      <c r="N12">
        <v>4.6522470925240498</v>
      </c>
      <c r="O12">
        <v>4.6241469193586378</v>
      </c>
      <c r="P12">
        <v>4.6009963643059786</v>
      </c>
      <c r="Q12">
        <v>4.5823431722657437</v>
      </c>
      <c r="R12">
        <v>4.5677060437518495</v>
      </c>
      <c r="S12">
        <v>4.5566190995175599</v>
      </c>
      <c r="T12">
        <v>4.5486582813665128</v>
      </c>
      <c r="U12">
        <v>4.5434550743337505</v>
      </c>
      <c r="V12">
        <v>4.5407017244760572</v>
      </c>
      <c r="W12">
        <v>4.5401510216762189</v>
      </c>
      <c r="X12">
        <v>4.5416128143377792</v>
      </c>
      <c r="Z12" s="94"/>
      <c r="AA12" s="94"/>
      <c r="AB12" s="94"/>
      <c r="AC12" s="94"/>
      <c r="AD12" s="94"/>
      <c r="AE12" s="94"/>
      <c r="AF12" s="94"/>
      <c r="AG12" s="94"/>
      <c r="BA12" s="94"/>
      <c r="BB12" s="94"/>
      <c r="BC12" s="94"/>
      <c r="BD12" s="94"/>
      <c r="BE12" s="94"/>
    </row>
    <row r="13" spans="1:57" customFormat="1" ht="16.5" x14ac:dyDescent="0.3">
      <c r="A13" s="165">
        <v>10</v>
      </c>
      <c r="B13" s="110">
        <v>42</v>
      </c>
      <c r="C13" s="170">
        <f t="shared" si="0"/>
        <v>42</v>
      </c>
      <c r="D13" s="170">
        <f t="shared" si="1"/>
        <v>1.2850695780911672</v>
      </c>
      <c r="E13" s="169">
        <f t="shared" si="2"/>
        <v>42.418632159619378</v>
      </c>
      <c r="F13" s="163">
        <f>(B13-E13)^2</f>
        <v>0.17525288506758424</v>
      </c>
      <c r="G13" s="163">
        <f>AVERAGE(F$4:F13)</f>
        <v>1.4420067953137949</v>
      </c>
      <c r="H13" s="94"/>
      <c r="I13" s="163"/>
      <c r="J13" s="94"/>
      <c r="K13" s="94"/>
      <c r="M13">
        <f t="shared" si="4"/>
        <v>0.96000000000000008</v>
      </c>
      <c r="N13">
        <v>4.634635661241381</v>
      </c>
      <c r="O13">
        <v>4.6077453812712692</v>
      </c>
      <c r="P13">
        <v>4.5857781753668103</v>
      </c>
      <c r="Q13">
        <v>4.5682909438698349</v>
      </c>
      <c r="R13">
        <v>4.5548143392215064</v>
      </c>
      <c r="S13">
        <v>4.5448958066962302</v>
      </c>
      <c r="T13">
        <v>4.5381249663559027</v>
      </c>
      <c r="U13">
        <v>4.5341466425295609</v>
      </c>
      <c r="V13">
        <v>4.5326656381985844</v>
      </c>
      <c r="W13">
        <v>4.533446257986065</v>
      </c>
      <c r="X13">
        <v>4.5363086946544549</v>
      </c>
      <c r="Z13" s="94"/>
      <c r="AA13" s="94"/>
      <c r="AB13" s="94"/>
      <c r="AC13" s="94"/>
      <c r="AD13" s="94"/>
      <c r="AE13" s="94"/>
      <c r="AF13" s="94"/>
      <c r="AG13" s="94"/>
      <c r="BA13" s="94"/>
      <c r="BB13" s="94"/>
      <c r="BC13" s="94"/>
      <c r="BD13" s="94"/>
      <c r="BE13" s="94"/>
    </row>
    <row r="14" spans="1:57" customFormat="1" ht="16.5" x14ac:dyDescent="0.3">
      <c r="A14" s="165">
        <v>11</v>
      </c>
      <c r="B14" s="110">
        <v>44</v>
      </c>
      <c r="C14" s="170">
        <f t="shared" si="0"/>
        <v>44</v>
      </c>
      <c r="D14" s="170">
        <f t="shared" si="1"/>
        <v>1.5131646982797684</v>
      </c>
      <c r="E14" s="169">
        <f t="shared" si="2"/>
        <v>43.285069578091168</v>
      </c>
      <c r="F14" s="163">
        <f>(B14-E14)^2</f>
        <v>0.51112550817074076</v>
      </c>
      <c r="G14" s="163">
        <f>AVERAGE(F$4:F14)</f>
        <v>1.3573812237553353</v>
      </c>
      <c r="H14" s="94"/>
      <c r="I14" s="163"/>
      <c r="J14" s="94"/>
      <c r="K14" s="94"/>
      <c r="M14">
        <f t="shared" si="4"/>
        <v>0.97000000000000008</v>
      </c>
      <c r="N14">
        <v>4.6179909190808663</v>
      </c>
      <c r="O14">
        <v>4.5923453808446997</v>
      </c>
      <c r="P14">
        <v>4.571601460633163</v>
      </c>
      <c r="Q14">
        <v>4.5553253260667699</v>
      </c>
      <c r="R14">
        <v>4.5430595327722099</v>
      </c>
      <c r="S14">
        <v>4.5343646923590715</v>
      </c>
      <c r="T14">
        <v>4.5288438777297149</v>
      </c>
      <c r="U14">
        <v>4.5261549935291709</v>
      </c>
      <c r="V14">
        <v>4.5260151335059389</v>
      </c>
      <c r="W14">
        <v>4.5281998642347778</v>
      </c>
      <c r="X14">
        <v>4.5325394994503378</v>
      </c>
      <c r="Z14" s="94"/>
      <c r="AA14" s="94"/>
      <c r="AB14" s="94"/>
      <c r="AC14" s="94"/>
      <c r="AD14" s="94"/>
      <c r="AE14" s="94"/>
      <c r="AF14" s="94"/>
      <c r="AG14" s="94"/>
      <c r="BA14" s="94"/>
      <c r="BB14" s="94"/>
      <c r="BC14" s="94"/>
      <c r="BD14" s="94"/>
      <c r="BE14" s="94"/>
    </row>
    <row r="15" spans="1:57" customFormat="1" ht="16.5" x14ac:dyDescent="0.3">
      <c r="A15" s="165">
        <v>12</v>
      </c>
      <c r="B15" s="110">
        <v>46</v>
      </c>
      <c r="C15" s="170">
        <f t="shared" si="0"/>
        <v>46</v>
      </c>
      <c r="D15" s="170">
        <f t="shared" si="1"/>
        <v>1.6684871649912079</v>
      </c>
      <c r="E15" s="169">
        <f t="shared" si="2"/>
        <v>45.513164698279766</v>
      </c>
      <c r="F15" s="163">
        <f>(B15-E15)^2</f>
        <v>0.2370086110010311</v>
      </c>
      <c r="G15" s="163">
        <f>AVERAGE(F$4:F15)</f>
        <v>1.2640168393591433</v>
      </c>
      <c r="H15" s="94"/>
      <c r="I15" s="163"/>
      <c r="J15" s="94"/>
      <c r="K15" s="94"/>
      <c r="M15">
        <f t="shared" si="4"/>
        <v>0.98000000000000009</v>
      </c>
      <c r="N15">
        <v>4.6023267889242581</v>
      </c>
      <c r="O15">
        <v>4.577962787180418</v>
      </c>
      <c r="P15">
        <v>4.5584839973611704</v>
      </c>
      <c r="Q15">
        <v>4.5434659568698939</v>
      </c>
      <c r="R15">
        <v>4.532463077205807</v>
      </c>
      <c r="S15">
        <v>4.5250489886319789</v>
      </c>
      <c r="T15">
        <v>4.5208400095185697</v>
      </c>
      <c r="U15">
        <v>4.5195068901111322</v>
      </c>
      <c r="V15">
        <v>4.520778778118518</v>
      </c>
      <c r="W15">
        <v>4.5244422827315223</v>
      </c>
      <c r="X15">
        <v>4.5303376519264686</v>
      </c>
      <c r="Z15" s="94"/>
      <c r="AA15" s="94"/>
      <c r="AB15" s="94"/>
      <c r="AC15" s="94"/>
      <c r="AD15" s="94"/>
      <c r="AE15" s="94"/>
      <c r="AF15" s="94"/>
      <c r="AG15" s="94"/>
      <c r="BA15" s="94"/>
      <c r="BB15" s="94"/>
      <c r="BC15" s="94"/>
      <c r="BD15" s="94"/>
      <c r="BE15" s="94"/>
    </row>
    <row r="16" spans="1:57" customFormat="1" ht="16.5" x14ac:dyDescent="0.3">
      <c r="A16" s="165">
        <v>13</v>
      </c>
      <c r="B16" s="110">
        <v>47</v>
      </c>
      <c r="C16" s="170">
        <f t="shared" si="0"/>
        <v>47</v>
      </c>
      <c r="D16" s="170">
        <f t="shared" si="1"/>
        <v>1.4552095430429133</v>
      </c>
      <c r="E16" s="169">
        <f t="shared" si="2"/>
        <v>47.668487164991205</v>
      </c>
      <c r="F16" s="163">
        <f>(B16-E16)^2</f>
        <v>0.44687508975797907</v>
      </c>
      <c r="G16" s="163">
        <f>AVERAGE(F$4:F16)</f>
        <v>1.2011597816975152</v>
      </c>
      <c r="H16" s="94"/>
      <c r="I16" s="163"/>
      <c r="J16" s="94"/>
      <c r="K16" s="94"/>
      <c r="M16">
        <f t="shared" si="4"/>
        <v>0.9900000000000001</v>
      </c>
      <c r="N16">
        <v>4.5876578415923452</v>
      </c>
      <c r="O16">
        <v>4.5646141196602423</v>
      </c>
      <c r="P16">
        <v>4.5464442263753932</v>
      </c>
      <c r="Q16">
        <v>4.532733164698123</v>
      </c>
      <c r="R16">
        <v>4.5230471581875973</v>
      </c>
      <c r="S16">
        <v>4.5169727201534053</v>
      </c>
      <c r="T16">
        <v>4.5141392262012277</v>
      </c>
      <c r="U16">
        <v>4.5142300623589033</v>
      </c>
      <c r="V16">
        <v>4.5169862230182494</v>
      </c>
      <c r="W16">
        <v>4.5222051738233953</v>
      </c>
      <c r="X16">
        <v>4.5297369461743688</v>
      </c>
      <c r="Z16" s="94"/>
      <c r="AA16" s="94"/>
      <c r="AB16" s="94"/>
      <c r="AC16" s="94"/>
      <c r="AD16" s="94"/>
      <c r="AE16" s="94"/>
      <c r="AF16" s="94"/>
      <c r="AG16" s="94"/>
      <c r="BA16" s="94"/>
      <c r="BB16" s="94"/>
      <c r="BC16" s="94"/>
      <c r="BD16" s="94"/>
      <c r="BE16" s="94"/>
    </row>
    <row r="17" spans="1:57" customFormat="1" ht="16.5" x14ac:dyDescent="0.3">
      <c r="A17" s="165">
        <v>14</v>
      </c>
      <c r="B17" s="110">
        <v>48</v>
      </c>
      <c r="C17" s="170">
        <f t="shared" si="0"/>
        <v>48</v>
      </c>
      <c r="D17" s="170">
        <f t="shared" si="1"/>
        <v>1.3099771228667692</v>
      </c>
      <c r="E17" s="169">
        <f t="shared" si="2"/>
        <v>48.455209543042912</v>
      </c>
      <c r="F17" s="163">
        <f>(B17-E17)^2</f>
        <v>0.20721572807733671</v>
      </c>
      <c r="G17" s="163">
        <f>AVERAGE(F$4:F17)</f>
        <v>1.1301637778675027</v>
      </c>
      <c r="H17" s="94"/>
      <c r="I17" s="163"/>
      <c r="J17" s="94"/>
      <c r="K17" s="94"/>
      <c r="L17" s="11"/>
      <c r="M17">
        <f t="shared" si="4"/>
        <v>1</v>
      </c>
      <c r="N17">
        <v>4.5739993010157463</v>
      </c>
      <c r="O17" s="11">
        <v>4.5523165584240006</v>
      </c>
      <c r="P17" s="11">
        <v>4.535501267693097</v>
      </c>
      <c r="Q17" s="11">
        <v>4.5231479887227719</v>
      </c>
      <c r="R17" s="11">
        <v>4.5148347186346456</v>
      </c>
      <c r="S17" s="11">
        <v>4.5101607315706165</v>
      </c>
      <c r="T17" s="11">
        <v>4.508768292125974</v>
      </c>
      <c r="U17" s="11">
        <v>4.5103532375802891</v>
      </c>
      <c r="V17" s="11">
        <v>4.5146682312010915</v>
      </c>
      <c r="W17" s="11">
        <v>4.5215214415879847</v>
      </c>
      <c r="X17" s="11">
        <v>4.5307725677024653</v>
      </c>
      <c r="Y17" s="11"/>
      <c r="Z17" s="102"/>
      <c r="AA17" s="102"/>
      <c r="AB17" s="102"/>
      <c r="AC17" s="102"/>
      <c r="AD17" s="102"/>
      <c r="AE17" s="102"/>
      <c r="AF17" s="102"/>
      <c r="AG17" s="102"/>
      <c r="AH17" s="11"/>
      <c r="AI17" s="11"/>
      <c r="AJ17" s="11"/>
      <c r="AK17" s="11"/>
      <c r="AL17" s="11"/>
      <c r="AM17" s="11"/>
      <c r="AN17" s="11"/>
      <c r="BA17" s="94"/>
      <c r="BB17" s="94"/>
      <c r="BC17" s="94"/>
      <c r="BD17" s="94"/>
      <c r="BE17" s="94"/>
    </row>
    <row r="18" spans="1:57" ht="16.5" x14ac:dyDescent="0.3">
      <c r="A18" s="165">
        <v>15</v>
      </c>
      <c r="B18" s="110">
        <v>50</v>
      </c>
      <c r="C18" s="170">
        <f t="shared" si="0"/>
        <v>50</v>
      </c>
      <c r="D18" s="170">
        <f t="shared" si="1"/>
        <v>1.5301256104249878</v>
      </c>
      <c r="E18" s="169">
        <f t="shared" si="2"/>
        <v>49.309977122866769</v>
      </c>
      <c r="F18" s="163">
        <f>(B18-E18)^2</f>
        <v>0.47613157096722181</v>
      </c>
      <c r="G18" s="163">
        <f>AVERAGE(F$4:F18)</f>
        <v>1.0865616307408172</v>
      </c>
      <c r="I18" s="163"/>
      <c r="L18" s="102"/>
      <c r="M18"/>
      <c r="N18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>
        <f>MIN(N7:X17)</f>
        <v>4.508768292125974</v>
      </c>
      <c r="Z18" s="102"/>
      <c r="AA18" s="102"/>
      <c r="AB18" s="102"/>
      <c r="AC18" s="102"/>
      <c r="AD18" s="102"/>
      <c r="AE18" s="102"/>
      <c r="AF18" s="102"/>
      <c r="AG18" s="102"/>
      <c r="AH18" s="11"/>
      <c r="AI18" s="11"/>
      <c r="AJ18" s="11"/>
      <c r="AK18" s="11"/>
      <c r="AL18" s="11"/>
      <c r="AM18" s="11"/>
      <c r="AN18" s="11"/>
    </row>
    <row r="19" spans="1:57" ht="16.5" x14ac:dyDescent="0.3">
      <c r="A19" s="165">
        <v>16</v>
      </c>
      <c r="B19" s="110">
        <v>51</v>
      </c>
      <c r="C19" s="170">
        <f t="shared" si="0"/>
        <v>51</v>
      </c>
      <c r="D19" s="170">
        <f t="shared" si="1"/>
        <v>1.36099157846969</v>
      </c>
      <c r="E19" s="169">
        <f t="shared" si="2"/>
        <v>51.530125610424989</v>
      </c>
      <c r="F19" s="163">
        <f>(B19-E19)^2</f>
        <v>0.28103316282846691</v>
      </c>
      <c r="G19" s="163">
        <f>AVERAGE(F$4:F19)</f>
        <v>1.0362161014962954</v>
      </c>
      <c r="I19" s="163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1"/>
      <c r="AI19" s="11"/>
      <c r="AJ19" s="11"/>
      <c r="AK19" s="11"/>
      <c r="AL19" s="11"/>
      <c r="AM19" s="11"/>
      <c r="AN19" s="11"/>
    </row>
    <row r="20" spans="1:57" ht="16.5" x14ac:dyDescent="0.3">
      <c r="A20" s="165">
        <v>17</v>
      </c>
      <c r="B20" s="110">
        <v>51</v>
      </c>
      <c r="C20" s="170">
        <f t="shared" si="0"/>
        <v>51</v>
      </c>
      <c r="D20" s="170">
        <f t="shared" si="1"/>
        <v>0.92677374670101431</v>
      </c>
      <c r="E20" s="169">
        <f t="shared" si="2"/>
        <v>52.360991578469687</v>
      </c>
      <c r="F20" s="163">
        <f>(B20-E20)^2</f>
        <v>1.8522980766654094</v>
      </c>
      <c r="G20" s="163">
        <f>AVERAGE(F$4:F20)</f>
        <v>1.0842209235650668</v>
      </c>
      <c r="I20" s="163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1"/>
      <c r="AI20" s="11"/>
      <c r="AJ20" s="11"/>
      <c r="AK20" s="11"/>
      <c r="AL20" s="11"/>
      <c r="AM20" s="11"/>
      <c r="AN20" s="11"/>
    </row>
    <row r="21" spans="1:57" ht="16.5" x14ac:dyDescent="0.3">
      <c r="A21" s="165">
        <v>18</v>
      </c>
      <c r="B21" s="110">
        <v>53</v>
      </c>
      <c r="C21" s="170">
        <f t="shared" si="0"/>
        <v>53</v>
      </c>
      <c r="D21" s="170">
        <f t="shared" si="1"/>
        <v>1.2691814324478248</v>
      </c>
      <c r="E21" s="169">
        <f t="shared" si="2"/>
        <v>51.926773746701016</v>
      </c>
      <c r="F21" s="163">
        <f>(B21-E21)^2</f>
        <v>1.151814590770174</v>
      </c>
      <c r="G21" s="163">
        <f>AVERAGE(F$4:F21)</f>
        <v>1.0879761272986839</v>
      </c>
      <c r="I21" s="163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1"/>
      <c r="AI21" s="11"/>
      <c r="AJ21" s="11"/>
      <c r="AK21" s="11"/>
      <c r="AL21" s="11"/>
      <c r="AM21" s="11"/>
      <c r="AN21" s="11"/>
    </row>
    <row r="22" spans="1:57" ht="16.5" x14ac:dyDescent="0.3">
      <c r="A22" s="165">
        <v>19</v>
      </c>
      <c r="B22" s="110">
        <v>56</v>
      </c>
      <c r="C22" s="170">
        <f t="shared" si="0"/>
        <v>56</v>
      </c>
      <c r="D22" s="170">
        <f t="shared" si="1"/>
        <v>1.8213907902989013</v>
      </c>
      <c r="E22" s="169">
        <f t="shared" si="2"/>
        <v>54.269181432447823</v>
      </c>
      <c r="F22" s="163">
        <f>(B22-E22)^2</f>
        <v>2.9957329137833697</v>
      </c>
      <c r="G22" s="163">
        <f>AVERAGE(F$4:F22)</f>
        <v>1.1883843792189306</v>
      </c>
      <c r="I22" s="163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1"/>
      <c r="AI22" s="11"/>
      <c r="AJ22" s="11"/>
      <c r="AK22" s="11"/>
      <c r="AL22" s="11"/>
      <c r="AM22" s="11"/>
      <c r="AN22" s="11"/>
    </row>
    <row r="23" spans="1:57" ht="16.5" x14ac:dyDescent="0.3">
      <c r="A23" s="165">
        <v>20</v>
      </c>
      <c r="B23" s="110">
        <v>61</v>
      </c>
      <c r="C23" s="170">
        <f t="shared" si="0"/>
        <v>61</v>
      </c>
      <c r="D23" s="170">
        <f t="shared" si="1"/>
        <v>2.8355108046404101</v>
      </c>
      <c r="E23" s="169">
        <f t="shared" si="2"/>
        <v>57.821390790298899</v>
      </c>
      <c r="F23" s="163">
        <f>(B23-E23)^2</f>
        <v>10.103556507996656</v>
      </c>
      <c r="G23" s="163">
        <f>AVERAGE(F$4:F23)</f>
        <v>1.6341429856578169</v>
      </c>
      <c r="I23" s="163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1"/>
      <c r="AI23" s="11"/>
      <c r="AJ23" s="11"/>
      <c r="AK23" s="11"/>
      <c r="AL23" s="11"/>
      <c r="AM23" s="11"/>
      <c r="AN23" s="11"/>
    </row>
    <row r="24" spans="1:57" ht="16.5" x14ac:dyDescent="0.3">
      <c r="A24" s="165">
        <v>21</v>
      </c>
      <c r="B24" s="110">
        <v>62</v>
      </c>
      <c r="C24" s="170">
        <f t="shared" si="0"/>
        <v>62</v>
      </c>
      <c r="D24" s="170">
        <f t="shared" si="1"/>
        <v>2.2498998909600312</v>
      </c>
      <c r="E24" s="169">
        <f t="shared" si="2"/>
        <v>63.835510804640407</v>
      </c>
      <c r="F24" s="163">
        <f>(B24-E24)^2</f>
        <v>3.3690999139516742</v>
      </c>
      <c r="G24" s="163">
        <f>AVERAGE(F$4:F24)</f>
        <v>1.7167599822432387</v>
      </c>
      <c r="I24" s="163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1"/>
      <c r="AI24" s="11"/>
      <c r="AJ24" s="11"/>
      <c r="AK24" s="11"/>
      <c r="AL24" s="11"/>
      <c r="AM24" s="11"/>
      <c r="AN24" s="11"/>
    </row>
    <row r="25" spans="1:57" ht="16.5" x14ac:dyDescent="0.3">
      <c r="A25" s="165">
        <v>22</v>
      </c>
      <c r="B25" s="110">
        <v>65</v>
      </c>
      <c r="C25" s="170">
        <f t="shared" si="0"/>
        <v>65</v>
      </c>
      <c r="D25" s="170">
        <f t="shared" si="1"/>
        <v>2.4892157310499528</v>
      </c>
      <c r="E25" s="169">
        <f t="shared" si="2"/>
        <v>64.249899890960037</v>
      </c>
      <c r="F25" s="163">
        <f>(B25-E25)^2</f>
        <v>0.56265017358176383</v>
      </c>
      <c r="G25" s="163">
        <f>AVERAGE(F$4:F25)</f>
        <v>1.6643004454858989</v>
      </c>
      <c r="I25" s="163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1"/>
      <c r="AI25" s="11"/>
      <c r="AJ25" s="11"/>
      <c r="AK25" s="11"/>
      <c r="AL25" s="11"/>
      <c r="AM25" s="11"/>
      <c r="AN25" s="11"/>
    </row>
    <row r="26" spans="1:57" ht="16.5" x14ac:dyDescent="0.3">
      <c r="A26" s="165">
        <v>23</v>
      </c>
      <c r="B26" s="110">
        <v>67</v>
      </c>
      <c r="C26" s="170">
        <f t="shared" si="0"/>
        <v>67</v>
      </c>
      <c r="D26" s="170">
        <f t="shared" si="1"/>
        <v>2.3331337997844472</v>
      </c>
      <c r="E26" s="169">
        <f t="shared" si="2"/>
        <v>67.489215731049953</v>
      </c>
      <c r="F26" s="163">
        <f>(B26-E26)^2</f>
        <v>0.23933203150673971</v>
      </c>
      <c r="G26" s="163">
        <f>AVERAGE(F$4:F26)</f>
        <v>1.6023452970520224</v>
      </c>
      <c r="I26" s="163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1"/>
      <c r="AI26" s="11"/>
      <c r="AJ26" s="11"/>
      <c r="AK26" s="11"/>
      <c r="AL26" s="11"/>
      <c r="AM26" s="11"/>
      <c r="AN26" s="11"/>
    </row>
    <row r="27" spans="1:57" ht="16.5" x14ac:dyDescent="0.3">
      <c r="A27" s="165">
        <v>24</v>
      </c>
      <c r="B27" s="110">
        <v>69</v>
      </c>
      <c r="C27" s="170">
        <f t="shared" si="0"/>
        <v>69</v>
      </c>
      <c r="D27" s="170">
        <f t="shared" si="1"/>
        <v>2.2268490596584933</v>
      </c>
      <c r="E27" s="169">
        <f t="shared" si="2"/>
        <v>69.333133799784449</v>
      </c>
      <c r="F27" s="163">
        <f>(B27-E27)^2</f>
        <v>0.11097812855882506</v>
      </c>
      <c r="G27" s="163">
        <f>AVERAGE(F$4:F27)</f>
        <v>1.5402049983648061</v>
      </c>
      <c r="I27" s="163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1"/>
      <c r="AI27" s="11"/>
      <c r="AJ27" s="11"/>
      <c r="AK27" s="11"/>
      <c r="AL27" s="11"/>
      <c r="AM27" s="11"/>
      <c r="AN27" s="11"/>
    </row>
    <row r="28" spans="1:57" ht="16.5" x14ac:dyDescent="0.3">
      <c r="A28" s="165">
        <v>25</v>
      </c>
      <c r="B28" s="110">
        <v>72</v>
      </c>
      <c r="C28" s="170">
        <f t="shared" si="0"/>
        <v>72</v>
      </c>
      <c r="D28" s="170">
        <f t="shared" si="1"/>
        <v>2.473519156855188</v>
      </c>
      <c r="E28" s="169">
        <f t="shared" si="2"/>
        <v>71.226849059658491</v>
      </c>
      <c r="F28" s="163">
        <f>(B28-E28)^2</f>
        <v>0.59776237655095943</v>
      </c>
      <c r="G28" s="163">
        <f>AVERAGE(F$4:F28)</f>
        <v>1.5025072934922523</v>
      </c>
      <c r="I28" s="163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1"/>
      <c r="AI28" s="11"/>
      <c r="AJ28" s="11"/>
      <c r="AK28" s="11"/>
      <c r="AL28" s="11"/>
      <c r="AM28" s="11"/>
      <c r="AN28" s="11"/>
    </row>
    <row r="29" spans="1:57" ht="16.5" x14ac:dyDescent="0.3">
      <c r="A29" s="165">
        <v>26</v>
      </c>
      <c r="B29" s="110">
        <v>72</v>
      </c>
      <c r="C29" s="170">
        <f t="shared" si="0"/>
        <v>72</v>
      </c>
      <c r="D29" s="170">
        <f t="shared" si="1"/>
        <v>1.6843547401762775</v>
      </c>
      <c r="E29" s="169">
        <f t="shared" si="2"/>
        <v>74.47351915685519</v>
      </c>
      <c r="F29" s="163">
        <f>(B29-E29)^2</f>
        <v>6.1182970193296091</v>
      </c>
      <c r="G29" s="163">
        <f>AVERAGE(F$4:F29)</f>
        <v>1.6800376675629198</v>
      </c>
      <c r="I29" s="163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1"/>
      <c r="AI29" s="11"/>
      <c r="AJ29" s="11"/>
      <c r="AK29" s="11"/>
      <c r="AL29" s="11"/>
      <c r="AM29" s="11"/>
      <c r="AN29" s="11"/>
    </row>
    <row r="30" spans="1:57" ht="16.5" x14ac:dyDescent="0.3">
      <c r="A30" s="165">
        <v>27</v>
      </c>
      <c r="B30" s="110">
        <v>82</v>
      </c>
      <c r="C30" s="170">
        <f t="shared" si="0"/>
        <v>82</v>
      </c>
      <c r="D30" s="170">
        <f t="shared" si="1"/>
        <v>4.3374214538866864</v>
      </c>
      <c r="E30" s="169">
        <f t="shared" si="2"/>
        <v>73.684354740176275</v>
      </c>
      <c r="F30" s="163">
        <f>(B30-E30)^2</f>
        <v>69.149956087228787</v>
      </c>
      <c r="G30" s="163">
        <f>AVERAGE(F$4:F30)</f>
        <v>4.1789235349579519</v>
      </c>
      <c r="I30" s="163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1"/>
      <c r="AI30" s="11"/>
      <c r="AJ30" s="11"/>
      <c r="AK30" s="11"/>
      <c r="AL30" s="11"/>
      <c r="AM30" s="11"/>
      <c r="AN30" s="11"/>
    </row>
    <row r="31" spans="1:57" ht="16.5" x14ac:dyDescent="0.3">
      <c r="A31" s="165">
        <v>28</v>
      </c>
      <c r="B31" s="110">
        <v>90</v>
      </c>
      <c r="C31" s="170">
        <f t="shared" si="0"/>
        <v>90</v>
      </c>
      <c r="D31" s="170">
        <f t="shared" si="1"/>
        <v>5.50594956246176</v>
      </c>
      <c r="E31" s="169">
        <f t="shared" si="2"/>
        <v>86.337421453886691</v>
      </c>
      <c r="F31" s="163">
        <f>(B31-E31)^2</f>
        <v>13.414481606449481</v>
      </c>
      <c r="G31" s="163">
        <f>AVERAGE(F$4:F31)</f>
        <v>4.5087648946540781</v>
      </c>
      <c r="I31" s="163" t="s">
        <v>139</v>
      </c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1"/>
      <c r="AI31" s="11"/>
      <c r="AJ31" s="11"/>
      <c r="AK31" s="11"/>
      <c r="AL31" s="11"/>
      <c r="AM31" s="11"/>
      <c r="AN31" s="11"/>
    </row>
    <row r="32" spans="1:57" ht="16.5" x14ac:dyDescent="0.3">
      <c r="A32" s="164">
        <v>29</v>
      </c>
      <c r="B32"/>
      <c r="E32" s="1">
        <f t="shared" ref="E5:E32" si="5">C31+D31</f>
        <v>95.505949562461765</v>
      </c>
      <c r="F32" s="151"/>
      <c r="G32"/>
      <c r="H32" s="102"/>
      <c r="I32" s="102" t="s">
        <v>138</v>
      </c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1"/>
      <c r="AI32" s="11"/>
      <c r="AJ32" s="11"/>
      <c r="AK32" s="11"/>
      <c r="AL32" s="11"/>
      <c r="AM32" s="11"/>
      <c r="AN32" s="11"/>
      <c r="BA32"/>
      <c r="BB32"/>
      <c r="BC32"/>
      <c r="BD32"/>
      <c r="BE32"/>
    </row>
    <row r="33" spans="1:57" x14ac:dyDescent="0.25">
      <c r="A33"/>
      <c r="B33"/>
      <c r="C33" s="1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1"/>
      <c r="AI33" s="11"/>
      <c r="AJ33" s="11"/>
      <c r="AK33" s="11"/>
      <c r="AL33" s="11"/>
      <c r="AM33" s="11"/>
      <c r="AN33" s="11"/>
      <c r="BA33"/>
      <c r="BB33"/>
      <c r="BC33"/>
      <c r="BD33"/>
      <c r="BE33"/>
    </row>
    <row r="34" spans="1:57" x14ac:dyDescent="0.25">
      <c r="A34"/>
      <c r="B34"/>
      <c r="C34" s="11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1"/>
      <c r="AI34" s="11"/>
      <c r="AJ34" s="11"/>
      <c r="AK34" s="11"/>
      <c r="AL34" s="11"/>
      <c r="AM34" s="11"/>
      <c r="AN34" s="11"/>
      <c r="BA34"/>
      <c r="BB34"/>
      <c r="BC34"/>
      <c r="BD34"/>
      <c r="BE34"/>
    </row>
    <row r="35" spans="1:57" x14ac:dyDescent="0.25">
      <c r="A35"/>
      <c r="B35"/>
      <c r="C35" s="11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1"/>
      <c r="AI35" s="11"/>
      <c r="AJ35" s="11"/>
      <c r="AK35" s="11"/>
      <c r="AL35" s="11"/>
      <c r="AM35" s="11"/>
      <c r="AN35" s="11"/>
      <c r="BA35"/>
      <c r="BB35"/>
      <c r="BC35"/>
      <c r="BD35"/>
      <c r="BE35"/>
    </row>
    <row r="36" spans="1:57" x14ac:dyDescent="0.25">
      <c r="A36"/>
      <c r="B36"/>
      <c r="C36" s="1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1"/>
      <c r="AI36" s="11"/>
      <c r="AJ36" s="11"/>
      <c r="AK36" s="11"/>
      <c r="AL36" s="11"/>
      <c r="AM36" s="11"/>
      <c r="AN36" s="11"/>
      <c r="BA36"/>
      <c r="BB36"/>
      <c r="BC36"/>
      <c r="BD36"/>
      <c r="BE36"/>
    </row>
    <row r="37" spans="1:57" x14ac:dyDescent="0.25">
      <c r="A37"/>
      <c r="B37"/>
      <c r="C37" s="11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1"/>
      <c r="AI37" s="11"/>
      <c r="AJ37" s="11"/>
      <c r="AK37" s="11"/>
      <c r="AL37" s="11"/>
      <c r="AM37" s="11"/>
      <c r="AN37" s="11"/>
      <c r="BA37"/>
      <c r="BB37"/>
      <c r="BC37"/>
      <c r="BD37"/>
      <c r="BE37"/>
    </row>
    <row r="38" spans="1:57" x14ac:dyDescent="0.25">
      <c r="A38"/>
      <c r="B38"/>
      <c r="C38" s="1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1"/>
      <c r="AI38" s="11"/>
      <c r="AJ38" s="11"/>
      <c r="AK38" s="11"/>
      <c r="AL38" s="11"/>
      <c r="AM38" s="11"/>
      <c r="AN38" s="11"/>
      <c r="BA38"/>
      <c r="BB38"/>
      <c r="BC38"/>
      <c r="BD38"/>
      <c r="BE38"/>
    </row>
    <row r="39" spans="1:57" x14ac:dyDescent="0.25">
      <c r="A39"/>
      <c r="B39"/>
      <c r="C39" s="11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1"/>
      <c r="AI39" s="11"/>
      <c r="AJ39" s="11"/>
      <c r="AK39" s="11"/>
      <c r="AL39" s="11"/>
      <c r="AM39" s="11"/>
      <c r="AN39" s="11"/>
      <c r="BA39"/>
      <c r="BB39"/>
      <c r="BC39"/>
      <c r="BD39"/>
      <c r="BE39"/>
    </row>
    <row r="40" spans="1:57" x14ac:dyDescent="0.25">
      <c r="A40"/>
      <c r="B40"/>
      <c r="C40" s="1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1"/>
      <c r="AI40" s="11"/>
      <c r="AJ40" s="11"/>
      <c r="AK40" s="11"/>
      <c r="AL40" s="11"/>
      <c r="AM40" s="11"/>
      <c r="AN40" s="11"/>
      <c r="BA40"/>
      <c r="BB40"/>
      <c r="BC40"/>
      <c r="BD40"/>
      <c r="BE40"/>
    </row>
    <row r="41" spans="1:57" x14ac:dyDescent="0.25">
      <c r="A41"/>
      <c r="B41"/>
      <c r="C41" s="1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1"/>
      <c r="AI41" s="11"/>
      <c r="AJ41" s="11"/>
      <c r="AK41" s="11"/>
      <c r="AL41" s="11"/>
      <c r="AM41" s="11"/>
      <c r="AN41" s="11"/>
      <c r="BA41"/>
      <c r="BB41"/>
      <c r="BC41"/>
      <c r="BD41"/>
      <c r="BE41"/>
    </row>
    <row r="42" spans="1:57" x14ac:dyDescent="0.25">
      <c r="A42"/>
      <c r="B42"/>
      <c r="C42" s="1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1"/>
      <c r="AI42" s="11"/>
      <c r="AJ42" s="11"/>
      <c r="AK42" s="11"/>
      <c r="AL42" s="11"/>
      <c r="AM42" s="11"/>
      <c r="AN42" s="11"/>
      <c r="BA42"/>
      <c r="BB42"/>
      <c r="BC42"/>
      <c r="BD42"/>
      <c r="BE42"/>
    </row>
    <row r="43" spans="1:57" x14ac:dyDescent="0.25">
      <c r="A43"/>
      <c r="B43"/>
      <c r="C43" s="1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1"/>
      <c r="AI43" s="11"/>
      <c r="AJ43" s="11"/>
      <c r="AK43" s="11"/>
      <c r="AL43" s="11"/>
      <c r="AM43" s="11"/>
      <c r="AN43" s="11"/>
      <c r="BA43"/>
      <c r="BB43"/>
      <c r="BC43"/>
      <c r="BD43"/>
      <c r="BE43"/>
    </row>
    <row r="44" spans="1:57" x14ac:dyDescent="0.25">
      <c r="A44"/>
      <c r="B44"/>
      <c r="C44" s="1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1"/>
      <c r="AI44" s="11"/>
      <c r="AJ44" s="11"/>
      <c r="AK44" s="11"/>
      <c r="AL44" s="11"/>
      <c r="AM44" s="11"/>
      <c r="AN44" s="11"/>
      <c r="BA44"/>
      <c r="BB44"/>
      <c r="BC44"/>
      <c r="BD44"/>
      <c r="BE44"/>
    </row>
    <row r="45" spans="1:57" x14ac:dyDescent="0.25">
      <c r="A45"/>
      <c r="B45"/>
      <c r="C45" s="1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1"/>
      <c r="AI45" s="11"/>
      <c r="AJ45" s="11"/>
      <c r="AK45" s="11"/>
      <c r="AL45" s="11"/>
      <c r="AM45" s="11"/>
      <c r="AN45" s="11"/>
      <c r="BA45"/>
      <c r="BB45"/>
      <c r="BC45"/>
      <c r="BD45"/>
      <c r="BE45"/>
    </row>
    <row r="46" spans="1:57" x14ac:dyDescent="0.25">
      <c r="A46"/>
      <c r="B46"/>
      <c r="C46" s="1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1"/>
      <c r="AI46" s="11"/>
      <c r="AJ46" s="11"/>
      <c r="AK46" s="11"/>
      <c r="AL46" s="11"/>
      <c r="AM46" s="11"/>
      <c r="AN46" s="11"/>
      <c r="BA46"/>
      <c r="BB46"/>
      <c r="BC46"/>
      <c r="BD46"/>
      <c r="BE46"/>
    </row>
    <row r="47" spans="1:57" x14ac:dyDescent="0.25">
      <c r="A47"/>
      <c r="B47"/>
      <c r="C47" s="1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1"/>
      <c r="AI47" s="11"/>
      <c r="AJ47" s="11"/>
      <c r="AK47" s="11"/>
      <c r="AL47" s="11"/>
      <c r="AM47" s="11"/>
      <c r="AN47" s="11"/>
      <c r="BA47"/>
      <c r="BB47"/>
      <c r="BC47"/>
      <c r="BD47"/>
      <c r="BE47"/>
    </row>
    <row r="48" spans="1:57" x14ac:dyDescent="0.25">
      <c r="A48"/>
      <c r="B48"/>
      <c r="C48" s="11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1"/>
      <c r="AI48" s="11"/>
      <c r="AJ48" s="11"/>
      <c r="AK48" s="11"/>
      <c r="AL48" s="11"/>
      <c r="AM48" s="11"/>
      <c r="AN48" s="11"/>
      <c r="BA48"/>
      <c r="BB48"/>
      <c r="BC48"/>
      <c r="BD48"/>
      <c r="BE48"/>
    </row>
    <row r="49" spans="1:57" x14ac:dyDescent="0.25">
      <c r="A49"/>
      <c r="B49"/>
      <c r="C49" s="11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1"/>
      <c r="AI49" s="11"/>
      <c r="AJ49" s="11"/>
      <c r="AK49" s="11"/>
      <c r="AL49" s="11"/>
      <c r="AM49" s="11"/>
      <c r="AN49" s="11"/>
      <c r="BA49"/>
      <c r="BB49"/>
      <c r="BC49"/>
      <c r="BD49"/>
      <c r="BE49"/>
    </row>
    <row r="50" spans="1:57" x14ac:dyDescent="0.25">
      <c r="A50"/>
      <c r="B50"/>
      <c r="C50" s="11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1"/>
      <c r="AI50" s="11"/>
      <c r="AJ50" s="11"/>
      <c r="AK50" s="11"/>
      <c r="AL50" s="11"/>
      <c r="AM50" s="11"/>
      <c r="AN50" s="11"/>
      <c r="BA50"/>
      <c r="BB50"/>
      <c r="BC50"/>
      <c r="BD50"/>
      <c r="BE50"/>
    </row>
    <row r="51" spans="1:57" x14ac:dyDescent="0.25">
      <c r="A51"/>
      <c r="B51"/>
      <c r="C51" s="11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1"/>
      <c r="AI51" s="11"/>
      <c r="AJ51" s="11"/>
      <c r="AK51" s="11"/>
      <c r="AL51" s="11"/>
      <c r="AM51" s="11"/>
      <c r="AN51" s="11"/>
      <c r="BA51"/>
      <c r="BB51"/>
      <c r="BC51"/>
      <c r="BD51"/>
      <c r="BE51"/>
    </row>
    <row r="52" spans="1:57" x14ac:dyDescent="0.25">
      <c r="A52"/>
      <c r="B52"/>
      <c r="C52" s="11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1"/>
      <c r="AI52" s="11"/>
      <c r="AJ52" s="11"/>
      <c r="AK52" s="11"/>
      <c r="AL52" s="11"/>
      <c r="AM52" s="11"/>
      <c r="AN52" s="11"/>
      <c r="BA52"/>
      <c r="BB52"/>
      <c r="BC52"/>
      <c r="BD52"/>
      <c r="BE52"/>
    </row>
    <row r="53" spans="1:57" x14ac:dyDescent="0.25">
      <c r="A53"/>
      <c r="B53"/>
      <c r="C53" s="11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1"/>
      <c r="AI53" s="11"/>
      <c r="AJ53" s="11"/>
      <c r="AK53" s="11"/>
      <c r="AL53" s="11"/>
      <c r="AM53" s="11"/>
      <c r="AN53" s="11"/>
      <c r="BA53"/>
      <c r="BB53"/>
      <c r="BC53"/>
      <c r="BD53"/>
      <c r="BE53"/>
    </row>
    <row r="54" spans="1:57" x14ac:dyDescent="0.25">
      <c r="A54"/>
      <c r="B54"/>
      <c r="C54" s="11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1"/>
      <c r="AI54" s="11"/>
      <c r="AJ54" s="11"/>
      <c r="AK54" s="11"/>
      <c r="AL54" s="11"/>
      <c r="AM54" s="11"/>
      <c r="AN54" s="11"/>
      <c r="BA54"/>
      <c r="BB54"/>
      <c r="BC54"/>
      <c r="BD54"/>
      <c r="BE54"/>
    </row>
    <row r="55" spans="1:57" x14ac:dyDescent="0.25">
      <c r="A55"/>
      <c r="B55"/>
      <c r="C55" s="11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1"/>
      <c r="AI55" s="11"/>
      <c r="AJ55" s="11"/>
      <c r="AK55" s="11"/>
      <c r="AL55" s="11"/>
      <c r="AM55" s="11"/>
      <c r="AN55" s="11"/>
      <c r="BA55"/>
      <c r="BB55"/>
      <c r="BC55"/>
      <c r="BD55"/>
      <c r="BE55"/>
    </row>
    <row r="56" spans="1:57" x14ac:dyDescent="0.25">
      <c r="A56"/>
      <c r="B56"/>
      <c r="C56" s="11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1"/>
      <c r="AI56" s="11"/>
      <c r="AJ56" s="11"/>
      <c r="AK56" s="11"/>
      <c r="AL56" s="11"/>
      <c r="AM56" s="11"/>
      <c r="AN56" s="11"/>
      <c r="BA56"/>
      <c r="BB56"/>
      <c r="BC56"/>
      <c r="BD56"/>
      <c r="BE56"/>
    </row>
    <row r="57" spans="1:57" x14ac:dyDescent="0.25">
      <c r="A57"/>
      <c r="B57"/>
      <c r="C57" s="11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1"/>
      <c r="AI57" s="11"/>
      <c r="AJ57" s="11"/>
      <c r="AK57" s="11"/>
      <c r="AL57" s="11"/>
      <c r="AM57" s="11"/>
      <c r="AN57" s="11"/>
      <c r="BA57"/>
      <c r="BB57"/>
      <c r="BC57"/>
      <c r="BD57"/>
      <c r="BE57"/>
    </row>
    <row r="58" spans="1:57" x14ac:dyDescent="0.25">
      <c r="A58"/>
      <c r="B58"/>
      <c r="C58" s="11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1"/>
      <c r="AI58" s="11"/>
      <c r="AJ58" s="11"/>
      <c r="AK58" s="11"/>
      <c r="AL58" s="11"/>
      <c r="AM58" s="11"/>
      <c r="AN58" s="11"/>
      <c r="BA58"/>
      <c r="BB58"/>
      <c r="BC58"/>
      <c r="BD58"/>
      <c r="BE58"/>
    </row>
    <row r="59" spans="1:57" x14ac:dyDescent="0.25">
      <c r="A59"/>
      <c r="B59"/>
      <c r="C59" s="11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1"/>
      <c r="AI59" s="11"/>
      <c r="AJ59" s="11"/>
      <c r="AK59" s="11"/>
      <c r="AL59" s="11"/>
      <c r="AM59" s="11"/>
      <c r="AN59" s="11"/>
      <c r="BA59"/>
      <c r="BB59"/>
      <c r="BC59"/>
      <c r="BD59"/>
      <c r="BE59"/>
    </row>
    <row r="60" spans="1:57" x14ac:dyDescent="0.25">
      <c r="A60"/>
      <c r="B60"/>
      <c r="C60" s="1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1"/>
      <c r="AI60" s="11"/>
      <c r="AJ60" s="11"/>
      <c r="AK60" s="11"/>
      <c r="AL60" s="11"/>
      <c r="AM60" s="11"/>
      <c r="AN60" s="11"/>
      <c r="BA60"/>
      <c r="BB60"/>
      <c r="BC60"/>
      <c r="BD60"/>
      <c r="BE60"/>
    </row>
    <row r="61" spans="1:57" x14ac:dyDescent="0.25">
      <c r="A61"/>
      <c r="B61"/>
      <c r="C61" s="11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1"/>
      <c r="AI61" s="11"/>
      <c r="AJ61" s="11"/>
      <c r="AK61" s="11"/>
      <c r="AL61" s="11"/>
      <c r="AM61" s="11"/>
      <c r="AN61" s="11"/>
      <c r="BA61"/>
      <c r="BB61"/>
      <c r="BC61"/>
      <c r="BD61"/>
      <c r="BE61"/>
    </row>
    <row r="62" spans="1:57" x14ac:dyDescent="0.25">
      <c r="A62"/>
      <c r="B62"/>
      <c r="C62" s="11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1"/>
      <c r="AI62" s="11"/>
      <c r="AJ62" s="11"/>
      <c r="AK62" s="11"/>
      <c r="AL62" s="11"/>
      <c r="AM62" s="11"/>
      <c r="AN62" s="11"/>
      <c r="BA62"/>
      <c r="BB62"/>
      <c r="BC62"/>
      <c r="BD62"/>
      <c r="BE62"/>
    </row>
    <row r="63" spans="1:57" x14ac:dyDescent="0.25">
      <c r="A63"/>
      <c r="B63"/>
      <c r="C63" s="11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1"/>
      <c r="AI63" s="11"/>
      <c r="AJ63" s="11"/>
      <c r="AK63" s="11"/>
      <c r="AL63" s="11"/>
      <c r="AM63" s="11"/>
      <c r="AN63" s="11"/>
      <c r="BA63"/>
      <c r="BB63"/>
      <c r="BC63"/>
      <c r="BD63"/>
      <c r="BE63"/>
    </row>
    <row r="64" spans="1:57" x14ac:dyDescent="0.25">
      <c r="A64"/>
      <c r="B64"/>
      <c r="C64" s="1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1"/>
      <c r="AI64" s="11"/>
      <c r="AJ64" s="11"/>
      <c r="AK64" s="11"/>
      <c r="AL64" s="11"/>
      <c r="AM64" s="11"/>
      <c r="AN64" s="11"/>
      <c r="BA64"/>
      <c r="BB64"/>
      <c r="BC64"/>
      <c r="BD64"/>
      <c r="BE64"/>
    </row>
    <row r="65" spans="1:57" x14ac:dyDescent="0.25">
      <c r="A65"/>
      <c r="B65"/>
      <c r="C65" s="11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1"/>
      <c r="AI65" s="11"/>
      <c r="AJ65" s="11"/>
      <c r="AK65" s="11"/>
      <c r="AL65" s="11"/>
      <c r="AM65" s="11"/>
      <c r="AN65" s="11"/>
      <c r="BA65"/>
      <c r="BB65"/>
      <c r="BC65"/>
      <c r="BD65"/>
      <c r="BE65"/>
    </row>
    <row r="66" spans="1:57" x14ac:dyDescent="0.25">
      <c r="A66"/>
      <c r="B66"/>
      <c r="C66" s="11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1"/>
      <c r="AI66" s="11"/>
      <c r="AJ66" s="11"/>
      <c r="AK66" s="11"/>
      <c r="AL66" s="11"/>
      <c r="AM66" s="11"/>
      <c r="AN66" s="11"/>
      <c r="BA66"/>
      <c r="BB66"/>
      <c r="BC66"/>
      <c r="BD66"/>
      <c r="BE66"/>
    </row>
    <row r="67" spans="1:57" x14ac:dyDescent="0.25">
      <c r="A67"/>
      <c r="B67"/>
      <c r="C67" s="11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1"/>
      <c r="AI67" s="11"/>
      <c r="AJ67" s="11"/>
      <c r="AK67" s="11"/>
      <c r="AL67" s="11"/>
      <c r="AM67" s="11"/>
      <c r="AN67" s="11"/>
      <c r="BA67"/>
      <c r="BB67"/>
      <c r="BC67"/>
      <c r="BD67"/>
      <c r="BE67"/>
    </row>
    <row r="68" spans="1:57" x14ac:dyDescent="0.25">
      <c r="A68"/>
      <c r="B68"/>
      <c r="C68" s="1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1"/>
      <c r="AI68" s="11"/>
      <c r="AJ68" s="11"/>
      <c r="AK68" s="11"/>
      <c r="AL68" s="11"/>
      <c r="AM68" s="11"/>
      <c r="AN68" s="11"/>
      <c r="BA68"/>
      <c r="BB68"/>
      <c r="BC68"/>
      <c r="BD68"/>
      <c r="BE68"/>
    </row>
    <row r="69" spans="1:57" x14ac:dyDescent="0.25">
      <c r="A69"/>
      <c r="B69"/>
      <c r="C69" s="11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1"/>
      <c r="AI69" s="11"/>
      <c r="AJ69" s="11"/>
      <c r="AK69" s="11"/>
      <c r="AL69" s="11"/>
      <c r="AM69" s="11"/>
      <c r="AN69" s="11"/>
      <c r="BA69"/>
      <c r="BB69"/>
      <c r="BC69"/>
      <c r="BD69"/>
      <c r="BE69"/>
    </row>
    <row r="70" spans="1:57" x14ac:dyDescent="0.25">
      <c r="A70"/>
      <c r="B70"/>
      <c r="C70" s="11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1"/>
      <c r="AI70" s="11"/>
      <c r="AJ70" s="11"/>
      <c r="AK70" s="11"/>
      <c r="AL70" s="11"/>
      <c r="AM70" s="11"/>
      <c r="AN70" s="11"/>
      <c r="BA70"/>
      <c r="BB70"/>
      <c r="BC70"/>
      <c r="BD70"/>
      <c r="BE70"/>
    </row>
    <row r="71" spans="1:57" x14ac:dyDescent="0.25">
      <c r="A71"/>
      <c r="B71"/>
      <c r="C71" s="11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1"/>
      <c r="AI71" s="11"/>
      <c r="AJ71" s="11"/>
      <c r="AK71" s="11"/>
      <c r="AL71" s="11"/>
      <c r="AM71" s="11"/>
      <c r="AN71" s="11"/>
      <c r="BA71"/>
      <c r="BB71"/>
      <c r="BC71"/>
      <c r="BD71"/>
      <c r="BE71"/>
    </row>
    <row r="72" spans="1:57" x14ac:dyDescent="0.25">
      <c r="A72"/>
      <c r="B72"/>
      <c r="C72" s="11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1"/>
      <c r="AI72" s="11"/>
      <c r="AJ72" s="11"/>
      <c r="AK72" s="11"/>
      <c r="AL72" s="11"/>
      <c r="AM72" s="11"/>
      <c r="AN72" s="11"/>
      <c r="BA72"/>
      <c r="BB72"/>
      <c r="BC72"/>
      <c r="BD72"/>
      <c r="BE72"/>
    </row>
    <row r="73" spans="1:57" x14ac:dyDescent="0.25">
      <c r="A73"/>
      <c r="B73"/>
      <c r="C73" s="11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1"/>
      <c r="AI73" s="11"/>
      <c r="AJ73" s="11"/>
      <c r="AK73" s="11"/>
      <c r="AL73" s="11"/>
      <c r="AM73" s="11"/>
      <c r="AN73" s="11"/>
      <c r="BA73"/>
      <c r="BB73"/>
      <c r="BC73"/>
      <c r="BD73"/>
      <c r="BE73"/>
    </row>
    <row r="74" spans="1:57" x14ac:dyDescent="0.25">
      <c r="A74"/>
      <c r="B74"/>
      <c r="C74"/>
      <c r="BA74"/>
      <c r="BB74"/>
      <c r="BC74"/>
      <c r="BD74"/>
      <c r="BE74"/>
    </row>
    <row r="75" spans="1:57" x14ac:dyDescent="0.25">
      <c r="A75"/>
      <c r="B75"/>
      <c r="C75"/>
      <c r="BA75"/>
      <c r="BB75"/>
      <c r="BC75"/>
      <c r="BD75"/>
      <c r="BE75"/>
    </row>
    <row r="76" spans="1:57" x14ac:dyDescent="0.25">
      <c r="A76"/>
      <c r="B76"/>
      <c r="C76"/>
      <c r="BA76"/>
      <c r="BB76"/>
      <c r="BC76"/>
      <c r="BD76"/>
      <c r="BE76"/>
    </row>
    <row r="77" spans="1:57" x14ac:dyDescent="0.25">
      <c r="A77"/>
      <c r="B77"/>
      <c r="C77"/>
      <c r="BA77"/>
      <c r="BB77"/>
      <c r="BC77"/>
      <c r="BD77"/>
      <c r="BE77"/>
    </row>
    <row r="78" spans="1:57" x14ac:dyDescent="0.25">
      <c r="A78"/>
      <c r="B78"/>
      <c r="C78"/>
      <c r="BA78"/>
      <c r="BB78"/>
      <c r="BC78"/>
      <c r="BD78"/>
      <c r="BE78"/>
    </row>
    <row r="79" spans="1:57" ht="16.5" x14ac:dyDescent="0.3">
      <c r="A79"/>
      <c r="B79"/>
      <c r="C79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BA79"/>
      <c r="BB79"/>
      <c r="BC79"/>
      <c r="BD79"/>
      <c r="BE79"/>
    </row>
    <row r="80" spans="1:57" ht="16.5" x14ac:dyDescent="0.3">
      <c r="A80"/>
      <c r="B80"/>
      <c r="C80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BA80"/>
      <c r="BB80"/>
      <c r="BC80"/>
      <c r="BD80"/>
      <c r="BE80"/>
    </row>
    <row r="81" spans="1:57" ht="16.5" x14ac:dyDescent="0.3">
      <c r="A81"/>
      <c r="B81"/>
      <c r="C81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BA81"/>
      <c r="BB81"/>
      <c r="BC81"/>
      <c r="BD81"/>
      <c r="BE81"/>
    </row>
    <row r="82" spans="1:57" ht="16.5" x14ac:dyDescent="0.3">
      <c r="A82"/>
      <c r="B82"/>
      <c r="C82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BA82"/>
      <c r="BB82"/>
      <c r="BC82"/>
      <c r="BD82"/>
      <c r="BE82"/>
    </row>
    <row r="83" spans="1:57" ht="16.5" x14ac:dyDescent="0.3">
      <c r="A83"/>
      <c r="B83"/>
      <c r="C83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BA83"/>
      <c r="BB83"/>
      <c r="BC83"/>
      <c r="BD83"/>
      <c r="BE83"/>
    </row>
    <row r="84" spans="1:57" ht="16.5" x14ac:dyDescent="0.3">
      <c r="A84"/>
      <c r="B84"/>
      <c r="C84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BA84"/>
      <c r="BB84"/>
      <c r="BC84"/>
      <c r="BD84"/>
      <c r="BE84"/>
    </row>
    <row r="85" spans="1:57" ht="16.5" x14ac:dyDescent="0.3">
      <c r="A85"/>
      <c r="B85"/>
      <c r="C8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BA85"/>
      <c r="BB85"/>
      <c r="BC85"/>
      <c r="BD85"/>
      <c r="BE85"/>
    </row>
    <row r="86" spans="1:57" ht="16.5" x14ac:dyDescent="0.3">
      <c r="A86"/>
      <c r="B86"/>
      <c r="C86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BA86"/>
      <c r="BB86"/>
      <c r="BC86"/>
      <c r="BD86"/>
      <c r="BE86"/>
    </row>
    <row r="87" spans="1:57" ht="16.5" x14ac:dyDescent="0.3">
      <c r="A87"/>
      <c r="B87"/>
      <c r="C87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BA87"/>
      <c r="BB87"/>
      <c r="BC87"/>
      <c r="BD87"/>
      <c r="BE87"/>
    </row>
    <row r="88" spans="1:57" ht="16.5" x14ac:dyDescent="0.3">
      <c r="A88"/>
      <c r="B88"/>
      <c r="C88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</row>
    <row r="89" spans="1:57" ht="16.5" x14ac:dyDescent="0.3">
      <c r="A89"/>
      <c r="B89"/>
      <c r="C89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</row>
    <row r="90" spans="1:57" ht="16.5" x14ac:dyDescent="0.3">
      <c r="A90"/>
      <c r="B90"/>
      <c r="C90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</row>
    <row r="91" spans="1:57" x14ac:dyDescent="0.25">
      <c r="A91"/>
      <c r="B91"/>
      <c r="C91"/>
    </row>
    <row r="92" spans="1:57" x14ac:dyDescent="0.25">
      <c r="A92"/>
      <c r="B92"/>
      <c r="C92"/>
    </row>
    <row r="93" spans="1:57" x14ac:dyDescent="0.25">
      <c r="A93"/>
      <c r="B93"/>
      <c r="C93"/>
    </row>
    <row r="94" spans="1:57" x14ac:dyDescent="0.25">
      <c r="A94"/>
      <c r="B94"/>
      <c r="C94"/>
    </row>
    <row r="95" spans="1:57" x14ac:dyDescent="0.25">
      <c r="A95"/>
      <c r="B95"/>
      <c r="C95"/>
    </row>
    <row r="96" spans="1:57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N7:X17">
    <cfRule type="cellIs" dxfId="7" priority="1" operator="equal">
      <formula>$Y$18</formula>
    </cfRule>
  </conditionalFormatting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dimension ref="A1:BG300"/>
  <sheetViews>
    <sheetView tabSelected="1" zoomScale="96" zoomScaleNormal="96" workbookViewId="0">
      <selection activeCell="C5" sqref="C5"/>
    </sheetView>
  </sheetViews>
  <sheetFormatPr defaultColWidth="9.140625" defaultRowHeight="15" x14ac:dyDescent="0.25"/>
  <cols>
    <col min="1" max="1" width="4.5703125" style="94" bestFit="1" customWidth="1"/>
    <col min="2" max="2" width="9.7109375" style="94" bestFit="1" customWidth="1"/>
    <col min="3" max="5" width="9.7109375" style="94" customWidth="1"/>
    <col min="6" max="6" width="12.42578125" style="94" bestFit="1" customWidth="1"/>
    <col min="7" max="7" width="9.7109375" style="94" customWidth="1"/>
    <col min="8" max="8" width="9.140625" style="94"/>
    <col min="9" max="9" width="12.140625" style="94" bestFit="1" customWidth="1"/>
    <col min="10" max="10" width="13.85546875" style="94" bestFit="1" customWidth="1"/>
    <col min="11" max="11" width="12.42578125" style="94" bestFit="1" customWidth="1"/>
    <col min="12" max="12" width="12.42578125" style="94" customWidth="1"/>
    <col min="13" max="13" width="12.140625" style="94" bestFit="1" customWidth="1"/>
    <col min="14" max="17" width="9.28515625" style="94" bestFit="1" customWidth="1"/>
    <col min="18" max="19" width="9.140625" style="94"/>
    <col min="20" max="20" width="9.28515625" style="94" bestFit="1" customWidth="1"/>
    <col min="21" max="31" width="9.140625" style="94"/>
    <col min="32" max="32" width="9.140625" style="94" customWidth="1"/>
    <col min="33" max="35" width="9.140625" style="94"/>
    <col min="36" max="36" width="9.28515625" bestFit="1" customWidth="1"/>
    <col min="37" max="37" width="14" customWidth="1"/>
    <col min="38" max="38" width="12.28515625" customWidth="1"/>
    <col min="39" max="39" width="10.140625" bestFit="1" customWidth="1"/>
    <col min="40" max="40" width="10.140625" customWidth="1"/>
    <col min="41" max="43" width="9.28515625" customWidth="1"/>
    <col min="44" max="44" width="9.28515625" bestFit="1" customWidth="1"/>
    <col min="45" max="45" width="12.28515625" bestFit="1" customWidth="1"/>
    <col min="55" max="16384" width="9.140625" style="94"/>
  </cols>
  <sheetData>
    <row r="1" spans="1:59" ht="15.75" thickBot="1" x14ac:dyDescent="0.3">
      <c r="H1" s="166" t="s">
        <v>65</v>
      </c>
      <c r="I1" s="167">
        <v>1</v>
      </c>
      <c r="J1" s="166" t="s">
        <v>136</v>
      </c>
      <c r="K1" s="12">
        <v>0.31904520104151834</v>
      </c>
      <c r="L1" s="12"/>
    </row>
    <row r="2" spans="1:59" customFormat="1" ht="17.25" thickBot="1" x14ac:dyDescent="0.35">
      <c r="A2" s="98" t="s">
        <v>4</v>
      </c>
      <c r="B2" s="100" t="s">
        <v>137</v>
      </c>
      <c r="C2" s="127" t="s">
        <v>73</v>
      </c>
      <c r="D2" s="127" t="s">
        <v>19</v>
      </c>
      <c r="E2" s="127" t="s">
        <v>141</v>
      </c>
      <c r="F2" s="1" t="s">
        <v>127</v>
      </c>
      <c r="G2" s="1" t="s">
        <v>130</v>
      </c>
      <c r="H2" s="1" t="s">
        <v>132</v>
      </c>
      <c r="I2" s="94"/>
      <c r="J2" s="94"/>
      <c r="K2" s="94"/>
      <c r="L2" s="94"/>
    </row>
    <row r="3" spans="1:59" customFormat="1" ht="16.5" x14ac:dyDescent="0.3">
      <c r="A3" s="94">
        <v>0</v>
      </c>
      <c r="B3" s="94"/>
      <c r="C3" s="175">
        <f>INTERCEPT(B4:B31,A4:A31)</f>
        <v>64.206349206349216</v>
      </c>
      <c r="D3" s="175">
        <f>SLOPE(B4:B31,A4:A31)</f>
        <v>0.28133552271483314</v>
      </c>
      <c r="E3" s="175"/>
      <c r="F3" s="127"/>
      <c r="G3" s="127"/>
      <c r="H3" s="127"/>
      <c r="I3" s="94"/>
      <c r="J3" s="1"/>
      <c r="AB3" s="94"/>
      <c r="AC3" s="94"/>
      <c r="AD3" s="94"/>
      <c r="AE3" s="94"/>
      <c r="AF3" s="94"/>
      <c r="AG3" s="94"/>
      <c r="AH3" s="94"/>
      <c r="AI3" s="94"/>
      <c r="BC3" s="94"/>
      <c r="BD3" s="94"/>
      <c r="BE3" s="94"/>
      <c r="BF3" s="94"/>
      <c r="BG3" s="94"/>
    </row>
    <row r="4" spans="1:59" customFormat="1" ht="16.5" x14ac:dyDescent="0.3">
      <c r="A4" s="165">
        <v>1</v>
      </c>
      <c r="B4" s="110">
        <v>21</v>
      </c>
      <c r="C4" s="176">
        <f>$C$3+$D$3*A4</f>
        <v>64.487684729064043</v>
      </c>
      <c r="D4" s="176">
        <f>B4/C4</f>
        <v>0.32564357191963944</v>
      </c>
      <c r="E4" s="168">
        <f>J4/$J$8</f>
        <v>0.42123278483192012</v>
      </c>
      <c r="F4" s="169">
        <f>(C3+D3)*E4</f>
        <v>27.164327025786534</v>
      </c>
      <c r="G4" s="163">
        <f>(B4-F4)^2</f>
        <v>37.998927680842257</v>
      </c>
      <c r="H4" s="163">
        <f>AVERAGE(G$4:G4)</f>
        <v>37.998927680842257</v>
      </c>
      <c r="I4" s="94">
        <v>1</v>
      </c>
      <c r="J4" s="168">
        <f>AVERAGEIF($A$4:$A$15,I4,$D$4:$D$15)</f>
        <v>0.32564357191963944</v>
      </c>
      <c r="K4" s="94"/>
      <c r="L4" s="94"/>
      <c r="M4" s="94"/>
      <c r="O4">
        <v>0.9</v>
      </c>
      <c r="AB4" s="94"/>
      <c r="AC4" s="94"/>
      <c r="AD4" s="94"/>
      <c r="AE4" s="94"/>
      <c r="AF4" s="94"/>
      <c r="AG4" s="94"/>
      <c r="AH4" s="94"/>
      <c r="AI4" s="94"/>
      <c r="BC4" s="94"/>
      <c r="BD4" s="94"/>
      <c r="BE4" s="94"/>
      <c r="BF4" s="94"/>
      <c r="BG4" s="94"/>
    </row>
    <row r="5" spans="1:59" customFormat="1" ht="16.5" x14ac:dyDescent="0.3">
      <c r="A5" s="165">
        <v>2</v>
      </c>
      <c r="B5" s="110">
        <v>41</v>
      </c>
      <c r="C5" s="176">
        <f>$C$3+$D$3*A5</f>
        <v>64.769020251778883</v>
      </c>
      <c r="D5" s="176">
        <f>B5/C5</f>
        <v>0.63301868455967469</v>
      </c>
      <c r="E5" s="168">
        <f>J5/$J$8</f>
        <v>0.81883459813391479</v>
      </c>
      <c r="F5" s="169" t="e">
        <f>#REF!+#REF!</f>
        <v>#REF!</v>
      </c>
      <c r="G5" s="163" t="e">
        <f>(B5-F5)^2</f>
        <v>#REF!</v>
      </c>
      <c r="H5" s="163" t="e">
        <f>AVERAGE(G$4:G5)</f>
        <v>#REF!</v>
      </c>
      <c r="I5" s="94">
        <v>2</v>
      </c>
      <c r="J5" s="168">
        <f>AVERAGEIF($A$4:$A$15,I5,$D$4:$D$15)</f>
        <v>0.63301868455967469</v>
      </c>
      <c r="K5" s="94"/>
      <c r="L5" s="94"/>
      <c r="M5" s="94"/>
      <c r="O5">
        <v>0.01</v>
      </c>
      <c r="AB5" s="94"/>
      <c r="AC5" s="94"/>
      <c r="AD5" s="94"/>
      <c r="AE5" s="94"/>
      <c r="AF5" s="94"/>
      <c r="AG5" s="94"/>
      <c r="AH5" s="94"/>
      <c r="AI5" s="94"/>
      <c r="BC5" s="94"/>
      <c r="BD5" s="94"/>
      <c r="BE5" s="94"/>
      <c r="BF5" s="94"/>
      <c r="BG5" s="94"/>
    </row>
    <row r="6" spans="1:59" customFormat="1" ht="16.5" x14ac:dyDescent="0.3">
      <c r="A6" s="165">
        <v>3</v>
      </c>
      <c r="B6" s="110">
        <v>91</v>
      </c>
      <c r="C6" s="176">
        <f>$C$3+$D$3*A6</f>
        <v>65.05035577449371</v>
      </c>
      <c r="D6" s="176">
        <f>B6/C6</f>
        <v>1.3989162536706858</v>
      </c>
      <c r="E6" s="168">
        <f>J6/$J$8</f>
        <v>1.8095532664951743</v>
      </c>
      <c r="F6" s="169" t="e">
        <f>#REF!+#REF!</f>
        <v>#REF!</v>
      </c>
      <c r="G6" s="163" t="e">
        <f>(B6-F6)^2</f>
        <v>#REF!</v>
      </c>
      <c r="H6" s="163" t="e">
        <f>AVERAGE(G$4:G6)</f>
        <v>#REF!</v>
      </c>
      <c r="I6" s="94">
        <v>3</v>
      </c>
      <c r="J6" s="168">
        <f>AVERAGEIF($A$4:$A$15,I6,$D$4:$D$15)</f>
        <v>1.3989162536706858</v>
      </c>
      <c r="K6" s="94"/>
      <c r="L6" s="94"/>
      <c r="M6" s="94">
        <v>0.2</v>
      </c>
      <c r="N6">
        <v>0.02</v>
      </c>
      <c r="O6" s="162" t="e">
        <f>H31</f>
        <v>#REF!</v>
      </c>
      <c r="P6">
        <f>M6</f>
        <v>0.2</v>
      </c>
      <c r="Q6">
        <f>P6+$N$6</f>
        <v>0.22</v>
      </c>
      <c r="R6">
        <f t="shared" ref="R6:Z6" si="0">Q6+$N$6</f>
        <v>0.24</v>
      </c>
      <c r="S6">
        <f t="shared" si="0"/>
        <v>0.26</v>
      </c>
      <c r="T6">
        <f t="shared" si="0"/>
        <v>0.28000000000000003</v>
      </c>
      <c r="U6">
        <f t="shared" si="0"/>
        <v>0.30000000000000004</v>
      </c>
      <c r="V6">
        <f t="shared" si="0"/>
        <v>0.32000000000000006</v>
      </c>
      <c r="W6">
        <f t="shared" si="0"/>
        <v>0.34000000000000008</v>
      </c>
      <c r="X6">
        <f>W6+$N$6</f>
        <v>0.3600000000000001</v>
      </c>
      <c r="Y6">
        <f t="shared" si="0"/>
        <v>0.38000000000000012</v>
      </c>
      <c r="Z6">
        <f t="shared" si="0"/>
        <v>0.40000000000000013</v>
      </c>
      <c r="AB6" s="94"/>
      <c r="AC6" s="94"/>
      <c r="AD6" s="94"/>
      <c r="AE6" s="94"/>
      <c r="AF6" s="94"/>
      <c r="AG6" s="94"/>
      <c r="AH6" s="94"/>
      <c r="AI6" s="94"/>
      <c r="BC6" s="94"/>
      <c r="BD6" s="94"/>
      <c r="BE6" s="94"/>
      <c r="BF6" s="94"/>
      <c r="BG6" s="94"/>
    </row>
    <row r="7" spans="1:59" customFormat="1" ht="16.5" x14ac:dyDescent="0.3">
      <c r="A7" s="165">
        <v>4</v>
      </c>
      <c r="B7" s="110">
        <v>48</v>
      </c>
      <c r="C7" s="176">
        <f>$C$3+$D$3*A7</f>
        <v>65.33169129720855</v>
      </c>
      <c r="D7" s="176">
        <f>B7/C7</f>
        <v>0.7347123432276873</v>
      </c>
      <c r="E7" s="168">
        <f>J7/$J$8</f>
        <v>0.95037935053899125</v>
      </c>
      <c r="F7" s="169" t="e">
        <f>#REF!+#REF!</f>
        <v>#REF!</v>
      </c>
      <c r="G7" s="163" t="e">
        <f>(B7-F7)^2</f>
        <v>#REF!</v>
      </c>
      <c r="H7" s="163" t="e">
        <f>AVERAGE(G$4:G7)</f>
        <v>#REF!</v>
      </c>
      <c r="I7" s="94">
        <v>4</v>
      </c>
      <c r="J7" s="168">
        <f>AVERAGEIF($A$4:$A$15,I7,$D$4:$D$15)</f>
        <v>0.7347123432276873</v>
      </c>
      <c r="K7" s="94"/>
      <c r="L7" s="94"/>
      <c r="M7" s="94"/>
      <c r="O7">
        <f>O4</f>
        <v>0.9</v>
      </c>
      <c r="P7" t="e">
        <f t="dataTable" ref="P7:Z17" dt2D="1" dtr="1" r1="K1" r2="I1"/>
        <v>#REF!</v>
      </c>
      <c r="Q7" t="e">
        <v>#REF!</v>
      </c>
      <c r="R7" t="e">
        <v>#REF!</v>
      </c>
      <c r="S7" t="e">
        <v>#REF!</v>
      </c>
      <c r="T7" t="e">
        <v>#REF!</v>
      </c>
      <c r="U7" t="e">
        <v>#REF!</v>
      </c>
      <c r="V7" t="e">
        <v>#REF!</v>
      </c>
      <c r="W7" t="e">
        <v>#REF!</v>
      </c>
      <c r="X7" t="e">
        <v>#REF!</v>
      </c>
      <c r="Y7" t="e">
        <v>#REF!</v>
      </c>
      <c r="Z7" t="e">
        <v>#REF!</v>
      </c>
      <c r="AB7" s="94"/>
      <c r="AC7" s="94"/>
      <c r="AD7" s="94"/>
      <c r="AE7" s="94"/>
      <c r="AF7" s="94"/>
      <c r="AG7" s="94"/>
      <c r="AH7" s="94"/>
      <c r="AI7" s="94"/>
      <c r="BC7" s="94"/>
      <c r="BD7" s="94"/>
      <c r="BE7" s="94"/>
      <c r="BF7" s="94"/>
      <c r="BG7" s="94"/>
    </row>
    <row r="8" spans="1:59" customFormat="1" ht="16.5" x14ac:dyDescent="0.3">
      <c r="A8" s="165">
        <v>5</v>
      </c>
      <c r="B8" s="110">
        <v>44</v>
      </c>
      <c r="C8" s="176">
        <f>$C$3+$D$3*A8</f>
        <v>65.613026819923377</v>
      </c>
      <c r="D8" s="176">
        <f>B8/C8</f>
        <v>0.6705985401459853</v>
      </c>
      <c r="E8" s="176"/>
      <c r="F8" s="169" t="e">
        <f>#REF!+#REF!</f>
        <v>#REF!</v>
      </c>
      <c r="G8" s="163" t="e">
        <f>(B8-F8)^2</f>
        <v>#REF!</v>
      </c>
      <c r="H8" s="163" t="e">
        <f>AVERAGE(G$4:G8)</f>
        <v>#REF!</v>
      </c>
      <c r="I8" s="94"/>
      <c r="J8" s="163">
        <f>AVERAGE(J4:J7)</f>
        <v>0.77307271334442174</v>
      </c>
      <c r="K8" s="168">
        <f>J8/$J$8</f>
        <v>1</v>
      </c>
      <c r="L8" s="94"/>
      <c r="M8" s="94"/>
      <c r="O8">
        <f>O7+$O$5</f>
        <v>0.91</v>
      </c>
      <c r="P8" t="e">
        <v>#REF!</v>
      </c>
      <c r="Q8" t="e">
        <v>#REF!</v>
      </c>
      <c r="R8" t="e">
        <v>#REF!</v>
      </c>
      <c r="S8" t="e">
        <v>#REF!</v>
      </c>
      <c r="T8" t="e">
        <v>#REF!</v>
      </c>
      <c r="U8" t="e">
        <v>#REF!</v>
      </c>
      <c r="V8" t="e">
        <v>#REF!</v>
      </c>
      <c r="W8" t="e">
        <v>#REF!</v>
      </c>
      <c r="X8" t="e">
        <v>#REF!</v>
      </c>
      <c r="Y8" t="e">
        <v>#REF!</v>
      </c>
      <c r="Z8" t="e">
        <v>#REF!</v>
      </c>
      <c r="AB8" s="94"/>
      <c r="AC8" s="94"/>
      <c r="AD8" s="94"/>
      <c r="AE8" s="94"/>
      <c r="AF8" s="94"/>
      <c r="AG8" s="94"/>
      <c r="AH8" s="94"/>
      <c r="AI8" s="94"/>
      <c r="BC8" s="94"/>
      <c r="BD8" s="94"/>
      <c r="BE8" s="94"/>
      <c r="BF8" s="94"/>
      <c r="BG8" s="94"/>
    </row>
    <row r="9" spans="1:59" customFormat="1" ht="16.5" x14ac:dyDescent="0.3">
      <c r="A9" s="165">
        <v>6</v>
      </c>
      <c r="B9" s="110">
        <v>80</v>
      </c>
      <c r="C9" s="176">
        <f>$C$3+$D$3*A9</f>
        <v>65.894362342638217</v>
      </c>
      <c r="D9" s="176">
        <f>B9/C9</f>
        <v>1.214064407877796</v>
      </c>
      <c r="E9" s="176"/>
      <c r="F9" s="169" t="e">
        <f>#REF!+#REF!</f>
        <v>#REF!</v>
      </c>
      <c r="G9" s="163" t="e">
        <f>(B9-F9)^2</f>
        <v>#REF!</v>
      </c>
      <c r="H9" s="163" t="e">
        <f>AVERAGE(G$4:G9)</f>
        <v>#REF!</v>
      </c>
      <c r="I9" s="94"/>
      <c r="J9" s="163"/>
      <c r="K9" s="94"/>
      <c r="L9" s="168"/>
      <c r="M9" s="94"/>
      <c r="O9">
        <f t="shared" ref="O9:O17" si="1">O8+$O$5</f>
        <v>0.92</v>
      </c>
      <c r="P9" t="e">
        <v>#REF!</v>
      </c>
      <c r="Q9" t="e">
        <v>#REF!</v>
      </c>
      <c r="R9" t="e">
        <v>#REF!</v>
      </c>
      <c r="S9" t="e">
        <v>#REF!</v>
      </c>
      <c r="T9" t="e">
        <v>#REF!</v>
      </c>
      <c r="U9" t="e">
        <v>#REF!</v>
      </c>
      <c r="V9" t="e">
        <v>#REF!</v>
      </c>
      <c r="W9" t="e">
        <v>#REF!</v>
      </c>
      <c r="X9" t="e">
        <v>#REF!</v>
      </c>
      <c r="Y9" t="e">
        <v>#REF!</v>
      </c>
      <c r="Z9" t="e">
        <v>#REF!</v>
      </c>
      <c r="AB9" s="94"/>
      <c r="AC9" s="94"/>
      <c r="AD9" s="94"/>
      <c r="AE9" s="94"/>
      <c r="AF9" s="94"/>
      <c r="AG9" s="94"/>
      <c r="AH9" s="94"/>
      <c r="AI9" s="94"/>
      <c r="BC9" s="94"/>
      <c r="BD9" s="94"/>
      <c r="BE9" s="94"/>
      <c r="BF9" s="94"/>
      <c r="BG9" s="94"/>
    </row>
    <row r="10" spans="1:59" customFormat="1" ht="16.5" x14ac:dyDescent="0.3">
      <c r="A10" s="165">
        <v>7</v>
      </c>
      <c r="B10" s="110">
        <v>151</v>
      </c>
      <c r="C10" s="176">
        <f>$C$3+$D$3*A10</f>
        <v>66.175697865353044</v>
      </c>
      <c r="D10" s="176">
        <f>B10/C10</f>
        <v>2.2818044217265077</v>
      </c>
      <c r="E10" s="176"/>
      <c r="F10" s="169" t="e">
        <f>#REF!+#REF!</f>
        <v>#REF!</v>
      </c>
      <c r="G10" s="163" t="e">
        <f>(B10-F10)^2</f>
        <v>#REF!</v>
      </c>
      <c r="H10" s="163" t="e">
        <f>AVERAGE(G$4:G10)</f>
        <v>#REF!</v>
      </c>
      <c r="I10" s="94">
        <f>B4/(AVERAGE($B$4:$B$7))</f>
        <v>0.41791044776119401</v>
      </c>
      <c r="J10" s="163"/>
      <c r="K10" s="94"/>
      <c r="L10" s="168"/>
      <c r="M10" s="94"/>
      <c r="O10">
        <f t="shared" si="1"/>
        <v>0.93</v>
      </c>
      <c r="P10" t="e">
        <v>#REF!</v>
      </c>
      <c r="Q10" t="e">
        <v>#REF!</v>
      </c>
      <c r="R10" t="e">
        <v>#REF!</v>
      </c>
      <c r="S10" t="e">
        <v>#REF!</v>
      </c>
      <c r="T10" t="e">
        <v>#REF!</v>
      </c>
      <c r="U10" t="e">
        <v>#REF!</v>
      </c>
      <c r="V10" t="e">
        <v>#REF!</v>
      </c>
      <c r="W10" t="e">
        <v>#REF!</v>
      </c>
      <c r="X10" t="e">
        <v>#REF!</v>
      </c>
      <c r="Y10" t="e">
        <v>#REF!</v>
      </c>
      <c r="Z10" t="e">
        <v>#REF!</v>
      </c>
      <c r="AB10" s="94"/>
      <c r="AC10" s="94"/>
      <c r="AD10" s="94"/>
      <c r="AE10" s="94"/>
      <c r="AF10" s="94"/>
      <c r="AG10" s="94"/>
      <c r="AH10" s="94"/>
      <c r="AI10" s="94"/>
      <c r="BC10" s="94"/>
      <c r="BD10" s="94"/>
      <c r="BE10" s="94"/>
      <c r="BF10" s="94"/>
      <c r="BG10" s="94"/>
    </row>
    <row r="11" spans="1:59" customFormat="1" ht="16.5" x14ac:dyDescent="0.3">
      <c r="A11" s="165">
        <v>8</v>
      </c>
      <c r="B11" s="110">
        <v>54</v>
      </c>
      <c r="C11" s="176">
        <f>$C$3+$D$3*A11</f>
        <v>66.457033388067885</v>
      </c>
      <c r="D11" s="176">
        <f>B11/C11</f>
        <v>0.81255507877809519</v>
      </c>
      <c r="E11" s="176"/>
      <c r="F11" s="169" t="e">
        <f>#REF!+#REF!</f>
        <v>#REF!</v>
      </c>
      <c r="G11" s="163" t="e">
        <f>(B11-F11)^2</f>
        <v>#REF!</v>
      </c>
      <c r="H11" s="163" t="e">
        <f>AVERAGE(G$4:G11)</f>
        <v>#REF!</v>
      </c>
      <c r="I11" s="94">
        <f>B5/(AVERAGE($B$4:$B$7))</f>
        <v>0.8159203980099502</v>
      </c>
      <c r="J11" s="163"/>
      <c r="K11" s="94"/>
      <c r="L11" s="168"/>
      <c r="M11" s="94"/>
      <c r="O11">
        <f t="shared" si="1"/>
        <v>0.94000000000000006</v>
      </c>
      <c r="P11" t="e">
        <v>#REF!</v>
      </c>
      <c r="Q11" t="e">
        <v>#REF!</v>
      </c>
      <c r="R11" t="e">
        <v>#REF!</v>
      </c>
      <c r="S11" t="e">
        <v>#REF!</v>
      </c>
      <c r="T11" t="e">
        <v>#REF!</v>
      </c>
      <c r="U11" t="e">
        <v>#REF!</v>
      </c>
      <c r="V11" t="e">
        <v>#REF!</v>
      </c>
      <c r="W11" t="e">
        <v>#REF!</v>
      </c>
      <c r="X11" t="e">
        <v>#REF!</v>
      </c>
      <c r="Y11" t="e">
        <v>#REF!</v>
      </c>
      <c r="Z11" t="e">
        <v>#REF!</v>
      </c>
      <c r="AB11" s="94"/>
      <c r="AC11" s="94"/>
      <c r="AD11" s="94"/>
      <c r="AE11" s="94"/>
      <c r="AF11" s="94"/>
      <c r="AG11" s="94"/>
      <c r="AH11" s="94"/>
      <c r="AI11" s="94"/>
      <c r="BC11" s="94"/>
      <c r="BD11" s="94"/>
      <c r="BE11" s="94"/>
      <c r="BF11" s="94"/>
      <c r="BG11" s="94"/>
    </row>
    <row r="12" spans="1:59" customFormat="1" ht="16.5" x14ac:dyDescent="0.3">
      <c r="A12" s="165">
        <v>9</v>
      </c>
      <c r="B12" s="110">
        <v>30</v>
      </c>
      <c r="C12" s="176">
        <f>$C$3+$D$3*A12</f>
        <v>66.738368910782711</v>
      </c>
      <c r="D12" s="176">
        <f>B12/C12</f>
        <v>0.44951652984064755</v>
      </c>
      <c r="E12" s="176"/>
      <c r="F12" s="169" t="e">
        <f>#REF!+#REF!</f>
        <v>#REF!</v>
      </c>
      <c r="G12" s="163" t="e">
        <f>(B12-F12)^2</f>
        <v>#REF!</v>
      </c>
      <c r="H12" s="163" t="e">
        <f>AVERAGE(G$4:G12)</f>
        <v>#REF!</v>
      </c>
      <c r="I12" s="94">
        <f>B6/(AVERAGE($B$4:$B$7))</f>
        <v>1.8109452736318408</v>
      </c>
      <c r="J12" s="163"/>
      <c r="K12" s="94"/>
      <c r="L12" s="168"/>
      <c r="M12" s="94"/>
      <c r="O12">
        <f t="shared" si="1"/>
        <v>0.95000000000000007</v>
      </c>
      <c r="P12" t="e">
        <v>#REF!</v>
      </c>
      <c r="Q12" t="e">
        <v>#REF!</v>
      </c>
      <c r="R12" t="e">
        <v>#REF!</v>
      </c>
      <c r="S12" t="e">
        <v>#REF!</v>
      </c>
      <c r="T12" t="e">
        <v>#REF!</v>
      </c>
      <c r="U12" t="e">
        <v>#REF!</v>
      </c>
      <c r="V12" t="e">
        <v>#REF!</v>
      </c>
      <c r="W12" t="e">
        <v>#REF!</v>
      </c>
      <c r="X12" t="e">
        <v>#REF!</v>
      </c>
      <c r="Y12" t="e">
        <v>#REF!</v>
      </c>
      <c r="Z12" t="e">
        <v>#REF!</v>
      </c>
      <c r="AB12" s="94"/>
      <c r="AC12" s="94"/>
      <c r="AD12" s="94"/>
      <c r="AE12" s="94"/>
      <c r="AF12" s="94"/>
      <c r="AG12" s="94"/>
      <c r="AH12" s="94"/>
      <c r="AI12" s="94"/>
      <c r="BC12" s="94"/>
      <c r="BD12" s="94"/>
      <c r="BE12" s="94"/>
      <c r="BF12" s="94"/>
      <c r="BG12" s="94"/>
    </row>
    <row r="13" spans="1:59" customFormat="1" ht="16.5" x14ac:dyDescent="0.3">
      <c r="A13" s="165">
        <v>10</v>
      </c>
      <c r="B13" s="110">
        <v>69</v>
      </c>
      <c r="C13" s="176">
        <f>$C$3+$D$3*A13</f>
        <v>67.019704433497552</v>
      </c>
      <c r="D13" s="176">
        <f>B13/C13</f>
        <v>1.0295479603087099</v>
      </c>
      <c r="E13" s="176"/>
      <c r="F13" s="169" t="e">
        <f>#REF!+#REF!</f>
        <v>#REF!</v>
      </c>
      <c r="G13" s="163" t="e">
        <f>(B13-F13)^2</f>
        <v>#REF!</v>
      </c>
      <c r="H13" s="163" t="e">
        <f>AVERAGE(G$4:G13)</f>
        <v>#REF!</v>
      </c>
      <c r="I13" s="94">
        <f>B7/(AVERAGE($B$4:$B$7))</f>
        <v>0.95522388059701491</v>
      </c>
      <c r="J13" s="163"/>
      <c r="K13" s="94"/>
      <c r="L13" s="168"/>
      <c r="M13" s="94"/>
      <c r="O13">
        <f t="shared" si="1"/>
        <v>0.96000000000000008</v>
      </c>
      <c r="P13" t="e">
        <v>#REF!</v>
      </c>
      <c r="Q13" t="e">
        <v>#REF!</v>
      </c>
      <c r="R13" t="e">
        <v>#REF!</v>
      </c>
      <c r="S13" t="e">
        <v>#REF!</v>
      </c>
      <c r="T13" t="e">
        <v>#REF!</v>
      </c>
      <c r="U13" t="e">
        <v>#REF!</v>
      </c>
      <c r="V13" t="e">
        <v>#REF!</v>
      </c>
      <c r="W13" t="e">
        <v>#REF!</v>
      </c>
      <c r="X13" t="e">
        <v>#REF!</v>
      </c>
      <c r="Y13" t="e">
        <v>#REF!</v>
      </c>
      <c r="Z13" t="e">
        <v>#REF!</v>
      </c>
      <c r="AB13" s="94"/>
      <c r="AC13" s="94"/>
      <c r="AD13" s="94"/>
      <c r="AE13" s="94"/>
      <c r="AF13" s="94"/>
      <c r="AG13" s="94"/>
      <c r="AH13" s="94"/>
      <c r="AI13" s="94"/>
      <c r="BC13" s="94"/>
      <c r="BD13" s="94"/>
      <c r="BE13" s="94"/>
      <c r="BF13" s="94"/>
      <c r="BG13" s="94"/>
    </row>
    <row r="14" spans="1:59" customFormat="1" ht="16.5" x14ac:dyDescent="0.3">
      <c r="A14" s="165">
        <v>11</v>
      </c>
      <c r="B14" s="110">
        <v>212</v>
      </c>
      <c r="C14" s="176">
        <f>$C$3+$D$3*A14</f>
        <v>67.301039956212378</v>
      </c>
      <c r="D14" s="176">
        <f>B14/C14</f>
        <v>3.1500256182955289</v>
      </c>
      <c r="E14" s="176"/>
      <c r="F14" s="169" t="e">
        <f>#REF!+#REF!</f>
        <v>#REF!</v>
      </c>
      <c r="G14" s="163" t="e">
        <f>(B14-F14)^2</f>
        <v>#REF!</v>
      </c>
      <c r="H14" s="163" t="e">
        <f>AVERAGE(G$4:G14)</f>
        <v>#REF!</v>
      </c>
      <c r="I14" s="94">
        <f>B8/(AVERAGE($B$8:$B$11))</f>
        <v>0.53495440729483279</v>
      </c>
      <c r="J14" s="163"/>
      <c r="K14" s="94"/>
      <c r="L14" s="168"/>
      <c r="M14" s="94"/>
      <c r="O14">
        <f t="shared" si="1"/>
        <v>0.97000000000000008</v>
      </c>
      <c r="P14" t="e">
        <v>#REF!</v>
      </c>
      <c r="Q14" t="e">
        <v>#REF!</v>
      </c>
      <c r="R14" t="e">
        <v>#REF!</v>
      </c>
      <c r="S14" t="e">
        <v>#REF!</v>
      </c>
      <c r="T14" t="e">
        <v>#REF!</v>
      </c>
      <c r="U14" t="e">
        <v>#REF!</v>
      </c>
      <c r="V14" t="e">
        <v>#REF!</v>
      </c>
      <c r="W14" t="e">
        <v>#REF!</v>
      </c>
      <c r="X14" t="e">
        <v>#REF!</v>
      </c>
      <c r="Y14" t="e">
        <v>#REF!</v>
      </c>
      <c r="Z14" t="e">
        <v>#REF!</v>
      </c>
      <c r="AB14" s="94"/>
      <c r="AC14" s="94"/>
      <c r="AD14" s="94"/>
      <c r="AE14" s="94"/>
      <c r="AF14" s="94"/>
      <c r="AG14" s="94"/>
      <c r="AH14" s="94"/>
      <c r="AI14" s="94"/>
      <c r="BC14" s="94"/>
      <c r="BD14" s="94"/>
      <c r="BE14" s="94"/>
      <c r="BF14" s="94"/>
      <c r="BG14" s="94"/>
    </row>
    <row r="15" spans="1:59" customFormat="1" ht="16.5" x14ac:dyDescent="0.3">
      <c r="A15" s="165">
        <v>12</v>
      </c>
      <c r="B15" s="110">
        <v>75</v>
      </c>
      <c r="C15" s="176">
        <f>$C$3+$D$3*A15</f>
        <v>67.582375478927219</v>
      </c>
      <c r="D15" s="176">
        <f>B15/C15</f>
        <v>1.1097567889336128</v>
      </c>
      <c r="E15" s="176"/>
      <c r="F15" s="169" t="e">
        <f>#REF!+#REF!</f>
        <v>#REF!</v>
      </c>
      <c r="G15" s="163" t="e">
        <f>(B15-F15)^2</f>
        <v>#REF!</v>
      </c>
      <c r="H15" s="163" t="e">
        <f>AVERAGE(G$4:G15)</f>
        <v>#REF!</v>
      </c>
      <c r="I15" s="94">
        <f>B9/(AVERAGE($B$8:$B$11))</f>
        <v>0.97264437689969607</v>
      </c>
      <c r="J15" s="163"/>
      <c r="K15" s="94"/>
      <c r="L15" s="168"/>
      <c r="M15" s="94"/>
      <c r="O15">
        <f t="shared" si="1"/>
        <v>0.98000000000000009</v>
      </c>
      <c r="P15" t="e">
        <v>#REF!</v>
      </c>
      <c r="Q15" t="e">
        <v>#REF!</v>
      </c>
      <c r="R15" t="e">
        <v>#REF!</v>
      </c>
      <c r="S15" t="e">
        <v>#REF!</v>
      </c>
      <c r="T15" t="e">
        <v>#REF!</v>
      </c>
      <c r="U15" t="e">
        <v>#REF!</v>
      </c>
      <c r="V15" t="e">
        <v>#REF!</v>
      </c>
      <c r="W15" t="e">
        <v>#REF!</v>
      </c>
      <c r="X15" t="e">
        <v>#REF!</v>
      </c>
      <c r="Y15" t="e">
        <v>#REF!</v>
      </c>
      <c r="Z15" t="e">
        <v>#REF!</v>
      </c>
      <c r="AB15" s="94"/>
      <c r="AC15" s="94"/>
      <c r="AD15" s="94"/>
      <c r="AE15" s="94"/>
      <c r="AF15" s="94"/>
      <c r="AG15" s="94"/>
      <c r="AH15" s="94"/>
      <c r="AI15" s="94"/>
      <c r="BC15" s="94"/>
      <c r="BD15" s="94"/>
      <c r="BE15" s="94"/>
      <c r="BF15" s="94"/>
      <c r="BG15" s="94"/>
    </row>
    <row r="16" spans="1:59" customFormat="1" ht="16.5" x14ac:dyDescent="0.3">
      <c r="A16" s="165">
        <v>13</v>
      </c>
      <c r="B16" s="110">
        <v>47</v>
      </c>
      <c r="C16" s="110"/>
      <c r="D16" s="110"/>
      <c r="E16" s="110"/>
      <c r="F16" s="169" t="e">
        <f>#REF!+#REF!</f>
        <v>#REF!</v>
      </c>
      <c r="G16" s="163" t="e">
        <f>(B16-F16)^2</f>
        <v>#REF!</v>
      </c>
      <c r="H16" s="163" t="e">
        <f>AVERAGE(G$4:G16)</f>
        <v>#REF!</v>
      </c>
      <c r="I16" s="94">
        <f>B10/(AVERAGE($B$8:$B$11))</f>
        <v>1.8358662613981762</v>
      </c>
      <c r="J16" s="163"/>
      <c r="K16" s="94"/>
      <c r="L16" s="168"/>
      <c r="M16" s="94"/>
      <c r="O16">
        <f t="shared" si="1"/>
        <v>0.9900000000000001</v>
      </c>
      <c r="P16" t="e">
        <v>#REF!</v>
      </c>
      <c r="Q16" t="e">
        <v>#REF!</v>
      </c>
      <c r="R16" t="e">
        <v>#REF!</v>
      </c>
      <c r="S16" t="e">
        <v>#REF!</v>
      </c>
      <c r="T16" t="e">
        <v>#REF!</v>
      </c>
      <c r="U16" t="e">
        <v>#REF!</v>
      </c>
      <c r="V16" t="e">
        <v>#REF!</v>
      </c>
      <c r="W16" t="e">
        <v>#REF!</v>
      </c>
      <c r="X16" t="e">
        <v>#REF!</v>
      </c>
      <c r="Y16" t="e">
        <v>#REF!</v>
      </c>
      <c r="Z16" t="e">
        <v>#REF!</v>
      </c>
      <c r="AB16" s="94"/>
      <c r="AC16" s="94"/>
      <c r="AD16" s="94"/>
      <c r="AE16" s="94"/>
      <c r="AF16" s="94"/>
      <c r="AG16" s="94"/>
      <c r="AH16" s="94"/>
      <c r="AI16" s="94"/>
      <c r="BC16" s="94"/>
      <c r="BD16" s="94"/>
      <c r="BE16" s="94"/>
      <c r="BF16" s="94"/>
      <c r="BG16" s="94"/>
    </row>
    <row r="17" spans="1:59" customFormat="1" ht="16.5" x14ac:dyDescent="0.3">
      <c r="A17" s="165">
        <v>14</v>
      </c>
      <c r="B17" s="110">
        <v>48</v>
      </c>
      <c r="C17" s="110"/>
      <c r="D17" s="110"/>
      <c r="E17" s="110"/>
      <c r="F17" s="169" t="e">
        <f>#REF!+#REF!</f>
        <v>#REF!</v>
      </c>
      <c r="G17" s="163" t="e">
        <f>(B17-F17)^2</f>
        <v>#REF!</v>
      </c>
      <c r="H17" s="163" t="e">
        <f>AVERAGE(G$4:G17)</f>
        <v>#REF!</v>
      </c>
      <c r="I17" s="94">
        <f>B11/(AVERAGE($B$8:$B$11))</f>
        <v>0.65653495440729481</v>
      </c>
      <c r="J17" s="163"/>
      <c r="K17" s="94"/>
      <c r="L17" s="168"/>
      <c r="M17" s="94"/>
      <c r="N17" s="11"/>
      <c r="O17">
        <f t="shared" si="1"/>
        <v>1</v>
      </c>
      <c r="P17" t="e">
        <v>#REF!</v>
      </c>
      <c r="Q17" s="11" t="e">
        <v>#REF!</v>
      </c>
      <c r="R17" s="11" t="e">
        <v>#REF!</v>
      </c>
      <c r="S17" s="11" t="e">
        <v>#REF!</v>
      </c>
      <c r="T17" s="11" t="e">
        <v>#REF!</v>
      </c>
      <c r="U17" s="11" t="e">
        <v>#REF!</v>
      </c>
      <c r="V17" s="11" t="e">
        <v>#REF!</v>
      </c>
      <c r="W17" s="11" t="e">
        <v>#REF!</v>
      </c>
      <c r="X17" s="11" t="e">
        <v>#REF!</v>
      </c>
      <c r="Y17" s="11" t="e">
        <v>#REF!</v>
      </c>
      <c r="Z17" s="11" t="e">
        <v>#REF!</v>
      </c>
      <c r="AA17" s="11"/>
      <c r="AB17" s="102"/>
      <c r="AC17" s="102"/>
      <c r="AD17" s="102"/>
      <c r="AE17" s="102"/>
      <c r="AF17" s="102"/>
      <c r="AG17" s="102"/>
      <c r="AH17" s="102"/>
      <c r="AI17" s="102"/>
      <c r="AJ17" s="11"/>
      <c r="AK17" s="11"/>
      <c r="AL17" s="11"/>
      <c r="AM17" s="11"/>
      <c r="AN17" s="11"/>
      <c r="AO17" s="11"/>
      <c r="AP17" s="11"/>
      <c r="BC17" s="94"/>
      <c r="BD17" s="94"/>
      <c r="BE17" s="94"/>
      <c r="BF17" s="94"/>
      <c r="BG17" s="94"/>
    </row>
    <row r="18" spans="1:59" ht="16.5" x14ac:dyDescent="0.3">
      <c r="A18" s="165">
        <v>15</v>
      </c>
      <c r="B18" s="110">
        <v>50</v>
      </c>
      <c r="C18" s="110"/>
      <c r="D18" s="110"/>
      <c r="E18" s="110"/>
      <c r="F18" s="169" t="e">
        <f>#REF!+#REF!</f>
        <v>#REF!</v>
      </c>
      <c r="G18" s="163" t="e">
        <f>(B18-F18)^2</f>
        <v>#REF!</v>
      </c>
      <c r="H18" s="163" t="e">
        <f>AVERAGE(G$4:G18)</f>
        <v>#REF!</v>
      </c>
      <c r="J18" s="163"/>
      <c r="L18" s="168"/>
      <c r="N18" s="102"/>
      <c r="O18"/>
      <c r="P18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 t="e">
        <f>MIN(P7:Z17)</f>
        <v>#REF!</v>
      </c>
      <c r="AB18" s="102"/>
      <c r="AC18" s="102"/>
      <c r="AD18" s="102"/>
      <c r="AE18" s="102"/>
      <c r="AF18" s="102"/>
      <c r="AG18" s="102"/>
      <c r="AH18" s="102"/>
      <c r="AI18" s="102"/>
      <c r="AJ18" s="11"/>
      <c r="AK18" s="11"/>
      <c r="AL18" s="11"/>
      <c r="AM18" s="11"/>
      <c r="AN18" s="11"/>
      <c r="AO18" s="11"/>
      <c r="AP18" s="11"/>
    </row>
    <row r="19" spans="1:59" ht="16.5" x14ac:dyDescent="0.3">
      <c r="A19" s="165">
        <v>16</v>
      </c>
      <c r="B19" s="110">
        <v>51</v>
      </c>
      <c r="C19" s="110"/>
      <c r="D19" s="110"/>
      <c r="E19" s="110"/>
      <c r="F19" s="169" t="e">
        <f>#REF!+#REF!</f>
        <v>#REF!</v>
      </c>
      <c r="G19" s="163" t="e">
        <f>(B19-F19)^2</f>
        <v>#REF!</v>
      </c>
      <c r="H19" s="163" t="e">
        <f>AVERAGE(G$4:G19)</f>
        <v>#REF!</v>
      </c>
      <c r="J19" s="163"/>
      <c r="K19" s="102"/>
      <c r="L19" s="168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1"/>
      <c r="AK19" s="11"/>
      <c r="AL19" s="11"/>
      <c r="AM19" s="11"/>
      <c r="AN19" s="11"/>
      <c r="AO19" s="11"/>
      <c r="AP19" s="11"/>
    </row>
    <row r="20" spans="1:59" ht="16.5" x14ac:dyDescent="0.3">
      <c r="A20" s="165">
        <v>17</v>
      </c>
      <c r="B20" s="110">
        <v>51</v>
      </c>
      <c r="C20" s="110"/>
      <c r="D20" s="110"/>
      <c r="E20" s="110"/>
      <c r="F20" s="169" t="e">
        <f>#REF!+#REF!</f>
        <v>#REF!</v>
      </c>
      <c r="G20" s="163" t="e">
        <f>(B20-F20)^2</f>
        <v>#REF!</v>
      </c>
      <c r="H20" s="163" t="e">
        <f>AVERAGE(G$4:G20)</f>
        <v>#REF!</v>
      </c>
      <c r="J20" s="163"/>
      <c r="K20" s="102"/>
      <c r="L20" s="168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1"/>
      <c r="AK20" s="11"/>
      <c r="AL20" s="11"/>
      <c r="AM20" s="11"/>
      <c r="AN20" s="11"/>
      <c r="AO20" s="11"/>
      <c r="AP20" s="11"/>
    </row>
    <row r="21" spans="1:59" ht="16.5" x14ac:dyDescent="0.3">
      <c r="A21" s="165">
        <v>18</v>
      </c>
      <c r="B21" s="110">
        <v>53</v>
      </c>
      <c r="C21" s="110"/>
      <c r="D21" s="110"/>
      <c r="E21" s="110"/>
      <c r="F21" s="169" t="e">
        <f>#REF!+#REF!</f>
        <v>#REF!</v>
      </c>
      <c r="G21" s="163" t="e">
        <f>(B21-F21)^2</f>
        <v>#REF!</v>
      </c>
      <c r="H21" s="163" t="e">
        <f>AVERAGE(G$4:G21)</f>
        <v>#REF!</v>
      </c>
      <c r="J21" s="163"/>
      <c r="K21" s="102"/>
      <c r="L21" s="168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1"/>
      <c r="AK21" s="11"/>
      <c r="AL21" s="11"/>
      <c r="AM21" s="11"/>
      <c r="AN21" s="11"/>
      <c r="AO21" s="11"/>
      <c r="AP21" s="11"/>
    </row>
    <row r="22" spans="1:59" ht="16.5" x14ac:dyDescent="0.3">
      <c r="A22" s="165">
        <v>19</v>
      </c>
      <c r="B22" s="110">
        <v>56</v>
      </c>
      <c r="C22" s="110"/>
      <c r="D22" s="110"/>
      <c r="E22" s="110"/>
      <c r="F22" s="169" t="e">
        <f>#REF!+#REF!</f>
        <v>#REF!</v>
      </c>
      <c r="G22" s="163" t="e">
        <f>(B22-F22)^2</f>
        <v>#REF!</v>
      </c>
      <c r="H22" s="163" t="e">
        <f>AVERAGE(G$4:G22)</f>
        <v>#REF!</v>
      </c>
      <c r="J22" s="163"/>
      <c r="K22" s="102"/>
      <c r="L22" s="168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1"/>
      <c r="AK22" s="11"/>
      <c r="AL22" s="11"/>
      <c r="AM22" s="11"/>
      <c r="AN22" s="11"/>
      <c r="AO22" s="11"/>
      <c r="AP22" s="11"/>
    </row>
    <row r="23" spans="1:59" ht="16.5" x14ac:dyDescent="0.3">
      <c r="A23" s="165">
        <v>20</v>
      </c>
      <c r="B23" s="110">
        <v>61</v>
      </c>
      <c r="C23" s="110"/>
      <c r="D23" s="110"/>
      <c r="E23" s="110"/>
      <c r="F23" s="169" t="e">
        <f>#REF!+#REF!</f>
        <v>#REF!</v>
      </c>
      <c r="G23" s="163" t="e">
        <f>(B23-F23)^2</f>
        <v>#REF!</v>
      </c>
      <c r="H23" s="163" t="e">
        <f>AVERAGE(G$4:G23)</f>
        <v>#REF!</v>
      </c>
      <c r="J23" s="163"/>
      <c r="K23" s="102"/>
      <c r="L23" s="168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1"/>
      <c r="AK23" s="11"/>
      <c r="AL23" s="11"/>
      <c r="AM23" s="11"/>
      <c r="AN23" s="11"/>
      <c r="AO23" s="11"/>
      <c r="AP23" s="11"/>
    </row>
    <row r="24" spans="1:59" ht="16.5" x14ac:dyDescent="0.3">
      <c r="A24" s="165">
        <v>21</v>
      </c>
      <c r="B24" s="110">
        <v>62</v>
      </c>
      <c r="C24" s="110"/>
      <c r="D24" s="110"/>
      <c r="E24" s="110"/>
      <c r="F24" s="169" t="e">
        <f>#REF!+#REF!</f>
        <v>#REF!</v>
      </c>
      <c r="G24" s="163" t="e">
        <f>(B24-F24)^2</f>
        <v>#REF!</v>
      </c>
      <c r="H24" s="163" t="e">
        <f>AVERAGE(G$4:G24)</f>
        <v>#REF!</v>
      </c>
      <c r="J24" s="163"/>
      <c r="K24" s="102"/>
      <c r="L24" s="168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1"/>
      <c r="AK24" s="11"/>
      <c r="AL24" s="11"/>
      <c r="AM24" s="11"/>
      <c r="AN24" s="11"/>
      <c r="AO24" s="11"/>
      <c r="AP24" s="11"/>
    </row>
    <row r="25" spans="1:59" ht="16.5" x14ac:dyDescent="0.3">
      <c r="A25" s="165">
        <v>22</v>
      </c>
      <c r="B25" s="110">
        <v>65</v>
      </c>
      <c r="C25" s="110"/>
      <c r="D25" s="110"/>
      <c r="E25" s="110"/>
      <c r="F25" s="169" t="e">
        <f>#REF!+#REF!</f>
        <v>#REF!</v>
      </c>
      <c r="G25" s="163" t="e">
        <f>(B25-F25)^2</f>
        <v>#REF!</v>
      </c>
      <c r="H25" s="163" t="e">
        <f>AVERAGE(G$4:G25)</f>
        <v>#REF!</v>
      </c>
      <c r="J25" s="163"/>
      <c r="K25" s="102"/>
      <c r="L25" s="168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1"/>
      <c r="AK25" s="11"/>
      <c r="AL25" s="11"/>
      <c r="AM25" s="11"/>
      <c r="AN25" s="11"/>
      <c r="AO25" s="11"/>
      <c r="AP25" s="11"/>
    </row>
    <row r="26" spans="1:59" ht="16.5" x14ac:dyDescent="0.3">
      <c r="A26" s="165">
        <v>23</v>
      </c>
      <c r="B26" s="110">
        <v>67</v>
      </c>
      <c r="C26" s="110"/>
      <c r="D26" s="110"/>
      <c r="E26" s="110"/>
      <c r="F26" s="169" t="e">
        <f>#REF!+#REF!</f>
        <v>#REF!</v>
      </c>
      <c r="G26" s="163" t="e">
        <f>(B26-F26)^2</f>
        <v>#REF!</v>
      </c>
      <c r="H26" s="163" t="e">
        <f>AVERAGE(G$4:G26)</f>
        <v>#REF!</v>
      </c>
      <c r="J26" s="163"/>
      <c r="K26" s="102"/>
      <c r="L26" s="168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1"/>
      <c r="AK26" s="11"/>
      <c r="AL26" s="11"/>
      <c r="AM26" s="11"/>
      <c r="AN26" s="11"/>
      <c r="AO26" s="11"/>
      <c r="AP26" s="11"/>
    </row>
    <row r="27" spans="1:59" ht="16.5" x14ac:dyDescent="0.3">
      <c r="A27" s="165">
        <v>24</v>
      </c>
      <c r="B27" s="110">
        <v>69</v>
      </c>
      <c r="C27" s="110"/>
      <c r="D27" s="110"/>
      <c r="E27" s="110"/>
      <c r="F27" s="169" t="e">
        <f>#REF!+#REF!</f>
        <v>#REF!</v>
      </c>
      <c r="G27" s="163" t="e">
        <f>(B27-F27)^2</f>
        <v>#REF!</v>
      </c>
      <c r="H27" s="163" t="e">
        <f>AVERAGE(G$4:G27)</f>
        <v>#REF!</v>
      </c>
      <c r="J27" s="163"/>
      <c r="K27" s="102"/>
      <c r="L27" s="168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1"/>
      <c r="AK27" s="11"/>
      <c r="AL27" s="11"/>
      <c r="AM27" s="11"/>
      <c r="AN27" s="11"/>
      <c r="AO27" s="11"/>
      <c r="AP27" s="11"/>
    </row>
    <row r="28" spans="1:59" ht="16.5" x14ac:dyDescent="0.3">
      <c r="A28" s="165">
        <v>25</v>
      </c>
      <c r="B28" s="110">
        <v>72</v>
      </c>
      <c r="C28" s="110"/>
      <c r="D28" s="110"/>
      <c r="E28" s="110"/>
      <c r="F28" s="169" t="e">
        <f>#REF!+#REF!</f>
        <v>#REF!</v>
      </c>
      <c r="G28" s="163" t="e">
        <f>(B28-F28)^2</f>
        <v>#REF!</v>
      </c>
      <c r="H28" s="163" t="e">
        <f>AVERAGE(G$4:G28)</f>
        <v>#REF!</v>
      </c>
      <c r="J28" s="163"/>
      <c r="K28" s="102"/>
      <c r="L28" s="168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1"/>
      <c r="AK28" s="11"/>
      <c r="AL28" s="11"/>
      <c r="AM28" s="11"/>
      <c r="AN28" s="11"/>
      <c r="AO28" s="11"/>
      <c r="AP28" s="11"/>
    </row>
    <row r="29" spans="1:59" ht="16.5" x14ac:dyDescent="0.3">
      <c r="A29" s="165">
        <v>26</v>
      </c>
      <c r="B29" s="110">
        <v>72</v>
      </c>
      <c r="C29" s="110"/>
      <c r="D29" s="110"/>
      <c r="E29" s="110"/>
      <c r="F29" s="169" t="e">
        <f>#REF!+#REF!</f>
        <v>#REF!</v>
      </c>
      <c r="G29" s="163" t="e">
        <f>(B29-F29)^2</f>
        <v>#REF!</v>
      </c>
      <c r="H29" s="163" t="e">
        <f>AVERAGE(G$4:G29)</f>
        <v>#REF!</v>
      </c>
      <c r="J29" s="163"/>
      <c r="K29" s="102"/>
      <c r="L29" s="168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1"/>
      <c r="AK29" s="11"/>
      <c r="AL29" s="11"/>
      <c r="AM29" s="11"/>
      <c r="AN29" s="11"/>
      <c r="AO29" s="11"/>
      <c r="AP29" s="11"/>
    </row>
    <row r="30" spans="1:59" ht="16.5" x14ac:dyDescent="0.3">
      <c r="A30" s="165">
        <v>27</v>
      </c>
      <c r="B30" s="110">
        <v>82</v>
      </c>
      <c r="C30" s="110"/>
      <c r="D30" s="110"/>
      <c r="E30" s="110"/>
      <c r="F30" s="169" t="e">
        <f>#REF!+#REF!</f>
        <v>#REF!</v>
      </c>
      <c r="G30" s="163" t="e">
        <f>(B30-F30)^2</f>
        <v>#REF!</v>
      </c>
      <c r="H30" s="163" t="e">
        <f>AVERAGE(G$4:G30)</f>
        <v>#REF!</v>
      </c>
      <c r="J30" s="163"/>
      <c r="K30" s="102"/>
      <c r="L30" s="168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1"/>
      <c r="AK30" s="11"/>
      <c r="AL30" s="11"/>
      <c r="AM30" s="11"/>
      <c r="AN30" s="11"/>
      <c r="AO30" s="11"/>
      <c r="AP30" s="11"/>
    </row>
    <row r="31" spans="1:59" ht="16.5" x14ac:dyDescent="0.3">
      <c r="A31" s="165">
        <v>28</v>
      </c>
      <c r="B31" s="110">
        <v>90</v>
      </c>
      <c r="C31" s="110"/>
      <c r="D31" s="110"/>
      <c r="E31" s="110"/>
      <c r="F31" s="169" t="e">
        <f>#REF!+#REF!</f>
        <v>#REF!</v>
      </c>
      <c r="G31" s="163" t="e">
        <f>(B31-F31)^2</f>
        <v>#REF!</v>
      </c>
      <c r="H31" s="163" t="e">
        <f>AVERAGE(G$4:G31)</f>
        <v>#REF!</v>
      </c>
      <c r="J31" s="163" t="s">
        <v>139</v>
      </c>
      <c r="K31" s="102"/>
      <c r="L31" s="168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1"/>
      <c r="AK31" s="11"/>
      <c r="AL31" s="11"/>
      <c r="AM31" s="11"/>
      <c r="AN31" s="11"/>
      <c r="AO31" s="11"/>
      <c r="AP31" s="11"/>
    </row>
    <row r="32" spans="1:59" ht="16.5" x14ac:dyDescent="0.3">
      <c r="A32" s="164">
        <v>29</v>
      </c>
      <c r="B32"/>
      <c r="C32"/>
      <c r="D32"/>
      <c r="E32"/>
      <c r="F32" s="1" t="e">
        <f>#REF!+#REF!</f>
        <v>#REF!</v>
      </c>
      <c r="G32" s="151"/>
      <c r="H32"/>
      <c r="I32" s="102"/>
      <c r="J32" s="102" t="s">
        <v>138</v>
      </c>
      <c r="K32" s="102"/>
      <c r="L32" s="168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1"/>
      <c r="AK32" s="11"/>
      <c r="AL32" s="11"/>
      <c r="AM32" s="11"/>
      <c r="AN32" s="11"/>
      <c r="AO32" s="11"/>
      <c r="AP32" s="11"/>
      <c r="BC32"/>
      <c r="BD32"/>
      <c r="BE32"/>
      <c r="BF32"/>
      <c r="BG32"/>
    </row>
    <row r="33" spans="1:59" x14ac:dyDescent="0.25">
      <c r="A33"/>
      <c r="B33"/>
      <c r="C33"/>
      <c r="D33"/>
      <c r="E33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1"/>
      <c r="AK33" s="11"/>
      <c r="AL33" s="11"/>
      <c r="AM33" s="11"/>
      <c r="AN33" s="11"/>
      <c r="AO33" s="11"/>
      <c r="AP33" s="11"/>
      <c r="BC33"/>
      <c r="BD33"/>
      <c r="BE33"/>
      <c r="BF33"/>
      <c r="BG33"/>
    </row>
    <row r="34" spans="1:59" x14ac:dyDescent="0.25">
      <c r="A34"/>
      <c r="B34"/>
      <c r="C34"/>
      <c r="D34"/>
      <c r="E34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1"/>
      <c r="AK34" s="11"/>
      <c r="AL34" s="11"/>
      <c r="AM34" s="11"/>
      <c r="AN34" s="11"/>
      <c r="AO34" s="11"/>
      <c r="AP34" s="11"/>
      <c r="BC34"/>
      <c r="BD34"/>
      <c r="BE34"/>
      <c r="BF34"/>
      <c r="BG34"/>
    </row>
    <row r="35" spans="1:59" x14ac:dyDescent="0.25">
      <c r="A35"/>
      <c r="B35"/>
      <c r="C35"/>
      <c r="D35"/>
      <c r="E35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1"/>
      <c r="AK35" s="11"/>
      <c r="AL35" s="11"/>
      <c r="AM35" s="11"/>
      <c r="AN35" s="11"/>
      <c r="AO35" s="11"/>
      <c r="AP35" s="11"/>
      <c r="BC35"/>
      <c r="BD35"/>
      <c r="BE35"/>
      <c r="BF35"/>
      <c r="BG35"/>
    </row>
    <row r="36" spans="1:59" x14ac:dyDescent="0.25">
      <c r="A36"/>
      <c r="B36"/>
      <c r="C36"/>
      <c r="D36"/>
      <c r="E36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1"/>
      <c r="AK36" s="11"/>
      <c r="AL36" s="11"/>
      <c r="AM36" s="11"/>
      <c r="AN36" s="11"/>
      <c r="AO36" s="11"/>
      <c r="AP36" s="11"/>
      <c r="BC36"/>
      <c r="BD36"/>
      <c r="BE36"/>
      <c r="BF36"/>
      <c r="BG36"/>
    </row>
    <row r="37" spans="1:59" x14ac:dyDescent="0.25">
      <c r="A37"/>
      <c r="B37"/>
      <c r="C37"/>
      <c r="D37"/>
      <c r="E37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1"/>
      <c r="AK37" s="11"/>
      <c r="AL37" s="11"/>
      <c r="AM37" s="11"/>
      <c r="AN37" s="11"/>
      <c r="AO37" s="11"/>
      <c r="AP37" s="11"/>
      <c r="BC37"/>
      <c r="BD37"/>
      <c r="BE37"/>
      <c r="BF37"/>
      <c r="BG37"/>
    </row>
    <row r="38" spans="1:59" x14ac:dyDescent="0.25">
      <c r="A38"/>
      <c r="B38"/>
      <c r="C38"/>
      <c r="D38"/>
      <c r="E38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1"/>
      <c r="AK38" s="11"/>
      <c r="AL38" s="11"/>
      <c r="AM38" s="11"/>
      <c r="AN38" s="11"/>
      <c r="AO38" s="11"/>
      <c r="AP38" s="11"/>
      <c r="BC38"/>
      <c r="BD38"/>
      <c r="BE38"/>
      <c r="BF38"/>
      <c r="BG38"/>
    </row>
    <row r="39" spans="1:59" x14ac:dyDescent="0.25">
      <c r="A39"/>
      <c r="B39"/>
      <c r="C39"/>
      <c r="D39"/>
      <c r="E39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1"/>
      <c r="AK39" s="11"/>
      <c r="AL39" s="11"/>
      <c r="AM39" s="11"/>
      <c r="AN39" s="11"/>
      <c r="AO39" s="11"/>
      <c r="AP39" s="11"/>
      <c r="BC39"/>
      <c r="BD39"/>
      <c r="BE39"/>
      <c r="BF39"/>
      <c r="BG39"/>
    </row>
    <row r="40" spans="1:59" x14ac:dyDescent="0.25">
      <c r="A40"/>
      <c r="B40"/>
      <c r="C40"/>
      <c r="D40"/>
      <c r="E40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1"/>
      <c r="AK40" s="11"/>
      <c r="AL40" s="11"/>
      <c r="AM40" s="11"/>
      <c r="AN40" s="11"/>
      <c r="AO40" s="11"/>
      <c r="AP40" s="11"/>
      <c r="BC40"/>
      <c r="BD40"/>
      <c r="BE40"/>
      <c r="BF40"/>
      <c r="BG40"/>
    </row>
    <row r="41" spans="1:59" x14ac:dyDescent="0.25">
      <c r="A41"/>
      <c r="B41"/>
      <c r="C41"/>
      <c r="D41"/>
      <c r="E41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1"/>
      <c r="AK41" s="11"/>
      <c r="AL41" s="11"/>
      <c r="AM41" s="11"/>
      <c r="AN41" s="11"/>
      <c r="AO41" s="11"/>
      <c r="AP41" s="11"/>
      <c r="BC41"/>
      <c r="BD41"/>
      <c r="BE41"/>
      <c r="BF41"/>
      <c r="BG41"/>
    </row>
    <row r="42" spans="1:59" x14ac:dyDescent="0.25">
      <c r="A42"/>
      <c r="B42"/>
      <c r="C42"/>
      <c r="D42"/>
      <c r="E4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1"/>
      <c r="AK42" s="11"/>
      <c r="AL42" s="11"/>
      <c r="AM42" s="11"/>
      <c r="AN42" s="11"/>
      <c r="AO42" s="11"/>
      <c r="AP42" s="11"/>
      <c r="BC42"/>
      <c r="BD42"/>
      <c r="BE42"/>
      <c r="BF42"/>
      <c r="BG42"/>
    </row>
    <row r="43" spans="1:59" x14ac:dyDescent="0.25">
      <c r="A43"/>
      <c r="B43"/>
      <c r="C43"/>
      <c r="D43"/>
      <c r="E43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1"/>
      <c r="AK43" s="11"/>
      <c r="AL43" s="11"/>
      <c r="AM43" s="11"/>
      <c r="AN43" s="11"/>
      <c r="AO43" s="11"/>
      <c r="AP43" s="11"/>
      <c r="BC43"/>
      <c r="BD43"/>
      <c r="BE43"/>
      <c r="BF43"/>
      <c r="BG43"/>
    </row>
    <row r="44" spans="1:59" x14ac:dyDescent="0.25">
      <c r="A44"/>
      <c r="B44"/>
      <c r="C44"/>
      <c r="D44"/>
      <c r="E44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1"/>
      <c r="AK44" s="11"/>
      <c r="AL44" s="11"/>
      <c r="AM44" s="11"/>
      <c r="AN44" s="11"/>
      <c r="AO44" s="11"/>
      <c r="AP44" s="11"/>
      <c r="BC44"/>
      <c r="BD44"/>
      <c r="BE44"/>
      <c r="BF44"/>
      <c r="BG44"/>
    </row>
    <row r="45" spans="1:59" x14ac:dyDescent="0.25">
      <c r="A45"/>
      <c r="B45"/>
      <c r="C45"/>
      <c r="D45"/>
      <c r="E45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1"/>
      <c r="AK45" s="11"/>
      <c r="AL45" s="11"/>
      <c r="AM45" s="11"/>
      <c r="AN45" s="11"/>
      <c r="AO45" s="11"/>
      <c r="AP45" s="11"/>
      <c r="BC45"/>
      <c r="BD45"/>
      <c r="BE45"/>
      <c r="BF45"/>
      <c r="BG45"/>
    </row>
    <row r="46" spans="1:59" x14ac:dyDescent="0.25">
      <c r="A46"/>
      <c r="B46"/>
      <c r="C46"/>
      <c r="D46"/>
      <c r="E46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1"/>
      <c r="AK46" s="11"/>
      <c r="AL46" s="11"/>
      <c r="AM46" s="11"/>
      <c r="AN46" s="11"/>
      <c r="AO46" s="11"/>
      <c r="AP46" s="11"/>
      <c r="BC46"/>
      <c r="BD46"/>
      <c r="BE46"/>
      <c r="BF46"/>
      <c r="BG46"/>
    </row>
    <row r="47" spans="1:59" x14ac:dyDescent="0.25">
      <c r="A47"/>
      <c r="B47"/>
      <c r="C47"/>
      <c r="D47"/>
      <c r="E47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1"/>
      <c r="AK47" s="11"/>
      <c r="AL47" s="11"/>
      <c r="AM47" s="11"/>
      <c r="AN47" s="11"/>
      <c r="AO47" s="11"/>
      <c r="AP47" s="11"/>
      <c r="BC47"/>
      <c r="BD47"/>
      <c r="BE47"/>
      <c r="BF47"/>
      <c r="BG47"/>
    </row>
    <row r="48" spans="1:59" x14ac:dyDescent="0.25">
      <c r="A48"/>
      <c r="B48"/>
      <c r="C48"/>
      <c r="D48"/>
      <c r="E48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1"/>
      <c r="AK48" s="11"/>
      <c r="AL48" s="11"/>
      <c r="AM48" s="11"/>
      <c r="AN48" s="11"/>
      <c r="AO48" s="11"/>
      <c r="AP48" s="11"/>
      <c r="BC48"/>
      <c r="BD48"/>
      <c r="BE48"/>
      <c r="BF48"/>
      <c r="BG48"/>
    </row>
    <row r="49" spans="1:59" x14ac:dyDescent="0.25">
      <c r="A49"/>
      <c r="B49"/>
      <c r="C49"/>
      <c r="D49"/>
      <c r="E49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1"/>
      <c r="AK49" s="11"/>
      <c r="AL49" s="11"/>
      <c r="AM49" s="11"/>
      <c r="AN49" s="11"/>
      <c r="AO49" s="11"/>
      <c r="AP49" s="11"/>
      <c r="BC49"/>
      <c r="BD49"/>
      <c r="BE49"/>
      <c r="BF49"/>
      <c r="BG49"/>
    </row>
    <row r="50" spans="1:59" x14ac:dyDescent="0.25">
      <c r="A50"/>
      <c r="B50"/>
      <c r="C50"/>
      <c r="D50"/>
      <c r="E50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1"/>
      <c r="AK50" s="11"/>
      <c r="AL50" s="11"/>
      <c r="AM50" s="11"/>
      <c r="AN50" s="11"/>
      <c r="AO50" s="11"/>
      <c r="AP50" s="11"/>
      <c r="BC50"/>
      <c r="BD50"/>
      <c r="BE50"/>
      <c r="BF50"/>
      <c r="BG50"/>
    </row>
    <row r="51" spans="1:59" x14ac:dyDescent="0.25">
      <c r="A51"/>
      <c r="B51"/>
      <c r="C51"/>
      <c r="D51"/>
      <c r="E51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1"/>
      <c r="AK51" s="11"/>
      <c r="AL51" s="11"/>
      <c r="AM51" s="11"/>
      <c r="AN51" s="11"/>
      <c r="AO51" s="11"/>
      <c r="AP51" s="11"/>
      <c r="BC51"/>
      <c r="BD51"/>
      <c r="BE51"/>
      <c r="BF51"/>
      <c r="BG51"/>
    </row>
    <row r="52" spans="1:59" x14ac:dyDescent="0.25">
      <c r="A52"/>
      <c r="B52"/>
      <c r="C52"/>
      <c r="D52"/>
      <c r="E5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1"/>
      <c r="AK52" s="11"/>
      <c r="AL52" s="11"/>
      <c r="AM52" s="11"/>
      <c r="AN52" s="11"/>
      <c r="AO52" s="11"/>
      <c r="AP52" s="11"/>
      <c r="BC52"/>
      <c r="BD52"/>
      <c r="BE52"/>
      <c r="BF52"/>
      <c r="BG52"/>
    </row>
    <row r="53" spans="1:59" x14ac:dyDescent="0.25">
      <c r="A53"/>
      <c r="B53"/>
      <c r="C53"/>
      <c r="D53"/>
      <c r="E53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1"/>
      <c r="AK53" s="11"/>
      <c r="AL53" s="11"/>
      <c r="AM53" s="11"/>
      <c r="AN53" s="11"/>
      <c r="AO53" s="11"/>
      <c r="AP53" s="11"/>
      <c r="BC53"/>
      <c r="BD53"/>
      <c r="BE53"/>
      <c r="BF53"/>
      <c r="BG53"/>
    </row>
    <row r="54" spans="1:59" x14ac:dyDescent="0.25">
      <c r="A54"/>
      <c r="B54"/>
      <c r="C54"/>
      <c r="D54"/>
      <c r="E54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1"/>
      <c r="AK54" s="11"/>
      <c r="AL54" s="11"/>
      <c r="AM54" s="11"/>
      <c r="AN54" s="11"/>
      <c r="AO54" s="11"/>
      <c r="AP54" s="11"/>
      <c r="BC54"/>
      <c r="BD54"/>
      <c r="BE54"/>
      <c r="BF54"/>
      <c r="BG54"/>
    </row>
    <row r="55" spans="1:59" x14ac:dyDescent="0.25">
      <c r="A55"/>
      <c r="B55"/>
      <c r="C55"/>
      <c r="D55"/>
      <c r="E55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1"/>
      <c r="AK55" s="11"/>
      <c r="AL55" s="11"/>
      <c r="AM55" s="11"/>
      <c r="AN55" s="11"/>
      <c r="AO55" s="11"/>
      <c r="AP55" s="11"/>
      <c r="BC55"/>
      <c r="BD55"/>
      <c r="BE55"/>
      <c r="BF55"/>
      <c r="BG55"/>
    </row>
    <row r="56" spans="1:59" x14ac:dyDescent="0.25">
      <c r="A56"/>
      <c r="B56"/>
      <c r="C56"/>
      <c r="D56"/>
      <c r="E56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1"/>
      <c r="AK56" s="11"/>
      <c r="AL56" s="11"/>
      <c r="AM56" s="11"/>
      <c r="AN56" s="11"/>
      <c r="AO56" s="11"/>
      <c r="AP56" s="11"/>
      <c r="BC56"/>
      <c r="BD56"/>
      <c r="BE56"/>
      <c r="BF56"/>
      <c r="BG56"/>
    </row>
    <row r="57" spans="1:59" x14ac:dyDescent="0.25">
      <c r="A57"/>
      <c r="B57"/>
      <c r="C57"/>
      <c r="D57"/>
      <c r="E57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1"/>
      <c r="AK57" s="11"/>
      <c r="AL57" s="11"/>
      <c r="AM57" s="11"/>
      <c r="AN57" s="11"/>
      <c r="AO57" s="11"/>
      <c r="AP57" s="11"/>
      <c r="BC57"/>
      <c r="BD57"/>
      <c r="BE57"/>
      <c r="BF57"/>
      <c r="BG57"/>
    </row>
    <row r="58" spans="1:59" x14ac:dyDescent="0.25">
      <c r="A58"/>
      <c r="B58"/>
      <c r="C58"/>
      <c r="D58"/>
      <c r="E58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1"/>
      <c r="AK58" s="11"/>
      <c r="AL58" s="11"/>
      <c r="AM58" s="11"/>
      <c r="AN58" s="11"/>
      <c r="AO58" s="11"/>
      <c r="AP58" s="11"/>
      <c r="BC58"/>
      <c r="BD58"/>
      <c r="BE58"/>
      <c r="BF58"/>
      <c r="BG58"/>
    </row>
    <row r="59" spans="1:59" x14ac:dyDescent="0.25">
      <c r="A59"/>
      <c r="B59"/>
      <c r="C59"/>
      <c r="D59"/>
      <c r="E59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1"/>
      <c r="AK59" s="11"/>
      <c r="AL59" s="11"/>
      <c r="AM59" s="11"/>
      <c r="AN59" s="11"/>
      <c r="AO59" s="11"/>
      <c r="AP59" s="11"/>
      <c r="BC59"/>
      <c r="BD59"/>
      <c r="BE59"/>
      <c r="BF59"/>
      <c r="BG59"/>
    </row>
    <row r="60" spans="1:59" x14ac:dyDescent="0.25">
      <c r="A60"/>
      <c r="B60"/>
      <c r="C60"/>
      <c r="D60"/>
      <c r="E60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1"/>
      <c r="AK60" s="11"/>
      <c r="AL60" s="11"/>
      <c r="AM60" s="11"/>
      <c r="AN60" s="11"/>
      <c r="AO60" s="11"/>
      <c r="AP60" s="11"/>
      <c r="BC60"/>
      <c r="BD60"/>
      <c r="BE60"/>
      <c r="BF60"/>
      <c r="BG60"/>
    </row>
    <row r="61" spans="1:59" x14ac:dyDescent="0.25">
      <c r="A61"/>
      <c r="B61"/>
      <c r="C61"/>
      <c r="D61"/>
      <c r="E61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1"/>
      <c r="AK61" s="11"/>
      <c r="AL61" s="11"/>
      <c r="AM61" s="11"/>
      <c r="AN61" s="11"/>
      <c r="AO61" s="11"/>
      <c r="AP61" s="11"/>
      <c r="BC61"/>
      <c r="BD61"/>
      <c r="BE61"/>
      <c r="BF61"/>
      <c r="BG61"/>
    </row>
    <row r="62" spans="1:59" x14ac:dyDescent="0.25">
      <c r="A62"/>
      <c r="B62"/>
      <c r="C62"/>
      <c r="D62"/>
      <c r="E6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1"/>
      <c r="AK62" s="11"/>
      <c r="AL62" s="11"/>
      <c r="AM62" s="11"/>
      <c r="AN62" s="11"/>
      <c r="AO62" s="11"/>
      <c r="AP62" s="11"/>
      <c r="BC62"/>
      <c r="BD62"/>
      <c r="BE62"/>
      <c r="BF62"/>
      <c r="BG62"/>
    </row>
    <row r="63" spans="1:59" x14ac:dyDescent="0.25">
      <c r="A63"/>
      <c r="B63"/>
      <c r="C63"/>
      <c r="D63"/>
      <c r="E63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1"/>
      <c r="AK63" s="11"/>
      <c r="AL63" s="11"/>
      <c r="AM63" s="11"/>
      <c r="AN63" s="11"/>
      <c r="AO63" s="11"/>
      <c r="AP63" s="11"/>
      <c r="BC63"/>
      <c r="BD63"/>
      <c r="BE63"/>
      <c r="BF63"/>
      <c r="BG63"/>
    </row>
    <row r="64" spans="1:59" x14ac:dyDescent="0.25">
      <c r="A64"/>
      <c r="B64"/>
      <c r="C64"/>
      <c r="D64"/>
      <c r="E64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1"/>
      <c r="AK64" s="11"/>
      <c r="AL64" s="11"/>
      <c r="AM64" s="11"/>
      <c r="AN64" s="11"/>
      <c r="AO64" s="11"/>
      <c r="AP64" s="11"/>
      <c r="BC64"/>
      <c r="BD64"/>
      <c r="BE64"/>
      <c r="BF64"/>
      <c r="BG64"/>
    </row>
    <row r="65" spans="1:59" x14ac:dyDescent="0.25">
      <c r="A65"/>
      <c r="B65"/>
      <c r="C65"/>
      <c r="D65"/>
      <c r="E65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1"/>
      <c r="AK65" s="11"/>
      <c r="AL65" s="11"/>
      <c r="AM65" s="11"/>
      <c r="AN65" s="11"/>
      <c r="AO65" s="11"/>
      <c r="AP65" s="11"/>
      <c r="BC65"/>
      <c r="BD65"/>
      <c r="BE65"/>
      <c r="BF65"/>
      <c r="BG65"/>
    </row>
    <row r="66" spans="1:59" x14ac:dyDescent="0.25">
      <c r="A66"/>
      <c r="B66"/>
      <c r="C66"/>
      <c r="D66"/>
      <c r="E66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1"/>
      <c r="AK66" s="11"/>
      <c r="AL66" s="11"/>
      <c r="AM66" s="11"/>
      <c r="AN66" s="11"/>
      <c r="AO66" s="11"/>
      <c r="AP66" s="11"/>
      <c r="BC66"/>
      <c r="BD66"/>
      <c r="BE66"/>
      <c r="BF66"/>
      <c r="BG66"/>
    </row>
    <row r="67" spans="1:59" x14ac:dyDescent="0.25">
      <c r="A67"/>
      <c r="B67"/>
      <c r="C67"/>
      <c r="D67"/>
      <c r="E67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1"/>
      <c r="AK67" s="11"/>
      <c r="AL67" s="11"/>
      <c r="AM67" s="11"/>
      <c r="AN67" s="11"/>
      <c r="AO67" s="11"/>
      <c r="AP67" s="11"/>
      <c r="BC67"/>
      <c r="BD67"/>
      <c r="BE67"/>
      <c r="BF67"/>
      <c r="BG67"/>
    </row>
    <row r="68" spans="1:59" x14ac:dyDescent="0.25">
      <c r="A68"/>
      <c r="B68"/>
      <c r="C68"/>
      <c r="D68"/>
      <c r="E68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1"/>
      <c r="AK68" s="11"/>
      <c r="AL68" s="11"/>
      <c r="AM68" s="11"/>
      <c r="AN68" s="11"/>
      <c r="AO68" s="11"/>
      <c r="AP68" s="11"/>
      <c r="BC68"/>
      <c r="BD68"/>
      <c r="BE68"/>
      <c r="BF68"/>
      <c r="BG68"/>
    </row>
    <row r="69" spans="1:59" x14ac:dyDescent="0.25">
      <c r="A69"/>
      <c r="B69"/>
      <c r="C69"/>
      <c r="D69"/>
      <c r="E69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1"/>
      <c r="AK69" s="11"/>
      <c r="AL69" s="11"/>
      <c r="AM69" s="11"/>
      <c r="AN69" s="11"/>
      <c r="AO69" s="11"/>
      <c r="AP69" s="11"/>
      <c r="BC69"/>
      <c r="BD69"/>
      <c r="BE69"/>
      <c r="BF69"/>
      <c r="BG69"/>
    </row>
    <row r="70" spans="1:59" x14ac:dyDescent="0.25">
      <c r="A70"/>
      <c r="B70"/>
      <c r="C70"/>
      <c r="D70"/>
      <c r="E70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1"/>
      <c r="AK70" s="11"/>
      <c r="AL70" s="11"/>
      <c r="AM70" s="11"/>
      <c r="AN70" s="11"/>
      <c r="AO70" s="11"/>
      <c r="AP70" s="11"/>
      <c r="BC70"/>
      <c r="BD70"/>
      <c r="BE70"/>
      <c r="BF70"/>
      <c r="BG70"/>
    </row>
    <row r="71" spans="1:59" x14ac:dyDescent="0.25">
      <c r="A71"/>
      <c r="B71"/>
      <c r="C71"/>
      <c r="D71"/>
      <c r="E71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1"/>
      <c r="AK71" s="11"/>
      <c r="AL71" s="11"/>
      <c r="AM71" s="11"/>
      <c r="AN71" s="11"/>
      <c r="AO71" s="11"/>
      <c r="AP71" s="11"/>
      <c r="BC71"/>
      <c r="BD71"/>
      <c r="BE71"/>
      <c r="BF71"/>
      <c r="BG71"/>
    </row>
    <row r="72" spans="1:59" x14ac:dyDescent="0.25">
      <c r="A72"/>
      <c r="B72"/>
      <c r="C72"/>
      <c r="D72"/>
      <c r="E7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1"/>
      <c r="AK72" s="11"/>
      <c r="AL72" s="11"/>
      <c r="AM72" s="11"/>
      <c r="AN72" s="11"/>
      <c r="AO72" s="11"/>
      <c r="AP72" s="11"/>
      <c r="BC72"/>
      <c r="BD72"/>
      <c r="BE72"/>
      <c r="BF72"/>
      <c r="BG72"/>
    </row>
    <row r="73" spans="1:59" x14ac:dyDescent="0.25">
      <c r="A73"/>
      <c r="B73"/>
      <c r="C73"/>
      <c r="D73"/>
      <c r="E73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1"/>
      <c r="AK73" s="11"/>
      <c r="AL73" s="11"/>
      <c r="AM73" s="11"/>
      <c r="AN73" s="11"/>
      <c r="AO73" s="11"/>
      <c r="AP73" s="11"/>
      <c r="BC73"/>
      <c r="BD73"/>
      <c r="BE73"/>
      <c r="BF73"/>
      <c r="BG73"/>
    </row>
    <row r="74" spans="1:59" x14ac:dyDescent="0.25">
      <c r="A74"/>
      <c r="B74"/>
      <c r="C74"/>
      <c r="D74"/>
      <c r="E74"/>
      <c r="BC74"/>
      <c r="BD74"/>
      <c r="BE74"/>
      <c r="BF74"/>
      <c r="BG74"/>
    </row>
    <row r="75" spans="1:59" x14ac:dyDescent="0.25">
      <c r="A75"/>
      <c r="B75"/>
      <c r="C75"/>
      <c r="D75"/>
      <c r="E75"/>
      <c r="BC75"/>
      <c r="BD75"/>
      <c r="BE75"/>
      <c r="BF75"/>
      <c r="BG75"/>
    </row>
    <row r="76" spans="1:59" x14ac:dyDescent="0.25">
      <c r="A76"/>
      <c r="B76"/>
      <c r="C76"/>
      <c r="D76"/>
      <c r="E76"/>
      <c r="BC76"/>
      <c r="BD76"/>
      <c r="BE76"/>
      <c r="BF76"/>
      <c r="BG76"/>
    </row>
    <row r="77" spans="1:59" x14ac:dyDescent="0.25">
      <c r="A77"/>
      <c r="B77"/>
      <c r="C77"/>
      <c r="D77"/>
      <c r="E77"/>
      <c r="BC77"/>
      <c r="BD77"/>
      <c r="BE77"/>
      <c r="BF77"/>
      <c r="BG77"/>
    </row>
    <row r="78" spans="1:59" x14ac:dyDescent="0.25">
      <c r="A78"/>
      <c r="B78"/>
      <c r="C78"/>
      <c r="D78"/>
      <c r="E78"/>
      <c r="BC78"/>
      <c r="BD78"/>
      <c r="BE78"/>
      <c r="BF78"/>
      <c r="BG78"/>
    </row>
    <row r="79" spans="1:59" ht="16.5" x14ac:dyDescent="0.3">
      <c r="A79"/>
      <c r="B79"/>
      <c r="C79"/>
      <c r="D79"/>
      <c r="E79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BC79"/>
      <c r="BD79"/>
      <c r="BE79"/>
      <c r="BF79"/>
      <c r="BG79"/>
    </row>
    <row r="80" spans="1:59" ht="16.5" x14ac:dyDescent="0.3">
      <c r="A80"/>
      <c r="B80"/>
      <c r="C80"/>
      <c r="D80"/>
      <c r="E8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BC80"/>
      <c r="BD80"/>
      <c r="BE80"/>
      <c r="BF80"/>
      <c r="BG80"/>
    </row>
    <row r="81" spans="1:59" ht="16.5" x14ac:dyDescent="0.3">
      <c r="A81"/>
      <c r="B81"/>
      <c r="C81"/>
      <c r="D81"/>
      <c r="E81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BC81"/>
      <c r="BD81"/>
      <c r="BE81"/>
      <c r="BF81"/>
      <c r="BG81"/>
    </row>
    <row r="82" spans="1:59" ht="16.5" x14ac:dyDescent="0.3">
      <c r="A82"/>
      <c r="B82"/>
      <c r="C82"/>
      <c r="D82"/>
      <c r="E82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BC82"/>
      <c r="BD82"/>
      <c r="BE82"/>
      <c r="BF82"/>
      <c r="BG82"/>
    </row>
    <row r="83" spans="1:59" ht="16.5" x14ac:dyDescent="0.3">
      <c r="A83"/>
      <c r="B83"/>
      <c r="C83"/>
      <c r="D83"/>
      <c r="E8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BC83"/>
      <c r="BD83"/>
      <c r="BE83"/>
      <c r="BF83"/>
      <c r="BG83"/>
    </row>
    <row r="84" spans="1:59" ht="16.5" x14ac:dyDescent="0.3">
      <c r="A84"/>
      <c r="B84"/>
      <c r="C84"/>
      <c r="D84"/>
      <c r="E84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BC84"/>
      <c r="BD84"/>
      <c r="BE84"/>
      <c r="BF84"/>
      <c r="BG84"/>
    </row>
    <row r="85" spans="1:59" ht="16.5" x14ac:dyDescent="0.3">
      <c r="A85"/>
      <c r="B85"/>
      <c r="C85"/>
      <c r="D85"/>
      <c r="E8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BC85"/>
      <c r="BD85"/>
      <c r="BE85"/>
      <c r="BF85"/>
      <c r="BG85"/>
    </row>
    <row r="86" spans="1:59" ht="16.5" x14ac:dyDescent="0.3">
      <c r="A86"/>
      <c r="B86"/>
      <c r="C86"/>
      <c r="D86"/>
      <c r="E86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BC86"/>
      <c r="BD86"/>
      <c r="BE86"/>
      <c r="BF86"/>
      <c r="BG86"/>
    </row>
    <row r="87" spans="1:59" ht="16.5" x14ac:dyDescent="0.3">
      <c r="A87"/>
      <c r="B87"/>
      <c r="C87"/>
      <c r="D87"/>
      <c r="E87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BC87"/>
      <c r="BD87"/>
      <c r="BE87"/>
      <c r="BF87"/>
      <c r="BG87"/>
    </row>
    <row r="88" spans="1:59" ht="16.5" x14ac:dyDescent="0.3">
      <c r="A88"/>
      <c r="B88"/>
      <c r="C88"/>
      <c r="D88"/>
      <c r="E88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</row>
    <row r="89" spans="1:59" ht="16.5" x14ac:dyDescent="0.3">
      <c r="A89"/>
      <c r="B89"/>
      <c r="C89"/>
      <c r="D89"/>
      <c r="E89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</row>
    <row r="90" spans="1:59" ht="16.5" x14ac:dyDescent="0.3">
      <c r="A90"/>
      <c r="B90"/>
      <c r="C90"/>
      <c r="D90"/>
      <c r="E90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</row>
    <row r="91" spans="1:59" x14ac:dyDescent="0.25">
      <c r="A91"/>
      <c r="B91"/>
      <c r="C91"/>
      <c r="D91"/>
      <c r="E91"/>
    </row>
    <row r="92" spans="1:59" x14ac:dyDescent="0.25">
      <c r="A92"/>
      <c r="B92"/>
      <c r="C92"/>
      <c r="D92"/>
      <c r="E92"/>
    </row>
    <row r="93" spans="1:59" x14ac:dyDescent="0.25">
      <c r="A93"/>
      <c r="B93"/>
      <c r="C93"/>
      <c r="D93"/>
      <c r="E93"/>
    </row>
    <row r="94" spans="1:59" x14ac:dyDescent="0.25">
      <c r="A94"/>
      <c r="B94"/>
      <c r="C94"/>
      <c r="D94"/>
      <c r="E94"/>
    </row>
    <row r="95" spans="1:59" x14ac:dyDescent="0.25">
      <c r="A95"/>
      <c r="B95"/>
      <c r="C95"/>
      <c r="D95"/>
      <c r="E95"/>
    </row>
    <row r="96" spans="1:59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conditionalFormatting sqref="P7:Z17">
    <cfRule type="cellIs" dxfId="6" priority="1" operator="equal">
      <formula>$AA$18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83"/>
  <sheetViews>
    <sheetView zoomScale="202" zoomScaleNormal="202" workbookViewId="0">
      <selection activeCell="D6" sqref="D6"/>
    </sheetView>
  </sheetViews>
  <sheetFormatPr defaultColWidth="9.140625" defaultRowHeight="13.5" x14ac:dyDescent="0.25"/>
  <cols>
    <col min="1" max="1" width="6.7109375" style="94" bestFit="1" customWidth="1"/>
    <col min="2" max="2" width="6.7109375" style="94" customWidth="1"/>
    <col min="3" max="3" width="8.140625" style="127" bestFit="1" customWidth="1"/>
    <col min="4" max="4" width="12.140625" style="127" bestFit="1" customWidth="1"/>
    <col min="5" max="5" width="11.5703125" style="127" bestFit="1" customWidth="1"/>
    <col min="6" max="6" width="11.5703125" style="94" bestFit="1" customWidth="1"/>
    <col min="7" max="7" width="9.5703125" style="94" bestFit="1" customWidth="1"/>
    <col min="8" max="8" width="9.7109375" style="94" bestFit="1" customWidth="1"/>
    <col min="9" max="10" width="9.140625" style="94"/>
    <col min="11" max="11" width="9.140625" style="94" customWidth="1"/>
    <col min="12" max="12" width="14.5703125" style="94" bestFit="1" customWidth="1"/>
    <col min="13" max="16384" width="9.140625" style="94"/>
  </cols>
  <sheetData>
    <row r="1" spans="1:25" ht="18.75" x14ac:dyDescent="0.3">
      <c r="E1" s="138" t="s">
        <v>51</v>
      </c>
      <c r="F1" s="138" t="s">
        <v>53</v>
      </c>
      <c r="G1" s="138" t="s">
        <v>93</v>
      </c>
      <c r="H1" s="138" t="s">
        <v>27</v>
      </c>
      <c r="J1" s="155" t="s">
        <v>107</v>
      </c>
      <c r="K1" s="154"/>
      <c r="L1" s="155" t="s">
        <v>108</v>
      </c>
      <c r="M1" s="155"/>
      <c r="N1" s="155"/>
      <c r="O1" s="155"/>
      <c r="P1" s="155"/>
      <c r="Q1" s="154"/>
      <c r="R1" s="155"/>
      <c r="S1" s="155"/>
      <c r="T1" s="156"/>
    </row>
    <row r="2" spans="1:25" ht="15" x14ac:dyDescent="0.25">
      <c r="E2" s="139" t="e">
        <f>INTERCEPT($D$6:$D$76,$A$6:$A$76)</f>
        <v>#NAME?</v>
      </c>
      <c r="F2" s="139" t="e">
        <f>SLOPE($D$6:$D$76,$A$6:$A$76)</f>
        <v>#NAME?</v>
      </c>
      <c r="G2" s="140" t="e">
        <f>RSQ($D$6:$D$76,$A$6:$A$76)</f>
        <v>#NAME?</v>
      </c>
      <c r="H2" s="139" t="e">
        <f>STEYX($D$6:$D$76,$A$6:$A$76)</f>
        <v>#NAME?</v>
      </c>
      <c r="J2" s="127" t="s">
        <v>96</v>
      </c>
      <c r="K2" s="127" t="s">
        <v>95</v>
      </c>
      <c r="L2" s="127" t="s">
        <v>97</v>
      </c>
      <c r="M2" s="94" t="s">
        <v>109</v>
      </c>
    </row>
    <row r="3" spans="1:25" x14ac:dyDescent="0.25">
      <c r="A3" s="141" t="str">
        <f>[1]ArdiData!A2</f>
        <v>Per.</v>
      </c>
      <c r="B3" s="141"/>
      <c r="C3" s="116" t="str">
        <f>[1]ArdiData!D2</f>
        <v>Trend&amp;S</v>
      </c>
      <c r="D3" s="127" t="s">
        <v>92</v>
      </c>
      <c r="E3" s="94" t="s">
        <v>94</v>
      </c>
      <c r="F3" s="94" t="s">
        <v>95</v>
      </c>
      <c r="G3" s="94" t="s">
        <v>96</v>
      </c>
      <c r="H3" s="94" t="s">
        <v>98</v>
      </c>
      <c r="J3" s="127">
        <v>1</v>
      </c>
      <c r="K3" s="142" t="e">
        <f>AVERAGEIF($G$4:$G$78,J3,$F$4:$F$78)</f>
        <v>#NAME?</v>
      </c>
      <c r="L3" s="127" t="e">
        <f>K3/$K$8</f>
        <v>#NAME?</v>
      </c>
      <c r="M3" s="94" t="s">
        <v>110</v>
      </c>
    </row>
    <row r="4" spans="1:25" ht="15" x14ac:dyDescent="0.3">
      <c r="A4" s="141">
        <f>[1]ArdiData!A3</f>
        <v>1</v>
      </c>
      <c r="B4" s="143" t="e">
        <f>#REF!</f>
        <v>#REF!</v>
      </c>
      <c r="C4" s="144">
        <f>Y4</f>
        <v>1756</v>
      </c>
      <c r="E4" s="145" t="e">
        <f>$E$2+$F$2*A4</f>
        <v>#NAME?</v>
      </c>
      <c r="F4" s="149" t="e">
        <f>C4/E4</f>
        <v>#NAME?</v>
      </c>
      <c r="G4" s="149">
        <f>IF(MOD(A4,5)&lt;&gt;0,MOD(A4,5),5)</f>
        <v>1</v>
      </c>
      <c r="H4" s="146" t="e">
        <f>VLOOKUP(G4,$J$3:$L$7,3)*E4</f>
        <v>#NAME?</v>
      </c>
      <c r="J4" s="127">
        <v>2</v>
      </c>
      <c r="K4" s="142" t="e">
        <f t="shared" ref="K4:K7" si="0">AVERAGEIF($G$4:$G$78,J4,$F$4:$F$78)</f>
        <v>#NAME?</v>
      </c>
      <c r="L4" s="127" t="e">
        <f t="shared" ref="L4:L7" si="1">K4/$K$8</f>
        <v>#NAME?</v>
      </c>
      <c r="M4" s="94" t="s">
        <v>111</v>
      </c>
      <c r="Y4" s="144">
        <v>1756</v>
      </c>
    </row>
    <row r="5" spans="1:25" ht="15" x14ac:dyDescent="0.3">
      <c r="A5" s="141">
        <f>[1]ArdiData!A4</f>
        <v>2</v>
      </c>
      <c r="B5" s="143" t="e">
        <f>#REF!</f>
        <v>#REF!</v>
      </c>
      <c r="C5" s="144">
        <f t="shared" ref="C5:C68" si="2">Y5</f>
        <v>1962</v>
      </c>
      <c r="E5" s="145" t="e">
        <f t="shared" ref="E5:E68" si="3">$E$2+$F$2*A5</f>
        <v>#NAME?</v>
      </c>
      <c r="F5" s="149" t="e">
        <f t="shared" ref="F5:F68" si="4">C5/E5</f>
        <v>#NAME?</v>
      </c>
      <c r="G5" s="149">
        <f t="shared" ref="G5:G68" si="5">IF(MOD(A5,5)&lt;&gt;0,MOD(A5,5),5)</f>
        <v>2</v>
      </c>
      <c r="H5" s="146" t="e">
        <f t="shared" ref="H5:H68" si="6">VLOOKUP(G5,$J$3:$L$7,3)*E5</f>
        <v>#NAME?</v>
      </c>
      <c r="J5" s="127">
        <v>3</v>
      </c>
      <c r="K5" s="142" t="e">
        <f t="shared" si="0"/>
        <v>#NAME?</v>
      </c>
      <c r="L5" s="127" t="e">
        <f t="shared" si="1"/>
        <v>#NAME?</v>
      </c>
      <c r="M5" s="94" t="s">
        <v>112</v>
      </c>
      <c r="Y5" s="144">
        <v>1962</v>
      </c>
    </row>
    <row r="6" spans="1:25" ht="15" x14ac:dyDescent="0.3">
      <c r="A6" s="141">
        <f>[1]ArdiData!A5</f>
        <v>3</v>
      </c>
      <c r="B6" s="143" t="e">
        <f>#REF!</f>
        <v>#REF!</v>
      </c>
      <c r="C6" s="144">
        <f t="shared" si="2"/>
        <v>2071</v>
      </c>
      <c r="D6" s="147" t="e">
        <f>AVERAGE(C\4:C8)</f>
        <v>#NAME?</v>
      </c>
      <c r="E6" s="145" t="e">
        <f t="shared" si="3"/>
        <v>#NAME?</v>
      </c>
      <c r="F6" s="149" t="e">
        <f t="shared" si="4"/>
        <v>#NAME?</v>
      </c>
      <c r="G6" s="149">
        <f t="shared" si="5"/>
        <v>3</v>
      </c>
      <c r="H6" s="146" t="e">
        <f t="shared" si="6"/>
        <v>#NAME?</v>
      </c>
      <c r="J6" s="127">
        <v>4</v>
      </c>
      <c r="K6" s="142" t="e">
        <f t="shared" si="0"/>
        <v>#NAME?</v>
      </c>
      <c r="L6" s="127" t="e">
        <f t="shared" si="1"/>
        <v>#NAME?</v>
      </c>
      <c r="M6" s="94" t="s">
        <v>113</v>
      </c>
      <c r="Y6" s="144">
        <v>2071</v>
      </c>
    </row>
    <row r="7" spans="1:25" ht="15" x14ac:dyDescent="0.3">
      <c r="A7" s="141">
        <f>[1]ArdiData!A6</f>
        <v>4</v>
      </c>
      <c r="B7" s="143" t="e">
        <f>#REF!</f>
        <v>#REF!</v>
      </c>
      <c r="C7" s="144">
        <f t="shared" si="2"/>
        <v>2746</v>
      </c>
      <c r="D7" s="147">
        <f t="shared" ref="D7:D70" si="7">AVERAGE(C5:C9)</f>
        <v>2422.8000000000002</v>
      </c>
      <c r="E7" s="145" t="e">
        <f t="shared" si="3"/>
        <v>#NAME?</v>
      </c>
      <c r="F7" s="149" t="e">
        <f t="shared" si="4"/>
        <v>#NAME?</v>
      </c>
      <c r="G7" s="149">
        <f t="shared" si="5"/>
        <v>4</v>
      </c>
      <c r="H7" s="146" t="e">
        <f t="shared" si="6"/>
        <v>#NAME?</v>
      </c>
      <c r="J7" s="127">
        <v>5</v>
      </c>
      <c r="K7" s="142" t="e">
        <f t="shared" si="0"/>
        <v>#NAME?</v>
      </c>
      <c r="L7" s="127" t="e">
        <f t="shared" si="1"/>
        <v>#NAME?</v>
      </c>
      <c r="M7" s="94" t="s">
        <v>114</v>
      </c>
      <c r="Y7" s="144">
        <v>2746</v>
      </c>
    </row>
    <row r="8" spans="1:25" ht="15" x14ac:dyDescent="0.3">
      <c r="A8" s="141">
        <f>[1]ArdiData!A7</f>
        <v>5</v>
      </c>
      <c r="B8" s="143" t="e">
        <f>#REF!</f>
        <v>#REF!</v>
      </c>
      <c r="C8" s="144">
        <f t="shared" si="2"/>
        <v>2821</v>
      </c>
      <c r="D8" s="147">
        <f t="shared" si="7"/>
        <v>2559.8000000000002</v>
      </c>
      <c r="E8" s="145" t="e">
        <f t="shared" si="3"/>
        <v>#NAME?</v>
      </c>
      <c r="F8" s="149" t="e">
        <f t="shared" si="4"/>
        <v>#NAME?</v>
      </c>
      <c r="G8" s="149">
        <f t="shared" si="5"/>
        <v>5</v>
      </c>
      <c r="H8" s="146" t="e">
        <f t="shared" si="6"/>
        <v>#NAME?</v>
      </c>
      <c r="J8" s="127"/>
      <c r="K8" s="148" t="e">
        <f>AVERAGE(K3:K7)</f>
        <v>#NAME?</v>
      </c>
      <c r="L8" s="148" t="e">
        <f>AVERAGE(L3:L7)</f>
        <v>#NAME?</v>
      </c>
      <c r="Y8" s="144">
        <v>2821</v>
      </c>
    </row>
    <row r="9" spans="1:25" ht="15" x14ac:dyDescent="0.3">
      <c r="A9" s="141">
        <f>[1]ArdiData!A8</f>
        <v>6</v>
      </c>
      <c r="B9" s="143" t="e">
        <f>#REF!</f>
        <v>#REF!</v>
      </c>
      <c r="C9" s="144">
        <f t="shared" si="2"/>
        <v>2514</v>
      </c>
      <c r="D9" s="147">
        <f t="shared" si="7"/>
        <v>2845.8</v>
      </c>
      <c r="E9" s="145" t="e">
        <f t="shared" si="3"/>
        <v>#NAME?</v>
      </c>
      <c r="F9" s="149" t="e">
        <f t="shared" si="4"/>
        <v>#NAME?</v>
      </c>
      <c r="G9" s="149">
        <f t="shared" si="5"/>
        <v>1</v>
      </c>
      <c r="H9" s="146" t="e">
        <f t="shared" si="6"/>
        <v>#NAME?</v>
      </c>
      <c r="Y9" s="144">
        <v>2514</v>
      </c>
    </row>
    <row r="10" spans="1:25" ht="15" x14ac:dyDescent="0.3">
      <c r="A10" s="141">
        <f>[1]ArdiData!A9</f>
        <v>7</v>
      </c>
      <c r="B10" s="143" t="e">
        <f>#REF!</f>
        <v>#REF!</v>
      </c>
      <c r="C10" s="144">
        <f t="shared" si="2"/>
        <v>2647</v>
      </c>
      <c r="D10" s="147">
        <f t="shared" si="7"/>
        <v>3034.6</v>
      </c>
      <c r="E10" s="145" t="e">
        <f t="shared" si="3"/>
        <v>#NAME?</v>
      </c>
      <c r="F10" s="149" t="e">
        <f t="shared" si="4"/>
        <v>#NAME?</v>
      </c>
      <c r="G10" s="149">
        <f t="shared" si="5"/>
        <v>2</v>
      </c>
      <c r="H10" s="146" t="e">
        <f t="shared" si="6"/>
        <v>#NAME?</v>
      </c>
      <c r="Y10" s="144">
        <v>2647</v>
      </c>
    </row>
    <row r="11" spans="1:25" ht="15" x14ac:dyDescent="0.3">
      <c r="A11" s="141">
        <f>[1]ArdiData!A10</f>
        <v>8</v>
      </c>
      <c r="B11" s="143" t="e">
        <f>#REF!</f>
        <v>#REF!</v>
      </c>
      <c r="C11" s="144">
        <f t="shared" si="2"/>
        <v>3501</v>
      </c>
      <c r="D11" s="147">
        <f t="shared" si="7"/>
        <v>3277.6</v>
      </c>
      <c r="E11" s="145" t="e">
        <f t="shared" si="3"/>
        <v>#NAME?</v>
      </c>
      <c r="F11" s="149" t="e">
        <f t="shared" si="4"/>
        <v>#NAME?</v>
      </c>
      <c r="G11" s="149">
        <f t="shared" si="5"/>
        <v>3</v>
      </c>
      <c r="H11" s="146" t="e">
        <f t="shared" si="6"/>
        <v>#NAME?</v>
      </c>
      <c r="Y11" s="144">
        <v>3501</v>
      </c>
    </row>
    <row r="12" spans="1:25" ht="15" x14ac:dyDescent="0.3">
      <c r="A12" s="141">
        <f>[1]ArdiData!A11</f>
        <v>9</v>
      </c>
      <c r="B12" s="143" t="e">
        <f>#REF!</f>
        <v>#REF!</v>
      </c>
      <c r="C12" s="144">
        <f t="shared" si="2"/>
        <v>3690</v>
      </c>
      <c r="D12" s="147">
        <f t="shared" si="7"/>
        <v>3400.2</v>
      </c>
      <c r="E12" s="145" t="e">
        <f t="shared" si="3"/>
        <v>#NAME?</v>
      </c>
      <c r="F12" s="149" t="e">
        <f t="shared" si="4"/>
        <v>#NAME?</v>
      </c>
      <c r="G12" s="149">
        <f t="shared" si="5"/>
        <v>4</v>
      </c>
      <c r="H12" s="146" t="e">
        <f t="shared" si="6"/>
        <v>#NAME?</v>
      </c>
      <c r="Y12" s="144">
        <v>3690</v>
      </c>
    </row>
    <row r="13" spans="1:25" ht="15" x14ac:dyDescent="0.3">
      <c r="A13" s="141">
        <f>[1]ArdiData!A12</f>
        <v>10</v>
      </c>
      <c r="B13" s="143" t="e">
        <f>#REF!</f>
        <v>#REF!</v>
      </c>
      <c r="C13" s="144">
        <f t="shared" si="2"/>
        <v>4036</v>
      </c>
      <c r="D13" s="147">
        <f t="shared" si="7"/>
        <v>3516.2</v>
      </c>
      <c r="E13" s="145" t="e">
        <f t="shared" si="3"/>
        <v>#NAME?</v>
      </c>
      <c r="F13" s="149" t="e">
        <f t="shared" si="4"/>
        <v>#NAME?</v>
      </c>
      <c r="G13" s="149">
        <f t="shared" si="5"/>
        <v>5</v>
      </c>
      <c r="H13" s="146" t="e">
        <f t="shared" si="6"/>
        <v>#NAME?</v>
      </c>
      <c r="Y13" s="144">
        <v>4036</v>
      </c>
    </row>
    <row r="14" spans="1:25" ht="15" x14ac:dyDescent="0.3">
      <c r="A14" s="141">
        <f>[1]ArdiData!A13</f>
        <v>11</v>
      </c>
      <c r="B14" s="143" t="e">
        <f>#REF!</f>
        <v>#REF!</v>
      </c>
      <c r="C14" s="144">
        <f t="shared" si="2"/>
        <v>3127</v>
      </c>
      <c r="D14" s="147">
        <f t="shared" si="7"/>
        <v>3651.2</v>
      </c>
      <c r="E14" s="145" t="e">
        <f t="shared" si="3"/>
        <v>#NAME?</v>
      </c>
      <c r="F14" s="149" t="e">
        <f t="shared" si="4"/>
        <v>#NAME?</v>
      </c>
      <c r="G14" s="149">
        <f t="shared" si="5"/>
        <v>1</v>
      </c>
      <c r="H14" s="146" t="e">
        <f t="shared" si="6"/>
        <v>#NAME?</v>
      </c>
      <c r="Y14" s="144">
        <v>3127</v>
      </c>
    </row>
    <row r="15" spans="1:25" ht="15" x14ac:dyDescent="0.3">
      <c r="A15" s="141">
        <f>[1]ArdiData!A14</f>
        <v>12</v>
      </c>
      <c r="B15" s="143" t="e">
        <f>#REF!</f>
        <v>#REF!</v>
      </c>
      <c r="C15" s="144">
        <f t="shared" si="2"/>
        <v>3227</v>
      </c>
      <c r="D15" s="147">
        <f t="shared" si="7"/>
        <v>3858</v>
      </c>
      <c r="E15" s="145" t="e">
        <f t="shared" si="3"/>
        <v>#NAME?</v>
      </c>
      <c r="F15" s="149" t="e">
        <f t="shared" si="4"/>
        <v>#NAME?</v>
      </c>
      <c r="G15" s="149">
        <f t="shared" si="5"/>
        <v>2</v>
      </c>
      <c r="H15" s="146" t="e">
        <f t="shared" si="6"/>
        <v>#NAME?</v>
      </c>
      <c r="Y15" s="144">
        <v>3227</v>
      </c>
    </row>
    <row r="16" spans="1:25" ht="15" x14ac:dyDescent="0.3">
      <c r="A16" s="141">
        <f>[1]ArdiData!A15</f>
        <v>13</v>
      </c>
      <c r="B16" s="143" t="e">
        <f>#REF!</f>
        <v>#REF!</v>
      </c>
      <c r="C16" s="144">
        <f t="shared" si="2"/>
        <v>4176</v>
      </c>
      <c r="D16" s="147">
        <f t="shared" si="7"/>
        <v>4070.2</v>
      </c>
      <c r="E16" s="145" t="e">
        <f t="shared" si="3"/>
        <v>#NAME?</v>
      </c>
      <c r="F16" s="149" t="e">
        <f t="shared" si="4"/>
        <v>#NAME?</v>
      </c>
      <c r="G16" s="149">
        <f t="shared" si="5"/>
        <v>3</v>
      </c>
      <c r="H16" s="146" t="e">
        <f t="shared" si="6"/>
        <v>#NAME?</v>
      </c>
      <c r="Y16" s="144">
        <v>4176</v>
      </c>
    </row>
    <row r="17" spans="1:25" ht="15" x14ac:dyDescent="0.3">
      <c r="A17" s="141">
        <f>[1]ArdiData!A16</f>
        <v>14</v>
      </c>
      <c r="B17" s="143" t="e">
        <f>#REF!</f>
        <v>#REF!</v>
      </c>
      <c r="C17" s="144">
        <f t="shared" si="2"/>
        <v>4724</v>
      </c>
      <c r="D17" s="147">
        <f t="shared" si="7"/>
        <v>4243.2</v>
      </c>
      <c r="E17" s="145" t="e">
        <f t="shared" si="3"/>
        <v>#NAME?</v>
      </c>
      <c r="F17" s="149" t="e">
        <f t="shared" si="4"/>
        <v>#NAME?</v>
      </c>
      <c r="G17" s="149">
        <f t="shared" si="5"/>
        <v>4</v>
      </c>
      <c r="H17" s="146" t="e">
        <f t="shared" si="6"/>
        <v>#NAME?</v>
      </c>
      <c r="Y17" s="144">
        <v>4724</v>
      </c>
    </row>
    <row r="18" spans="1:25" ht="15" x14ac:dyDescent="0.3">
      <c r="A18" s="141">
        <f>[1]ArdiData!A17</f>
        <v>15</v>
      </c>
      <c r="B18" s="143" t="e">
        <f>#REF!</f>
        <v>#REF!</v>
      </c>
      <c r="C18" s="144">
        <f t="shared" si="2"/>
        <v>5097</v>
      </c>
      <c r="D18" s="147">
        <f t="shared" si="7"/>
        <v>4451.8</v>
      </c>
      <c r="E18" s="145" t="e">
        <f t="shared" si="3"/>
        <v>#NAME?</v>
      </c>
      <c r="F18" s="149" t="e">
        <f t="shared" si="4"/>
        <v>#NAME?</v>
      </c>
      <c r="G18" s="149">
        <f t="shared" si="5"/>
        <v>5</v>
      </c>
      <c r="H18" s="146" t="e">
        <f t="shared" si="6"/>
        <v>#NAME?</v>
      </c>
      <c r="Y18" s="144">
        <v>5097</v>
      </c>
    </row>
    <row r="19" spans="1:25" ht="15" x14ac:dyDescent="0.3">
      <c r="A19" s="141">
        <f>[1]ArdiData!A18</f>
        <v>16</v>
      </c>
      <c r="B19" s="143" t="e">
        <f>#REF!</f>
        <v>#REF!</v>
      </c>
      <c r="C19" s="144">
        <f t="shared" si="2"/>
        <v>3992</v>
      </c>
      <c r="D19" s="147">
        <f t="shared" si="7"/>
        <v>4687</v>
      </c>
      <c r="E19" s="145" t="e">
        <f t="shared" si="3"/>
        <v>#NAME?</v>
      </c>
      <c r="F19" s="149" t="e">
        <f t="shared" si="4"/>
        <v>#NAME?</v>
      </c>
      <c r="G19" s="149">
        <f t="shared" si="5"/>
        <v>1</v>
      </c>
      <c r="H19" s="146" t="e">
        <f t="shared" si="6"/>
        <v>#NAME?</v>
      </c>
      <c r="Y19" s="144">
        <v>3992</v>
      </c>
    </row>
    <row r="20" spans="1:25" ht="15" x14ac:dyDescent="0.3">
      <c r="A20" s="141">
        <f>[1]ArdiData!A19</f>
        <v>17</v>
      </c>
      <c r="B20" s="143" t="e">
        <f>#REF!</f>
        <v>#REF!</v>
      </c>
      <c r="C20" s="144">
        <f t="shared" si="2"/>
        <v>4270</v>
      </c>
      <c r="D20" s="147">
        <f t="shared" si="7"/>
        <v>4842.6000000000004</v>
      </c>
      <c r="E20" s="145" t="e">
        <f t="shared" si="3"/>
        <v>#NAME?</v>
      </c>
      <c r="F20" s="149" t="e">
        <f t="shared" si="4"/>
        <v>#NAME?</v>
      </c>
      <c r="G20" s="149">
        <f t="shared" si="5"/>
        <v>2</v>
      </c>
      <c r="H20" s="146" t="e">
        <f t="shared" si="6"/>
        <v>#NAME?</v>
      </c>
      <c r="Y20" s="144">
        <v>4270</v>
      </c>
    </row>
    <row r="21" spans="1:25" ht="15" x14ac:dyDescent="0.3">
      <c r="A21" s="141">
        <f>[1]ArdiData!A20</f>
        <v>18</v>
      </c>
      <c r="B21" s="143" t="e">
        <f>#REF!</f>
        <v>#REF!</v>
      </c>
      <c r="C21" s="144">
        <f t="shared" si="2"/>
        <v>5352</v>
      </c>
      <c r="D21" s="147">
        <f t="shared" si="7"/>
        <v>4920</v>
      </c>
      <c r="E21" s="145" t="e">
        <f t="shared" si="3"/>
        <v>#NAME?</v>
      </c>
      <c r="F21" s="149" t="e">
        <f t="shared" si="4"/>
        <v>#NAME?</v>
      </c>
      <c r="G21" s="149">
        <f t="shared" si="5"/>
        <v>3</v>
      </c>
      <c r="H21" s="146" t="e">
        <f t="shared" si="6"/>
        <v>#NAME?</v>
      </c>
      <c r="Y21" s="144">
        <v>5352</v>
      </c>
    </row>
    <row r="22" spans="1:25" ht="15" x14ac:dyDescent="0.3">
      <c r="A22" s="141">
        <f>[1]ArdiData!A21</f>
        <v>19</v>
      </c>
      <c r="B22" s="143" t="e">
        <f>#REF!</f>
        <v>#REF!</v>
      </c>
      <c r="C22" s="144">
        <f t="shared" si="2"/>
        <v>5502</v>
      </c>
      <c r="D22" s="147">
        <f t="shared" si="7"/>
        <v>5034.3999999999996</v>
      </c>
      <c r="E22" s="145" t="e">
        <f t="shared" si="3"/>
        <v>#NAME?</v>
      </c>
      <c r="F22" s="149" t="e">
        <f t="shared" si="4"/>
        <v>#NAME?</v>
      </c>
      <c r="G22" s="149">
        <f t="shared" si="5"/>
        <v>4</v>
      </c>
      <c r="H22" s="146" t="e">
        <f t="shared" si="6"/>
        <v>#NAME?</v>
      </c>
      <c r="Y22" s="144">
        <v>5502</v>
      </c>
    </row>
    <row r="23" spans="1:25" ht="15" x14ac:dyDescent="0.3">
      <c r="A23" s="141">
        <f>[1]ArdiData!A22</f>
        <v>20</v>
      </c>
      <c r="B23" s="143" t="e">
        <f>#REF!</f>
        <v>#REF!</v>
      </c>
      <c r="C23" s="144">
        <f t="shared" si="2"/>
        <v>5484</v>
      </c>
      <c r="D23" s="147">
        <f t="shared" si="7"/>
        <v>5223.3999999999996</v>
      </c>
      <c r="E23" s="145" t="e">
        <f t="shared" si="3"/>
        <v>#NAME?</v>
      </c>
      <c r="F23" s="149" t="e">
        <f t="shared" si="4"/>
        <v>#NAME?</v>
      </c>
      <c r="G23" s="149">
        <f t="shared" si="5"/>
        <v>5</v>
      </c>
      <c r="H23" s="146" t="e">
        <f t="shared" si="6"/>
        <v>#NAME?</v>
      </c>
      <c r="Y23" s="144">
        <v>5484</v>
      </c>
    </row>
    <row r="24" spans="1:25" ht="15" x14ac:dyDescent="0.3">
      <c r="A24" s="141">
        <f>[1]ArdiData!A23</f>
        <v>21</v>
      </c>
      <c r="B24" s="143" t="e">
        <f>#REF!</f>
        <v>#REF!</v>
      </c>
      <c r="C24" s="144">
        <f t="shared" si="2"/>
        <v>4564</v>
      </c>
      <c r="D24" s="147">
        <f t="shared" si="7"/>
        <v>5364</v>
      </c>
      <c r="E24" s="145" t="e">
        <f t="shared" si="3"/>
        <v>#NAME?</v>
      </c>
      <c r="F24" s="149" t="e">
        <f t="shared" si="4"/>
        <v>#NAME?</v>
      </c>
      <c r="G24" s="149">
        <f t="shared" si="5"/>
        <v>1</v>
      </c>
      <c r="H24" s="146" t="e">
        <f t="shared" si="6"/>
        <v>#NAME?</v>
      </c>
      <c r="Y24" s="144">
        <v>4564</v>
      </c>
    </row>
    <row r="25" spans="1:25" ht="15" x14ac:dyDescent="0.3">
      <c r="A25" s="141">
        <f>[1]ArdiData!A24</f>
        <v>22</v>
      </c>
      <c r="B25" s="143" t="e">
        <f>#REF!</f>
        <v>#REF!</v>
      </c>
      <c r="C25" s="144">
        <f t="shared" si="2"/>
        <v>5215</v>
      </c>
      <c r="D25" s="147">
        <f t="shared" si="7"/>
        <v>5512.8</v>
      </c>
      <c r="E25" s="145" t="e">
        <f t="shared" si="3"/>
        <v>#NAME?</v>
      </c>
      <c r="F25" s="149" t="e">
        <f t="shared" si="4"/>
        <v>#NAME?</v>
      </c>
      <c r="G25" s="149">
        <f t="shared" si="5"/>
        <v>2</v>
      </c>
      <c r="H25" s="146" t="e">
        <f t="shared" si="6"/>
        <v>#NAME?</v>
      </c>
      <c r="Y25" s="144">
        <v>5215</v>
      </c>
    </row>
    <row r="26" spans="1:25" ht="15" x14ac:dyDescent="0.3">
      <c r="A26" s="141">
        <f>[1]ArdiData!A25</f>
        <v>23</v>
      </c>
      <c r="B26" s="143" t="e">
        <f>#REF!</f>
        <v>#REF!</v>
      </c>
      <c r="C26" s="144">
        <f t="shared" si="2"/>
        <v>6055</v>
      </c>
      <c r="D26" s="147">
        <f t="shared" si="7"/>
        <v>5848.6</v>
      </c>
      <c r="E26" s="145" t="e">
        <f t="shared" si="3"/>
        <v>#NAME?</v>
      </c>
      <c r="F26" s="149" t="e">
        <f t="shared" si="4"/>
        <v>#NAME?</v>
      </c>
      <c r="G26" s="149">
        <f t="shared" si="5"/>
        <v>3</v>
      </c>
      <c r="H26" s="146" t="e">
        <f t="shared" si="6"/>
        <v>#NAME?</v>
      </c>
      <c r="Y26" s="144">
        <v>6055</v>
      </c>
    </row>
    <row r="27" spans="1:25" ht="15" x14ac:dyDescent="0.3">
      <c r="A27" s="141">
        <f>[1]ArdiData!A26</f>
        <v>24</v>
      </c>
      <c r="B27" s="143" t="e">
        <f>#REF!</f>
        <v>#REF!</v>
      </c>
      <c r="C27" s="144">
        <f t="shared" si="2"/>
        <v>6246</v>
      </c>
      <c r="D27" s="147">
        <f t="shared" si="7"/>
        <v>6154</v>
      </c>
      <c r="E27" s="145" t="e">
        <f t="shared" si="3"/>
        <v>#NAME?</v>
      </c>
      <c r="F27" s="149" t="e">
        <f t="shared" si="4"/>
        <v>#NAME?</v>
      </c>
      <c r="G27" s="149">
        <f t="shared" si="5"/>
        <v>4</v>
      </c>
      <c r="H27" s="146" t="e">
        <f t="shared" si="6"/>
        <v>#NAME?</v>
      </c>
      <c r="Y27" s="144">
        <v>6246</v>
      </c>
    </row>
    <row r="28" spans="1:25" ht="15" x14ac:dyDescent="0.3">
      <c r="A28" s="141">
        <f>[1]ArdiData!A27</f>
        <v>25</v>
      </c>
      <c r="B28" s="143" t="e">
        <f>#REF!</f>
        <v>#REF!</v>
      </c>
      <c r="C28" s="144">
        <f t="shared" si="2"/>
        <v>7163</v>
      </c>
      <c r="D28" s="147">
        <f t="shared" si="7"/>
        <v>6309</v>
      </c>
      <c r="E28" s="145" t="e">
        <f t="shared" si="3"/>
        <v>#NAME?</v>
      </c>
      <c r="F28" s="149" t="e">
        <f t="shared" si="4"/>
        <v>#NAME?</v>
      </c>
      <c r="G28" s="149">
        <f t="shared" si="5"/>
        <v>5</v>
      </c>
      <c r="H28" s="146" t="e">
        <f t="shared" si="6"/>
        <v>#NAME?</v>
      </c>
      <c r="Y28" s="144">
        <v>7163</v>
      </c>
    </row>
    <row r="29" spans="1:25" ht="15" x14ac:dyDescent="0.3">
      <c r="A29" s="141">
        <f>[1]ArdiData!A28</f>
        <v>26</v>
      </c>
      <c r="B29" s="143" t="e">
        <f>#REF!</f>
        <v>#REF!</v>
      </c>
      <c r="C29" s="144">
        <f t="shared" si="2"/>
        <v>6091</v>
      </c>
      <c r="D29" s="147">
        <f t="shared" si="7"/>
        <v>6427.8</v>
      </c>
      <c r="E29" s="145" t="e">
        <f t="shared" si="3"/>
        <v>#NAME?</v>
      </c>
      <c r="F29" s="149" t="e">
        <f t="shared" si="4"/>
        <v>#NAME?</v>
      </c>
      <c r="G29" s="149">
        <f t="shared" si="5"/>
        <v>1</v>
      </c>
      <c r="H29" s="146" t="e">
        <f t="shared" si="6"/>
        <v>#NAME?</v>
      </c>
      <c r="Y29" s="144">
        <v>6091</v>
      </c>
    </row>
    <row r="30" spans="1:25" ht="15" x14ac:dyDescent="0.3">
      <c r="A30" s="141">
        <f>[1]ArdiData!A29</f>
        <v>27</v>
      </c>
      <c r="B30" s="143" t="e">
        <f>#REF!</f>
        <v>#REF!</v>
      </c>
      <c r="C30" s="144">
        <f t="shared" si="2"/>
        <v>5990</v>
      </c>
      <c r="D30" s="147">
        <f t="shared" si="7"/>
        <v>6675</v>
      </c>
      <c r="E30" s="145" t="e">
        <f t="shared" si="3"/>
        <v>#NAME?</v>
      </c>
      <c r="F30" s="149" t="e">
        <f t="shared" si="4"/>
        <v>#NAME?</v>
      </c>
      <c r="G30" s="149">
        <f t="shared" si="5"/>
        <v>2</v>
      </c>
      <c r="H30" s="146" t="e">
        <f t="shared" si="6"/>
        <v>#NAME?</v>
      </c>
      <c r="Y30" s="144">
        <v>5990</v>
      </c>
    </row>
    <row r="31" spans="1:25" ht="15" x14ac:dyDescent="0.3">
      <c r="A31" s="141">
        <f>[1]ArdiData!A30</f>
        <v>28</v>
      </c>
      <c r="B31" s="143" t="e">
        <f>#REF!</f>
        <v>#REF!</v>
      </c>
      <c r="C31" s="144">
        <f t="shared" si="2"/>
        <v>6649</v>
      </c>
      <c r="D31" s="147">
        <f t="shared" si="7"/>
        <v>6739.4</v>
      </c>
      <c r="E31" s="145" t="e">
        <f t="shared" si="3"/>
        <v>#NAME?</v>
      </c>
      <c r="F31" s="149" t="e">
        <f t="shared" si="4"/>
        <v>#NAME?</v>
      </c>
      <c r="G31" s="149">
        <f t="shared" si="5"/>
        <v>3</v>
      </c>
      <c r="H31" s="146" t="e">
        <f t="shared" si="6"/>
        <v>#NAME?</v>
      </c>
      <c r="Y31" s="144">
        <v>6649</v>
      </c>
    </row>
    <row r="32" spans="1:25" ht="15" x14ac:dyDescent="0.3">
      <c r="A32" s="141">
        <f>[1]ArdiData!A31</f>
        <v>29</v>
      </c>
      <c r="B32" s="143" t="e">
        <f>#REF!</f>
        <v>#REF!</v>
      </c>
      <c r="C32" s="144">
        <f t="shared" si="2"/>
        <v>7482</v>
      </c>
      <c r="D32" s="147">
        <f t="shared" si="7"/>
        <v>6838.8</v>
      </c>
      <c r="E32" s="145" t="e">
        <f t="shared" si="3"/>
        <v>#NAME?</v>
      </c>
      <c r="F32" s="149" t="e">
        <f t="shared" si="4"/>
        <v>#NAME?</v>
      </c>
      <c r="G32" s="149">
        <f t="shared" si="5"/>
        <v>4</v>
      </c>
      <c r="H32" s="146" t="e">
        <f t="shared" si="6"/>
        <v>#NAME?</v>
      </c>
      <c r="Y32" s="144">
        <v>7482</v>
      </c>
    </row>
    <row r="33" spans="1:25" ht="15" x14ac:dyDescent="0.3">
      <c r="A33" s="141">
        <f>[1]ArdiData!A32</f>
        <v>30</v>
      </c>
      <c r="B33" s="143" t="e">
        <f>#REF!</f>
        <v>#REF!</v>
      </c>
      <c r="C33" s="144">
        <f t="shared" si="2"/>
        <v>7485</v>
      </c>
      <c r="D33" s="147">
        <f t="shared" si="7"/>
        <v>7045.6</v>
      </c>
      <c r="E33" s="145" t="e">
        <f t="shared" si="3"/>
        <v>#NAME?</v>
      </c>
      <c r="F33" s="149" t="e">
        <f t="shared" si="4"/>
        <v>#NAME?</v>
      </c>
      <c r="G33" s="149">
        <f t="shared" si="5"/>
        <v>5</v>
      </c>
      <c r="H33" s="146" t="e">
        <f t="shared" si="6"/>
        <v>#NAME?</v>
      </c>
      <c r="Y33" s="144">
        <v>7485</v>
      </c>
    </row>
    <row r="34" spans="1:25" ht="15" x14ac:dyDescent="0.3">
      <c r="A34" s="141">
        <f>[1]ArdiData!A33</f>
        <v>31</v>
      </c>
      <c r="B34" s="143" t="e">
        <f>#REF!</f>
        <v>#REF!</v>
      </c>
      <c r="C34" s="144">
        <f t="shared" si="2"/>
        <v>6588</v>
      </c>
      <c r="D34" s="147">
        <f t="shared" si="7"/>
        <v>7202.6</v>
      </c>
      <c r="E34" s="145" t="e">
        <f t="shared" si="3"/>
        <v>#NAME?</v>
      </c>
      <c r="F34" s="149" t="e">
        <f t="shared" si="4"/>
        <v>#NAME?</v>
      </c>
      <c r="G34" s="149">
        <f t="shared" si="5"/>
        <v>1</v>
      </c>
      <c r="H34" s="146" t="e">
        <f t="shared" si="6"/>
        <v>#NAME?</v>
      </c>
      <c r="Y34" s="144">
        <v>6588</v>
      </c>
    </row>
    <row r="35" spans="1:25" ht="15" x14ac:dyDescent="0.3">
      <c r="A35" s="141">
        <f>[1]ArdiData!A34</f>
        <v>32</v>
      </c>
      <c r="B35" s="143" t="e">
        <f>#REF!</f>
        <v>#REF!</v>
      </c>
      <c r="C35" s="144">
        <f t="shared" si="2"/>
        <v>7024</v>
      </c>
      <c r="D35" s="147">
        <f t="shared" si="7"/>
        <v>7338</v>
      </c>
      <c r="E35" s="145" t="e">
        <f t="shared" si="3"/>
        <v>#NAME?</v>
      </c>
      <c r="F35" s="149" t="e">
        <f t="shared" si="4"/>
        <v>#NAME?</v>
      </c>
      <c r="G35" s="149">
        <f t="shared" si="5"/>
        <v>2</v>
      </c>
      <c r="H35" s="146" t="e">
        <f t="shared" si="6"/>
        <v>#NAME?</v>
      </c>
      <c r="Y35" s="144">
        <v>7024</v>
      </c>
    </row>
    <row r="36" spans="1:25" ht="15" x14ac:dyDescent="0.3">
      <c r="A36" s="141">
        <f>[1]ArdiData!A35</f>
        <v>33</v>
      </c>
      <c r="B36" s="143" t="e">
        <f>#REF!</f>
        <v>#REF!</v>
      </c>
      <c r="C36" s="144">
        <f t="shared" si="2"/>
        <v>7434</v>
      </c>
      <c r="D36" s="147">
        <f t="shared" si="7"/>
        <v>7756.2</v>
      </c>
      <c r="E36" s="145" t="e">
        <f t="shared" si="3"/>
        <v>#NAME?</v>
      </c>
      <c r="F36" s="149" t="e">
        <f t="shared" si="4"/>
        <v>#NAME?</v>
      </c>
      <c r="G36" s="149">
        <f t="shared" si="5"/>
        <v>3</v>
      </c>
      <c r="H36" s="146" t="e">
        <f t="shared" si="6"/>
        <v>#NAME?</v>
      </c>
      <c r="Y36" s="144">
        <v>7434</v>
      </c>
    </row>
    <row r="37" spans="1:25" ht="15" x14ac:dyDescent="0.3">
      <c r="A37" s="141">
        <f>[1]ArdiData!A36</f>
        <v>34</v>
      </c>
      <c r="B37" s="143" t="e">
        <f>#REF!</f>
        <v>#REF!</v>
      </c>
      <c r="C37" s="144">
        <f t="shared" si="2"/>
        <v>8159</v>
      </c>
      <c r="D37" s="147">
        <f t="shared" si="7"/>
        <v>7808.2</v>
      </c>
      <c r="E37" s="145" t="e">
        <f t="shared" si="3"/>
        <v>#NAME?</v>
      </c>
      <c r="F37" s="149" t="e">
        <f t="shared" si="4"/>
        <v>#NAME?</v>
      </c>
      <c r="G37" s="149">
        <f t="shared" si="5"/>
        <v>4</v>
      </c>
      <c r="H37" s="146" t="e">
        <f t="shared" si="6"/>
        <v>#NAME?</v>
      </c>
      <c r="Y37" s="144">
        <v>8159</v>
      </c>
    </row>
    <row r="38" spans="1:25" ht="15" x14ac:dyDescent="0.3">
      <c r="A38" s="141">
        <f>[1]ArdiData!A37</f>
        <v>35</v>
      </c>
      <c r="B38" s="143" t="e">
        <f>#REF!</f>
        <v>#REF!</v>
      </c>
      <c r="C38" s="144">
        <f t="shared" si="2"/>
        <v>9576</v>
      </c>
      <c r="D38" s="147">
        <f t="shared" si="7"/>
        <v>8095.2</v>
      </c>
      <c r="E38" s="145" t="e">
        <f t="shared" si="3"/>
        <v>#NAME?</v>
      </c>
      <c r="F38" s="149" t="e">
        <f t="shared" si="4"/>
        <v>#NAME?</v>
      </c>
      <c r="G38" s="149">
        <f t="shared" si="5"/>
        <v>5</v>
      </c>
      <c r="H38" s="146" t="e">
        <f t="shared" si="6"/>
        <v>#NAME?</v>
      </c>
      <c r="Y38" s="144">
        <v>9576</v>
      </c>
    </row>
    <row r="39" spans="1:25" ht="15" x14ac:dyDescent="0.3">
      <c r="A39" s="141">
        <f>[1]ArdiData!A38</f>
        <v>36</v>
      </c>
      <c r="B39" s="143" t="e">
        <f>#REF!</f>
        <v>#REF!</v>
      </c>
      <c r="C39" s="144">
        <f t="shared" si="2"/>
        <v>6848</v>
      </c>
      <c r="D39" s="147">
        <f t="shared" si="7"/>
        <v>8295.7999999999993</v>
      </c>
      <c r="E39" s="145" t="e">
        <f t="shared" si="3"/>
        <v>#NAME?</v>
      </c>
      <c r="F39" s="149" t="e">
        <f t="shared" si="4"/>
        <v>#NAME?</v>
      </c>
      <c r="G39" s="149">
        <f t="shared" si="5"/>
        <v>1</v>
      </c>
      <c r="H39" s="146" t="e">
        <f t="shared" si="6"/>
        <v>#NAME?</v>
      </c>
      <c r="Y39" s="144">
        <v>6848</v>
      </c>
    </row>
    <row r="40" spans="1:25" ht="15" x14ac:dyDescent="0.3">
      <c r="A40" s="141">
        <f>[1]ArdiData!A39</f>
        <v>37</v>
      </c>
      <c r="B40" s="143" t="e">
        <f>#REF!</f>
        <v>#REF!</v>
      </c>
      <c r="C40" s="144">
        <f t="shared" si="2"/>
        <v>8459</v>
      </c>
      <c r="D40" s="147">
        <f t="shared" si="7"/>
        <v>8447.7999999999993</v>
      </c>
      <c r="E40" s="145" t="e">
        <f t="shared" si="3"/>
        <v>#NAME?</v>
      </c>
      <c r="F40" s="149" t="e">
        <f t="shared" si="4"/>
        <v>#NAME?</v>
      </c>
      <c r="G40" s="149">
        <f t="shared" si="5"/>
        <v>2</v>
      </c>
      <c r="H40" s="146" t="e">
        <f t="shared" si="6"/>
        <v>#NAME?</v>
      </c>
      <c r="Y40" s="144">
        <v>8459</v>
      </c>
    </row>
    <row r="41" spans="1:25" ht="15" x14ac:dyDescent="0.3">
      <c r="A41" s="141">
        <f>[1]ArdiData!A40</f>
        <v>38</v>
      </c>
      <c r="B41" s="143" t="e">
        <f>#REF!</f>
        <v>#REF!</v>
      </c>
      <c r="C41" s="144">
        <f t="shared" si="2"/>
        <v>8437</v>
      </c>
      <c r="D41" s="147">
        <f t="shared" si="7"/>
        <v>8541.6</v>
      </c>
      <c r="E41" s="145" t="e">
        <f t="shared" si="3"/>
        <v>#NAME?</v>
      </c>
      <c r="F41" s="149" t="e">
        <f t="shared" si="4"/>
        <v>#NAME?</v>
      </c>
      <c r="G41" s="149">
        <f t="shared" si="5"/>
        <v>3</v>
      </c>
      <c r="H41" s="146" t="e">
        <f t="shared" si="6"/>
        <v>#NAME?</v>
      </c>
      <c r="Y41" s="144">
        <v>8437</v>
      </c>
    </row>
    <row r="42" spans="1:25" ht="15" x14ac:dyDescent="0.3">
      <c r="A42" s="141">
        <f>[1]ArdiData!A41</f>
        <v>39</v>
      </c>
      <c r="B42" s="143" t="e">
        <f>#REF!</f>
        <v>#REF!</v>
      </c>
      <c r="C42" s="144">
        <f t="shared" si="2"/>
        <v>8919</v>
      </c>
      <c r="D42" s="147">
        <f t="shared" si="7"/>
        <v>8950.2000000000007</v>
      </c>
      <c r="E42" s="145" t="e">
        <f t="shared" si="3"/>
        <v>#NAME?</v>
      </c>
      <c r="F42" s="149" t="e">
        <f t="shared" si="4"/>
        <v>#NAME?</v>
      </c>
      <c r="G42" s="149">
        <f t="shared" si="5"/>
        <v>4</v>
      </c>
      <c r="H42" s="146" t="e">
        <f t="shared" si="6"/>
        <v>#NAME?</v>
      </c>
      <c r="Y42" s="144">
        <v>8919</v>
      </c>
    </row>
    <row r="43" spans="1:25" ht="15" x14ac:dyDescent="0.3">
      <c r="A43" s="141">
        <f>[1]ArdiData!A42</f>
        <v>40</v>
      </c>
      <c r="B43" s="143" t="e">
        <f>#REF!</f>
        <v>#REF!</v>
      </c>
      <c r="C43" s="144">
        <f t="shared" si="2"/>
        <v>10045</v>
      </c>
      <c r="D43" s="147">
        <f t="shared" si="7"/>
        <v>9000</v>
      </c>
      <c r="E43" s="145" t="e">
        <f t="shared" si="3"/>
        <v>#NAME?</v>
      </c>
      <c r="F43" s="149" t="e">
        <f t="shared" si="4"/>
        <v>#NAME?</v>
      </c>
      <c r="G43" s="149">
        <f t="shared" si="5"/>
        <v>5</v>
      </c>
      <c r="H43" s="146" t="e">
        <f t="shared" si="6"/>
        <v>#NAME?</v>
      </c>
      <c r="Y43" s="144">
        <v>10045</v>
      </c>
    </row>
    <row r="44" spans="1:25" ht="15" x14ac:dyDescent="0.3">
      <c r="A44" s="141">
        <f>[1]ArdiData!A43</f>
        <v>41</v>
      </c>
      <c r="B44" s="143" t="e">
        <f>#REF!</f>
        <v>#REF!</v>
      </c>
      <c r="C44" s="144">
        <f t="shared" si="2"/>
        <v>8891</v>
      </c>
      <c r="D44" s="147">
        <f t="shared" si="7"/>
        <v>9344.6</v>
      </c>
      <c r="E44" s="145" t="e">
        <f t="shared" si="3"/>
        <v>#NAME?</v>
      </c>
      <c r="F44" s="149" t="e">
        <f t="shared" si="4"/>
        <v>#NAME?</v>
      </c>
      <c r="G44" s="149">
        <f t="shared" si="5"/>
        <v>1</v>
      </c>
      <c r="H44" s="146" t="e">
        <f t="shared" si="6"/>
        <v>#NAME?</v>
      </c>
      <c r="Y44" s="144">
        <v>8891</v>
      </c>
    </row>
    <row r="45" spans="1:25" ht="15" x14ac:dyDescent="0.3">
      <c r="A45" s="141">
        <f>[1]ArdiData!A44</f>
        <v>42</v>
      </c>
      <c r="B45" s="143" t="e">
        <f>#REF!</f>
        <v>#REF!</v>
      </c>
      <c r="C45" s="144">
        <f t="shared" si="2"/>
        <v>8708</v>
      </c>
      <c r="D45" s="147">
        <f t="shared" si="7"/>
        <v>9561.6</v>
      </c>
      <c r="E45" s="145" t="e">
        <f t="shared" si="3"/>
        <v>#NAME?</v>
      </c>
      <c r="F45" s="149" t="e">
        <f t="shared" si="4"/>
        <v>#NAME?</v>
      </c>
      <c r="G45" s="149">
        <f t="shared" si="5"/>
        <v>2</v>
      </c>
      <c r="H45" s="146" t="e">
        <f t="shared" si="6"/>
        <v>#NAME?</v>
      </c>
      <c r="Y45" s="144">
        <v>8708</v>
      </c>
    </row>
    <row r="46" spans="1:25" ht="15" x14ac:dyDescent="0.3">
      <c r="A46" s="141">
        <f>[1]ArdiData!A45</f>
        <v>43</v>
      </c>
      <c r="B46" s="143" t="e">
        <f>#REF!</f>
        <v>#REF!</v>
      </c>
      <c r="C46" s="144">
        <f t="shared" si="2"/>
        <v>10160</v>
      </c>
      <c r="D46" s="147">
        <f t="shared" si="7"/>
        <v>9674.2000000000007</v>
      </c>
      <c r="E46" s="145" t="e">
        <f t="shared" si="3"/>
        <v>#NAME?</v>
      </c>
      <c r="F46" s="149" t="e">
        <f t="shared" si="4"/>
        <v>#NAME?</v>
      </c>
      <c r="G46" s="149">
        <f t="shared" si="5"/>
        <v>3</v>
      </c>
      <c r="H46" s="146" t="e">
        <f t="shared" si="6"/>
        <v>#NAME?</v>
      </c>
      <c r="Y46" s="144">
        <v>10160</v>
      </c>
    </row>
    <row r="47" spans="1:25" ht="15" x14ac:dyDescent="0.3">
      <c r="A47" s="141">
        <f>[1]ArdiData!A46</f>
        <v>44</v>
      </c>
      <c r="B47" s="143" t="e">
        <f>#REF!</f>
        <v>#REF!</v>
      </c>
      <c r="C47" s="144">
        <f t="shared" si="2"/>
        <v>10004</v>
      </c>
      <c r="D47" s="147">
        <f t="shared" si="7"/>
        <v>9844.4</v>
      </c>
      <c r="E47" s="145" t="e">
        <f t="shared" si="3"/>
        <v>#NAME?</v>
      </c>
      <c r="F47" s="149" t="e">
        <f t="shared" si="4"/>
        <v>#NAME?</v>
      </c>
      <c r="G47" s="149">
        <f t="shared" si="5"/>
        <v>4</v>
      </c>
      <c r="H47" s="146" t="e">
        <f t="shared" si="6"/>
        <v>#NAME?</v>
      </c>
      <c r="Y47" s="144">
        <v>10004</v>
      </c>
    </row>
    <row r="48" spans="1:25" ht="15" x14ac:dyDescent="0.3">
      <c r="A48" s="141">
        <f>[1]ArdiData!A47</f>
        <v>45</v>
      </c>
      <c r="B48" s="143" t="e">
        <f>#REF!</f>
        <v>#REF!</v>
      </c>
      <c r="C48" s="144">
        <f t="shared" si="2"/>
        <v>10608</v>
      </c>
      <c r="D48" s="147">
        <f t="shared" si="7"/>
        <v>9758.7999999999993</v>
      </c>
      <c r="E48" s="145" t="e">
        <f t="shared" si="3"/>
        <v>#NAME?</v>
      </c>
      <c r="F48" s="149" t="e">
        <f t="shared" si="4"/>
        <v>#NAME?</v>
      </c>
      <c r="G48" s="149">
        <f t="shared" si="5"/>
        <v>5</v>
      </c>
      <c r="H48" s="146" t="e">
        <f t="shared" si="6"/>
        <v>#NAME?</v>
      </c>
      <c r="Y48" s="144">
        <v>10608</v>
      </c>
    </row>
    <row r="49" spans="1:25" ht="15" x14ac:dyDescent="0.3">
      <c r="A49" s="141">
        <f>[1]ArdiData!A48</f>
        <v>46</v>
      </c>
      <c r="B49" s="143" t="e">
        <f>#REF!</f>
        <v>#REF!</v>
      </c>
      <c r="C49" s="144">
        <f t="shared" si="2"/>
        <v>9742</v>
      </c>
      <c r="D49" s="147">
        <f t="shared" si="7"/>
        <v>9652</v>
      </c>
      <c r="E49" s="145" t="e">
        <f t="shared" si="3"/>
        <v>#NAME?</v>
      </c>
      <c r="F49" s="149" t="e">
        <f t="shared" si="4"/>
        <v>#NAME?</v>
      </c>
      <c r="G49" s="149">
        <f t="shared" si="5"/>
        <v>1</v>
      </c>
      <c r="H49" s="146" t="e">
        <f t="shared" si="6"/>
        <v>#NAME?</v>
      </c>
      <c r="Y49" s="144">
        <v>9742</v>
      </c>
    </row>
    <row r="50" spans="1:25" ht="15" x14ac:dyDescent="0.3">
      <c r="A50" s="141">
        <f>[1]ArdiData!A49</f>
        <v>47</v>
      </c>
      <c r="B50" s="143" t="e">
        <f>#REF!</f>
        <v>#REF!</v>
      </c>
      <c r="C50" s="144">
        <f t="shared" si="2"/>
        <v>8280</v>
      </c>
      <c r="D50" s="147">
        <f t="shared" si="7"/>
        <v>9867.2000000000007</v>
      </c>
      <c r="E50" s="145" t="e">
        <f t="shared" si="3"/>
        <v>#NAME?</v>
      </c>
      <c r="F50" s="149" t="e">
        <f t="shared" si="4"/>
        <v>#NAME?</v>
      </c>
      <c r="G50" s="149">
        <f t="shared" si="5"/>
        <v>2</v>
      </c>
      <c r="H50" s="146" t="e">
        <f t="shared" si="6"/>
        <v>#NAME?</v>
      </c>
      <c r="Y50" s="144">
        <v>8280</v>
      </c>
    </row>
    <row r="51" spans="1:25" ht="15" x14ac:dyDescent="0.3">
      <c r="A51" s="141">
        <f>[1]ArdiData!A50</f>
        <v>48</v>
      </c>
      <c r="B51" s="143" t="e">
        <f>#REF!</f>
        <v>#REF!</v>
      </c>
      <c r="C51" s="144">
        <f t="shared" si="2"/>
        <v>9626</v>
      </c>
      <c r="D51" s="147">
        <f t="shared" si="7"/>
        <v>10139.4</v>
      </c>
      <c r="E51" s="145" t="e">
        <f t="shared" si="3"/>
        <v>#NAME?</v>
      </c>
      <c r="F51" s="149" t="e">
        <f t="shared" si="4"/>
        <v>#NAME?</v>
      </c>
      <c r="G51" s="149">
        <f t="shared" si="5"/>
        <v>3</v>
      </c>
      <c r="H51" s="146" t="e">
        <f t="shared" si="6"/>
        <v>#NAME?</v>
      </c>
      <c r="Y51" s="144">
        <v>9626</v>
      </c>
    </row>
    <row r="52" spans="1:25" ht="15" x14ac:dyDescent="0.3">
      <c r="A52" s="141">
        <f>[1]ArdiData!A51</f>
        <v>49</v>
      </c>
      <c r="B52" s="143" t="e">
        <f>#REF!</f>
        <v>#REF!</v>
      </c>
      <c r="C52" s="144">
        <f t="shared" si="2"/>
        <v>11080</v>
      </c>
      <c r="D52" s="147">
        <f t="shared" si="7"/>
        <v>10297.4</v>
      </c>
      <c r="E52" s="145" t="e">
        <f t="shared" si="3"/>
        <v>#NAME?</v>
      </c>
      <c r="F52" s="149" t="e">
        <f t="shared" si="4"/>
        <v>#NAME?</v>
      </c>
      <c r="G52" s="149">
        <f t="shared" si="5"/>
        <v>4</v>
      </c>
      <c r="H52" s="146" t="e">
        <f t="shared" si="6"/>
        <v>#NAME?</v>
      </c>
      <c r="Y52" s="144">
        <v>11080</v>
      </c>
    </row>
    <row r="53" spans="1:25" ht="15" x14ac:dyDescent="0.3">
      <c r="A53" s="141">
        <f>[1]ArdiData!A52</f>
        <v>50</v>
      </c>
      <c r="B53" s="143" t="e">
        <f>#REF!</f>
        <v>#REF!</v>
      </c>
      <c r="C53" s="144">
        <f t="shared" si="2"/>
        <v>11969</v>
      </c>
      <c r="D53" s="147">
        <f t="shared" si="7"/>
        <v>10579</v>
      </c>
      <c r="E53" s="145" t="e">
        <f t="shared" si="3"/>
        <v>#NAME?</v>
      </c>
      <c r="F53" s="149" t="e">
        <f t="shared" si="4"/>
        <v>#NAME?</v>
      </c>
      <c r="G53" s="149">
        <f t="shared" si="5"/>
        <v>5</v>
      </c>
      <c r="H53" s="146" t="e">
        <f t="shared" si="6"/>
        <v>#NAME?</v>
      </c>
      <c r="Y53" s="144">
        <v>11969</v>
      </c>
    </row>
    <row r="54" spans="1:25" ht="15" x14ac:dyDescent="0.3">
      <c r="A54" s="141">
        <f>[1]ArdiData!A53</f>
        <v>51</v>
      </c>
      <c r="B54" s="143" t="e">
        <f>#REF!</f>
        <v>#REF!</v>
      </c>
      <c r="C54" s="144">
        <f t="shared" si="2"/>
        <v>10532</v>
      </c>
      <c r="D54" s="147">
        <f t="shared" si="7"/>
        <v>10899</v>
      </c>
      <c r="E54" s="145" t="e">
        <f t="shared" si="3"/>
        <v>#NAME?</v>
      </c>
      <c r="F54" s="149" t="e">
        <f t="shared" si="4"/>
        <v>#NAME?</v>
      </c>
      <c r="G54" s="149">
        <f t="shared" si="5"/>
        <v>1</v>
      </c>
      <c r="H54" s="146" t="e">
        <f t="shared" si="6"/>
        <v>#NAME?</v>
      </c>
      <c r="Y54" s="144">
        <v>10532</v>
      </c>
    </row>
    <row r="55" spans="1:25" ht="15" x14ac:dyDescent="0.3">
      <c r="A55" s="141">
        <f>[1]ArdiData!A54</f>
        <v>52</v>
      </c>
      <c r="B55" s="143" t="e">
        <f>#REF!</f>
        <v>#REF!</v>
      </c>
      <c r="C55" s="144">
        <f t="shared" si="2"/>
        <v>9688</v>
      </c>
      <c r="D55" s="147">
        <f t="shared" si="7"/>
        <v>11155.6</v>
      </c>
      <c r="E55" s="145" t="e">
        <f t="shared" si="3"/>
        <v>#NAME?</v>
      </c>
      <c r="F55" s="149" t="e">
        <f t="shared" si="4"/>
        <v>#NAME?</v>
      </c>
      <c r="G55" s="149">
        <f t="shared" si="5"/>
        <v>2</v>
      </c>
      <c r="H55" s="146" t="e">
        <f t="shared" si="6"/>
        <v>#NAME?</v>
      </c>
      <c r="Y55" s="144">
        <v>9688</v>
      </c>
    </row>
    <row r="56" spans="1:25" ht="15" x14ac:dyDescent="0.3">
      <c r="A56" s="141">
        <f>[1]ArdiData!A55</f>
        <v>53</v>
      </c>
      <c r="B56" s="143" t="e">
        <f>#REF!</f>
        <v>#REF!</v>
      </c>
      <c r="C56" s="144">
        <f t="shared" si="2"/>
        <v>11226</v>
      </c>
      <c r="D56" s="147">
        <f t="shared" si="7"/>
        <v>11263.4</v>
      </c>
      <c r="E56" s="145" t="e">
        <f t="shared" si="3"/>
        <v>#NAME?</v>
      </c>
      <c r="F56" s="149" t="e">
        <f t="shared" si="4"/>
        <v>#NAME?</v>
      </c>
      <c r="G56" s="149">
        <f t="shared" si="5"/>
        <v>3</v>
      </c>
      <c r="H56" s="146" t="e">
        <f t="shared" si="6"/>
        <v>#NAME?</v>
      </c>
      <c r="Y56" s="144">
        <v>11226</v>
      </c>
    </row>
    <row r="57" spans="1:25" ht="15" x14ac:dyDescent="0.3">
      <c r="A57" s="141">
        <f>[1]ArdiData!A56</f>
        <v>54</v>
      </c>
      <c r="B57" s="143" t="e">
        <f>#REF!</f>
        <v>#REF!</v>
      </c>
      <c r="C57" s="144">
        <f t="shared" si="2"/>
        <v>12363</v>
      </c>
      <c r="D57" s="147">
        <f t="shared" si="7"/>
        <v>11328.8</v>
      </c>
      <c r="E57" s="145" t="e">
        <f t="shared" si="3"/>
        <v>#NAME?</v>
      </c>
      <c r="F57" s="149" t="e">
        <f t="shared" si="4"/>
        <v>#NAME?</v>
      </c>
      <c r="G57" s="149">
        <f t="shared" si="5"/>
        <v>4</v>
      </c>
      <c r="H57" s="146" t="e">
        <f t="shared" si="6"/>
        <v>#NAME?</v>
      </c>
      <c r="Y57" s="144">
        <v>12363</v>
      </c>
    </row>
    <row r="58" spans="1:25" ht="15" x14ac:dyDescent="0.3">
      <c r="A58" s="141">
        <f>[1]ArdiData!A57</f>
        <v>55</v>
      </c>
      <c r="B58" s="143" t="e">
        <f>#REF!</f>
        <v>#REF!</v>
      </c>
      <c r="C58" s="144">
        <f t="shared" si="2"/>
        <v>12508</v>
      </c>
      <c r="D58" s="147">
        <f t="shared" si="7"/>
        <v>11331.2</v>
      </c>
      <c r="E58" s="145" t="e">
        <f t="shared" si="3"/>
        <v>#NAME?</v>
      </c>
      <c r="F58" s="149" t="e">
        <f t="shared" si="4"/>
        <v>#NAME?</v>
      </c>
      <c r="G58" s="149">
        <f t="shared" si="5"/>
        <v>5</v>
      </c>
      <c r="H58" s="146" t="e">
        <f t="shared" si="6"/>
        <v>#NAME?</v>
      </c>
      <c r="Y58" s="144">
        <v>12508</v>
      </c>
    </row>
    <row r="59" spans="1:25" ht="15" x14ac:dyDescent="0.3">
      <c r="A59" s="141">
        <f>[1]ArdiData!A58</f>
        <v>56</v>
      </c>
      <c r="B59" s="143" t="e">
        <f>#REF!</f>
        <v>#REF!</v>
      </c>
      <c r="C59" s="144">
        <f t="shared" si="2"/>
        <v>10859</v>
      </c>
      <c r="D59" s="147">
        <f t="shared" si="7"/>
        <v>11388</v>
      </c>
      <c r="E59" s="145" t="e">
        <f t="shared" si="3"/>
        <v>#NAME?</v>
      </c>
      <c r="F59" s="149" t="e">
        <f t="shared" si="4"/>
        <v>#NAME?</v>
      </c>
      <c r="G59" s="149">
        <f t="shared" si="5"/>
        <v>1</v>
      </c>
      <c r="H59" s="146" t="e">
        <f t="shared" si="6"/>
        <v>#NAME?</v>
      </c>
      <c r="Y59" s="144">
        <v>10859</v>
      </c>
    </row>
    <row r="60" spans="1:25" ht="15" x14ac:dyDescent="0.3">
      <c r="A60" s="141">
        <f>[1]ArdiData!A59</f>
        <v>57</v>
      </c>
      <c r="B60" s="143" t="e">
        <f>#REF!</f>
        <v>#REF!</v>
      </c>
      <c r="C60" s="144">
        <f t="shared" si="2"/>
        <v>9700</v>
      </c>
      <c r="D60" s="147">
        <f t="shared" si="7"/>
        <v>11828.6</v>
      </c>
      <c r="E60" s="145" t="e">
        <f t="shared" si="3"/>
        <v>#NAME?</v>
      </c>
      <c r="F60" s="149" t="e">
        <f t="shared" si="4"/>
        <v>#NAME?</v>
      </c>
      <c r="G60" s="149">
        <f t="shared" si="5"/>
        <v>2</v>
      </c>
      <c r="H60" s="146" t="e">
        <f t="shared" si="6"/>
        <v>#NAME?</v>
      </c>
      <c r="Y60" s="144">
        <v>9700</v>
      </c>
    </row>
    <row r="61" spans="1:25" ht="15" x14ac:dyDescent="0.3">
      <c r="A61" s="141">
        <f>[1]ArdiData!A60</f>
        <v>58</v>
      </c>
      <c r="B61" s="143" t="e">
        <f>#REF!</f>
        <v>#REF!</v>
      </c>
      <c r="C61" s="144">
        <f t="shared" si="2"/>
        <v>11510</v>
      </c>
      <c r="D61" s="147">
        <f t="shared" si="7"/>
        <v>12354.6</v>
      </c>
      <c r="E61" s="145" t="e">
        <f t="shared" si="3"/>
        <v>#NAME?</v>
      </c>
      <c r="F61" s="149" t="e">
        <f t="shared" si="4"/>
        <v>#NAME?</v>
      </c>
      <c r="G61" s="149">
        <f t="shared" si="5"/>
        <v>3</v>
      </c>
      <c r="H61" s="146" t="e">
        <f t="shared" si="6"/>
        <v>#NAME?</v>
      </c>
      <c r="Y61" s="144">
        <v>11510</v>
      </c>
    </row>
    <row r="62" spans="1:25" ht="15" x14ac:dyDescent="0.3">
      <c r="A62" s="141">
        <f>[1]ArdiData!A61</f>
        <v>59</v>
      </c>
      <c r="B62" s="143" t="e">
        <f>#REF!</f>
        <v>#REF!</v>
      </c>
      <c r="C62" s="144">
        <f t="shared" si="2"/>
        <v>14566</v>
      </c>
      <c r="D62" s="147">
        <f t="shared" si="7"/>
        <v>12180.2</v>
      </c>
      <c r="E62" s="145" t="e">
        <f t="shared" si="3"/>
        <v>#NAME?</v>
      </c>
      <c r="F62" s="149" t="e">
        <f t="shared" si="4"/>
        <v>#NAME?</v>
      </c>
      <c r="G62" s="149">
        <f t="shared" si="5"/>
        <v>4</v>
      </c>
      <c r="H62" s="146" t="e">
        <f t="shared" si="6"/>
        <v>#NAME?</v>
      </c>
      <c r="Y62" s="144">
        <v>14566</v>
      </c>
    </row>
    <row r="63" spans="1:25" ht="15" x14ac:dyDescent="0.3">
      <c r="A63" s="141">
        <f>[1]ArdiData!A62</f>
        <v>60</v>
      </c>
      <c r="B63" s="143" t="e">
        <f>#REF!</f>
        <v>#REF!</v>
      </c>
      <c r="C63" s="144">
        <f t="shared" si="2"/>
        <v>15138</v>
      </c>
      <c r="D63" s="147">
        <f t="shared" si="7"/>
        <v>12693</v>
      </c>
      <c r="E63" s="145" t="e">
        <f t="shared" si="3"/>
        <v>#NAME?</v>
      </c>
      <c r="F63" s="149" t="e">
        <f t="shared" si="4"/>
        <v>#NAME?</v>
      </c>
      <c r="G63" s="149">
        <f t="shared" si="5"/>
        <v>5</v>
      </c>
      <c r="H63" s="146" t="e">
        <f t="shared" si="6"/>
        <v>#NAME?</v>
      </c>
      <c r="Y63" s="144">
        <v>15138</v>
      </c>
    </row>
    <row r="64" spans="1:25" ht="15" x14ac:dyDescent="0.3">
      <c r="A64" s="141">
        <f>[1]ArdiData!A63</f>
        <v>61</v>
      </c>
      <c r="B64" s="143" t="e">
        <f>#REF!</f>
        <v>#REF!</v>
      </c>
      <c r="C64" s="144">
        <f t="shared" si="2"/>
        <v>9987</v>
      </c>
      <c r="D64" s="147">
        <f t="shared" si="7"/>
        <v>13073.4</v>
      </c>
      <c r="E64" s="145" t="e">
        <f t="shared" si="3"/>
        <v>#NAME?</v>
      </c>
      <c r="F64" s="149" t="e">
        <f t="shared" si="4"/>
        <v>#NAME?</v>
      </c>
      <c r="G64" s="149">
        <f t="shared" si="5"/>
        <v>1</v>
      </c>
      <c r="H64" s="146" t="e">
        <f t="shared" si="6"/>
        <v>#NAME?</v>
      </c>
      <c r="Y64" s="144">
        <v>9987</v>
      </c>
    </row>
    <row r="65" spans="1:25" ht="15" x14ac:dyDescent="0.3">
      <c r="A65" s="141">
        <f>[1]ArdiData!A64</f>
        <v>62</v>
      </c>
      <c r="B65" s="143" t="e">
        <f>#REF!</f>
        <v>#REF!</v>
      </c>
      <c r="C65" s="144">
        <f t="shared" si="2"/>
        <v>12264</v>
      </c>
      <c r="D65" s="147">
        <f t="shared" si="7"/>
        <v>13102.8</v>
      </c>
      <c r="E65" s="145" t="e">
        <f t="shared" si="3"/>
        <v>#NAME?</v>
      </c>
      <c r="F65" s="149" t="e">
        <f t="shared" si="4"/>
        <v>#NAME?</v>
      </c>
      <c r="G65" s="149">
        <f t="shared" si="5"/>
        <v>2</v>
      </c>
      <c r="H65" s="146" t="e">
        <f t="shared" si="6"/>
        <v>#NAME?</v>
      </c>
      <c r="Y65" s="144">
        <v>12264</v>
      </c>
    </row>
    <row r="66" spans="1:25" ht="15" x14ac:dyDescent="0.3">
      <c r="A66" s="141">
        <f>[1]ArdiData!A65</f>
        <v>63</v>
      </c>
      <c r="B66" s="143" t="e">
        <f>#REF!</f>
        <v>#REF!</v>
      </c>
      <c r="C66" s="144">
        <f t="shared" si="2"/>
        <v>13412</v>
      </c>
      <c r="D66" s="147">
        <f t="shared" si="7"/>
        <v>13036.4</v>
      </c>
      <c r="E66" s="145" t="e">
        <f t="shared" si="3"/>
        <v>#NAME?</v>
      </c>
      <c r="F66" s="149" t="e">
        <f t="shared" si="4"/>
        <v>#NAME?</v>
      </c>
      <c r="G66" s="149">
        <f t="shared" si="5"/>
        <v>3</v>
      </c>
      <c r="H66" s="146" t="e">
        <f t="shared" si="6"/>
        <v>#NAME?</v>
      </c>
      <c r="Y66" s="144">
        <v>13412</v>
      </c>
    </row>
    <row r="67" spans="1:25" ht="15" x14ac:dyDescent="0.3">
      <c r="A67" s="141">
        <f>[1]ArdiData!A66</f>
        <v>64</v>
      </c>
      <c r="B67" s="143" t="e">
        <f>#REF!</f>
        <v>#REF!</v>
      </c>
      <c r="C67" s="144">
        <f t="shared" si="2"/>
        <v>14713</v>
      </c>
      <c r="D67" s="147">
        <f t="shared" si="7"/>
        <v>13399.2</v>
      </c>
      <c r="E67" s="145" t="e">
        <f t="shared" si="3"/>
        <v>#NAME?</v>
      </c>
      <c r="F67" s="149" t="e">
        <f t="shared" si="4"/>
        <v>#NAME?</v>
      </c>
      <c r="G67" s="149">
        <f t="shared" si="5"/>
        <v>4</v>
      </c>
      <c r="H67" s="146" t="e">
        <f t="shared" si="6"/>
        <v>#NAME?</v>
      </c>
      <c r="Y67" s="144">
        <v>14713</v>
      </c>
    </row>
    <row r="68" spans="1:25" ht="15" x14ac:dyDescent="0.3">
      <c r="A68" s="141">
        <f>[1]ArdiData!A67</f>
        <v>65</v>
      </c>
      <c r="B68" s="143" t="e">
        <f>#REF!</f>
        <v>#REF!</v>
      </c>
      <c r="C68" s="144">
        <f t="shared" si="2"/>
        <v>14806</v>
      </c>
      <c r="D68" s="147">
        <f t="shared" si="7"/>
        <v>13736.8</v>
      </c>
      <c r="E68" s="145" t="e">
        <f t="shared" si="3"/>
        <v>#NAME?</v>
      </c>
      <c r="F68" s="149" t="e">
        <f t="shared" si="4"/>
        <v>#NAME?</v>
      </c>
      <c r="G68" s="149">
        <f t="shared" si="5"/>
        <v>5</v>
      </c>
      <c r="H68" s="146" t="e">
        <f t="shared" si="6"/>
        <v>#NAME?</v>
      </c>
      <c r="Y68" s="144">
        <v>14806</v>
      </c>
    </row>
    <row r="69" spans="1:25" ht="15" x14ac:dyDescent="0.3">
      <c r="A69" s="141">
        <f>[1]ArdiData!A68</f>
        <v>66</v>
      </c>
      <c r="B69" s="143" t="e">
        <f>#REF!</f>
        <v>#REF!</v>
      </c>
      <c r="C69" s="144">
        <f t="shared" ref="C69:C78" si="8">Y69</f>
        <v>11801</v>
      </c>
      <c r="D69" s="147">
        <f t="shared" si="7"/>
        <v>13894</v>
      </c>
      <c r="E69" s="145" t="e">
        <f t="shared" ref="E69:E78" si="9">$E$2+$F$2*A69</f>
        <v>#NAME?</v>
      </c>
      <c r="F69" s="149" t="e">
        <f t="shared" ref="F69:F78" si="10">C69/E69</f>
        <v>#NAME?</v>
      </c>
      <c r="G69" s="149">
        <f t="shared" ref="G69:G78" si="11">IF(MOD(A69,5)&lt;&gt;0,MOD(A69,5),5)</f>
        <v>1</v>
      </c>
      <c r="H69" s="146" t="e">
        <f t="shared" ref="H69:H78" si="12">VLOOKUP(G69,$J$3:$L$7,3)*E69</f>
        <v>#NAME?</v>
      </c>
      <c r="Y69" s="144">
        <v>11801</v>
      </c>
    </row>
    <row r="70" spans="1:25" ht="15" x14ac:dyDescent="0.3">
      <c r="A70" s="141">
        <f>[1]ArdiData!A69</f>
        <v>67</v>
      </c>
      <c r="B70" s="143" t="e">
        <f>#REF!</f>
        <v>#REF!</v>
      </c>
      <c r="C70" s="144">
        <f t="shared" si="8"/>
        <v>13952</v>
      </c>
      <c r="D70" s="147">
        <f t="shared" si="7"/>
        <v>14130.2</v>
      </c>
      <c r="E70" s="145" t="e">
        <f t="shared" si="9"/>
        <v>#NAME?</v>
      </c>
      <c r="F70" s="149" t="e">
        <f t="shared" si="10"/>
        <v>#NAME?</v>
      </c>
      <c r="G70" s="149">
        <f t="shared" si="11"/>
        <v>2</v>
      </c>
      <c r="H70" s="146" t="e">
        <f t="shared" si="12"/>
        <v>#NAME?</v>
      </c>
      <c r="Y70" s="144">
        <v>13952</v>
      </c>
    </row>
    <row r="71" spans="1:25" ht="15" x14ac:dyDescent="0.3">
      <c r="A71" s="141">
        <f>[1]ArdiData!A70</f>
        <v>68</v>
      </c>
      <c r="B71" s="143" t="e">
        <f>#REF!</f>
        <v>#REF!</v>
      </c>
      <c r="C71" s="144">
        <f t="shared" si="8"/>
        <v>14198</v>
      </c>
      <c r="D71" s="147">
        <f t="shared" ref="D71:D76" si="13">AVERAGE(C69:C73)</f>
        <v>14704</v>
      </c>
      <c r="E71" s="145" t="e">
        <f t="shared" si="9"/>
        <v>#NAME?</v>
      </c>
      <c r="F71" s="149" t="e">
        <f t="shared" si="10"/>
        <v>#NAME?</v>
      </c>
      <c r="G71" s="149">
        <f t="shared" si="11"/>
        <v>3</v>
      </c>
      <c r="H71" s="146" t="e">
        <f t="shared" si="12"/>
        <v>#NAME?</v>
      </c>
      <c r="Y71" s="144">
        <v>14198</v>
      </c>
    </row>
    <row r="72" spans="1:25" ht="15" x14ac:dyDescent="0.3">
      <c r="A72" s="141">
        <f>[1]ArdiData!A71</f>
        <v>69</v>
      </c>
      <c r="B72" s="143" t="e">
        <f>#REF!</f>
        <v>#REF!</v>
      </c>
      <c r="C72" s="144">
        <f t="shared" si="8"/>
        <v>15894</v>
      </c>
      <c r="D72" s="147">
        <f t="shared" si="13"/>
        <v>14771.4</v>
      </c>
      <c r="E72" s="145" t="e">
        <f t="shared" si="9"/>
        <v>#NAME?</v>
      </c>
      <c r="F72" s="149" t="e">
        <f t="shared" si="10"/>
        <v>#NAME?</v>
      </c>
      <c r="G72" s="149">
        <f t="shared" si="11"/>
        <v>4</v>
      </c>
      <c r="H72" s="146" t="e">
        <f t="shared" si="12"/>
        <v>#NAME?</v>
      </c>
      <c r="Y72" s="144">
        <v>15894</v>
      </c>
    </row>
    <row r="73" spans="1:25" ht="15" x14ac:dyDescent="0.3">
      <c r="A73" s="141">
        <f>[1]ArdiData!A72</f>
        <v>70</v>
      </c>
      <c r="B73" s="143" t="e">
        <f>#REF!</f>
        <v>#REF!</v>
      </c>
      <c r="C73" s="144">
        <f t="shared" si="8"/>
        <v>17675</v>
      </c>
      <c r="D73" s="147">
        <f t="shared" si="13"/>
        <v>14716.8</v>
      </c>
      <c r="E73" s="145" t="e">
        <f t="shared" si="9"/>
        <v>#NAME?</v>
      </c>
      <c r="F73" s="149" t="e">
        <f t="shared" si="10"/>
        <v>#NAME?</v>
      </c>
      <c r="G73" s="149">
        <f t="shared" si="11"/>
        <v>5</v>
      </c>
      <c r="H73" s="146" t="e">
        <f t="shared" si="12"/>
        <v>#NAME?</v>
      </c>
      <c r="Y73" s="144">
        <v>17675</v>
      </c>
    </row>
    <row r="74" spans="1:25" ht="15" x14ac:dyDescent="0.3">
      <c r="A74" s="141">
        <f>[1]ArdiData!A73</f>
        <v>71</v>
      </c>
      <c r="B74" s="143" t="e">
        <f>#REF!</f>
        <v>#REF!</v>
      </c>
      <c r="C74" s="144">
        <f t="shared" si="8"/>
        <v>12138</v>
      </c>
      <c r="D74" s="147">
        <f t="shared" si="13"/>
        <v>14915.2</v>
      </c>
      <c r="E74" s="145" t="e">
        <f t="shared" si="9"/>
        <v>#NAME?</v>
      </c>
      <c r="F74" s="149" t="e">
        <f t="shared" si="10"/>
        <v>#NAME?</v>
      </c>
      <c r="G74" s="149">
        <f t="shared" si="11"/>
        <v>1</v>
      </c>
      <c r="H74" s="146" t="e">
        <f t="shared" si="12"/>
        <v>#NAME?</v>
      </c>
      <c r="Y74" s="144">
        <v>12138</v>
      </c>
    </row>
    <row r="75" spans="1:25" ht="15" x14ac:dyDescent="0.3">
      <c r="A75" s="141">
        <f>[1]ArdiData!A74</f>
        <v>72</v>
      </c>
      <c r="B75" s="143" t="e">
        <f>#REF!</f>
        <v>#REF!</v>
      </c>
      <c r="C75" s="144">
        <f t="shared" si="8"/>
        <v>13679</v>
      </c>
      <c r="D75" s="147">
        <f t="shared" si="13"/>
        <v>14936.2</v>
      </c>
      <c r="E75" s="145" t="e">
        <f t="shared" si="9"/>
        <v>#NAME?</v>
      </c>
      <c r="F75" s="149" t="e">
        <f t="shared" si="10"/>
        <v>#NAME?</v>
      </c>
      <c r="G75" s="149">
        <f t="shared" si="11"/>
        <v>2</v>
      </c>
      <c r="H75" s="146" t="e">
        <f t="shared" si="12"/>
        <v>#NAME?</v>
      </c>
      <c r="Y75" s="144">
        <v>13679</v>
      </c>
    </row>
    <row r="76" spans="1:25" ht="15" x14ac:dyDescent="0.3">
      <c r="A76" s="141">
        <f>[1]ArdiData!A75</f>
        <v>73</v>
      </c>
      <c r="B76" s="143" t="e">
        <f>#REF!</f>
        <v>#REF!</v>
      </c>
      <c r="C76" s="144">
        <f t="shared" si="8"/>
        <v>15190</v>
      </c>
      <c r="D76" s="147">
        <f t="shared" si="13"/>
        <v>15019.4</v>
      </c>
      <c r="E76" s="145" t="e">
        <f t="shared" si="9"/>
        <v>#NAME?</v>
      </c>
      <c r="F76" s="149" t="e">
        <f t="shared" si="10"/>
        <v>#NAME?</v>
      </c>
      <c r="G76" s="149">
        <f t="shared" si="11"/>
        <v>3</v>
      </c>
      <c r="H76" s="146" t="e">
        <f t="shared" si="12"/>
        <v>#NAME?</v>
      </c>
      <c r="Y76" s="144">
        <v>15190</v>
      </c>
    </row>
    <row r="77" spans="1:25" ht="15" x14ac:dyDescent="0.3">
      <c r="A77" s="141">
        <f>[1]ArdiData!A76</f>
        <v>74</v>
      </c>
      <c r="B77" s="143" t="e">
        <f>#REF!</f>
        <v>#REF!</v>
      </c>
      <c r="C77" s="144">
        <f t="shared" si="8"/>
        <v>15999</v>
      </c>
      <c r="D77" s="147"/>
      <c r="E77" s="145" t="e">
        <f t="shared" si="9"/>
        <v>#NAME?</v>
      </c>
      <c r="F77" s="149" t="e">
        <f t="shared" si="10"/>
        <v>#NAME?</v>
      </c>
      <c r="G77" s="149">
        <f t="shared" si="11"/>
        <v>4</v>
      </c>
      <c r="H77" s="146" t="e">
        <f t="shared" si="12"/>
        <v>#NAME?</v>
      </c>
      <c r="Y77" s="144">
        <v>15999</v>
      </c>
    </row>
    <row r="78" spans="1:25" ht="15" x14ac:dyDescent="0.3">
      <c r="A78" s="141">
        <f>[1]ArdiData!A77</f>
        <v>75</v>
      </c>
      <c r="B78" s="143" t="e">
        <f>#REF!</f>
        <v>#REF!</v>
      </c>
      <c r="C78" s="144">
        <f t="shared" si="8"/>
        <v>18091</v>
      </c>
      <c r="D78" s="147"/>
      <c r="E78" s="145" t="e">
        <f t="shared" si="9"/>
        <v>#NAME?</v>
      </c>
      <c r="F78" s="149" t="e">
        <f t="shared" si="10"/>
        <v>#NAME?</v>
      </c>
      <c r="G78" s="149">
        <f t="shared" si="11"/>
        <v>5</v>
      </c>
      <c r="H78" s="146" t="e">
        <f t="shared" si="12"/>
        <v>#NAME?</v>
      </c>
      <c r="Y78" s="144">
        <v>18091</v>
      </c>
    </row>
    <row r="79" spans="1:25" ht="15" x14ac:dyDescent="0.3">
      <c r="A79" s="141">
        <v>76</v>
      </c>
      <c r="B79" s="143"/>
      <c r="C79" s="144"/>
      <c r="D79" s="147"/>
      <c r="E79" s="145"/>
      <c r="F79" s="149"/>
      <c r="G79" s="149"/>
      <c r="H79" s="146"/>
    </row>
    <row r="80" spans="1:25" ht="15" x14ac:dyDescent="0.3">
      <c r="A80" s="141">
        <v>77</v>
      </c>
      <c r="B80" s="143"/>
      <c r="C80" s="144"/>
      <c r="D80" s="147"/>
      <c r="E80" s="145"/>
      <c r="F80" s="149"/>
      <c r="G80" s="149"/>
      <c r="H80" s="146"/>
    </row>
    <row r="81" spans="1:8" ht="15" x14ac:dyDescent="0.3">
      <c r="A81" s="141">
        <v>78</v>
      </c>
      <c r="B81" s="143"/>
      <c r="C81" s="144"/>
      <c r="D81" s="147"/>
      <c r="E81" s="145"/>
      <c r="F81" s="149"/>
      <c r="G81" s="149"/>
      <c r="H81" s="146"/>
    </row>
    <row r="82" spans="1:8" ht="15" x14ac:dyDescent="0.3">
      <c r="A82" s="141">
        <v>79</v>
      </c>
      <c r="B82" s="143"/>
      <c r="C82" s="144"/>
      <c r="D82" s="147"/>
      <c r="E82" s="145"/>
      <c r="F82" s="149"/>
      <c r="G82" s="149"/>
      <c r="H82" s="146"/>
    </row>
    <row r="83" spans="1:8" ht="15" x14ac:dyDescent="0.3">
      <c r="A83" s="141">
        <v>80</v>
      </c>
      <c r="B83" s="143"/>
      <c r="C83" s="144"/>
      <c r="D83" s="147"/>
      <c r="E83" s="145"/>
      <c r="F83" s="149"/>
      <c r="G83" s="149"/>
      <c r="H83" s="146"/>
    </row>
  </sheetData>
  <conditionalFormatting sqref="G4:G8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zoomScale="96" zoomScaleNormal="96" workbookViewId="0">
      <selection activeCell="G29" sqref="G29"/>
    </sheetView>
  </sheetViews>
  <sheetFormatPr defaultRowHeight="15" x14ac:dyDescent="0.25"/>
  <cols>
    <col min="2" max="3" width="4.85546875" customWidth="1"/>
    <col min="4" max="4" width="10" bestFit="1" customWidth="1"/>
    <col min="5" max="6" width="7.85546875" bestFit="1" customWidth="1"/>
    <col min="7" max="9" width="7.85546875" style="11" customWidth="1"/>
    <col min="10" max="10" width="27.140625" bestFit="1" customWidth="1"/>
    <col min="11" max="11" width="18.140625" bestFit="1" customWidth="1"/>
    <col min="12" max="12" width="11.7109375" bestFit="1" customWidth="1"/>
    <col min="13" max="13" width="14.5703125" bestFit="1" customWidth="1"/>
    <col min="14" max="14" width="12" bestFit="1" customWidth="1"/>
    <col min="15" max="15" width="8.85546875" bestFit="1" customWidth="1"/>
    <col min="16" max="16" width="13.42578125" bestFit="1" customWidth="1"/>
    <col min="17" max="17" width="11" bestFit="1" customWidth="1"/>
  </cols>
  <sheetData>
    <row r="1" spans="1:17" ht="15.75" thickBot="1" x14ac:dyDescent="0.3">
      <c r="G1" s="37" t="s">
        <v>57</v>
      </c>
      <c r="H1" s="37" t="s">
        <v>58</v>
      </c>
      <c r="I1" s="37" t="s">
        <v>59</v>
      </c>
      <c r="J1" s="37" t="s">
        <v>60</v>
      </c>
    </row>
    <row r="2" spans="1:17" ht="15.75" thickBot="1" x14ac:dyDescent="0.3">
      <c r="A2" s="10" t="s">
        <v>55</v>
      </c>
      <c r="B2" s="24" t="s">
        <v>25</v>
      </c>
      <c r="C2" s="26" t="s">
        <v>0</v>
      </c>
      <c r="D2" s="26" t="s">
        <v>26</v>
      </c>
      <c r="E2" s="25" t="s">
        <v>27</v>
      </c>
      <c r="F2" s="26" t="s">
        <v>56</v>
      </c>
      <c r="G2" s="1">
        <f>AVERAGE(C3:C52)</f>
        <v>29.88</v>
      </c>
      <c r="H2" s="34">
        <f>SUM(E3:E52)</f>
        <v>15075.296710684273</v>
      </c>
      <c r="I2" s="34">
        <f>SUM(F3:F52)</f>
        <v>16831.280000000006</v>
      </c>
      <c r="J2">
        <f>1-H2/I2</f>
        <v>0.10432856498826781</v>
      </c>
      <c r="K2" t="s">
        <v>28</v>
      </c>
      <c r="Q2" t="s">
        <v>43</v>
      </c>
    </row>
    <row r="3" spans="1:17" ht="15.75" thickBot="1" x14ac:dyDescent="0.3">
      <c r="A3" s="27" t="e">
        <f>#REF!</f>
        <v>#REF!</v>
      </c>
      <c r="B3" s="28">
        <v>1</v>
      </c>
      <c r="C3" s="76">
        <v>26</v>
      </c>
      <c r="D3" s="78">
        <f>$L$20+$L$21*B3</f>
        <v>19.818823529411763</v>
      </c>
      <c r="E3" s="29">
        <f>(C3-D3)^2</f>
        <v>38.206942560553664</v>
      </c>
      <c r="F3" s="79">
        <f>(C3-$G$2)^2</f>
        <v>15.054399999999992</v>
      </c>
      <c r="G3"/>
      <c r="H3"/>
      <c r="I3"/>
    </row>
    <row r="4" spans="1:17" x14ac:dyDescent="0.25">
      <c r="A4" s="27" t="e">
        <f>#REF!</f>
        <v>#REF!</v>
      </c>
      <c r="B4" s="28">
        <v>2</v>
      </c>
      <c r="C4" s="76">
        <v>22</v>
      </c>
      <c r="D4" s="78">
        <f t="shared" ref="D4:D52" si="0">$L$20+$L$21*B4</f>
        <v>20.229483793517407</v>
      </c>
      <c r="E4" s="29">
        <f t="shared" ref="E4:E34" si="1">(C4-D4)^2</f>
        <v>3.1347276374175133</v>
      </c>
      <c r="F4" s="79">
        <f t="shared" ref="F4:F34" si="2">(C4-$G$2)^2</f>
        <v>62.094399999999986</v>
      </c>
      <c r="G4" s="35"/>
      <c r="H4" s="35"/>
      <c r="I4" s="35"/>
      <c r="K4" s="13" t="s">
        <v>29</v>
      </c>
      <c r="L4" s="13"/>
    </row>
    <row r="5" spans="1:17" x14ac:dyDescent="0.25">
      <c r="A5" s="27" t="e">
        <f>#REF!</f>
        <v>#REF!</v>
      </c>
      <c r="B5" s="28">
        <v>3</v>
      </c>
      <c r="C5" s="76">
        <v>11</v>
      </c>
      <c r="D5" s="78">
        <f t="shared" si="0"/>
        <v>20.640144057623047</v>
      </c>
      <c r="E5" s="29">
        <f t="shared" si="1"/>
        <v>92.932377451724946</v>
      </c>
      <c r="F5" s="79">
        <f t="shared" si="2"/>
        <v>356.45439999999996</v>
      </c>
      <c r="G5" s="35"/>
      <c r="H5" s="35"/>
      <c r="I5" s="35"/>
      <c r="J5" s="14" t="s">
        <v>30</v>
      </c>
      <c r="K5" s="15" t="s">
        <v>31</v>
      </c>
      <c r="L5" s="16">
        <v>0.32299932660652342</v>
      </c>
      <c r="M5" s="17">
        <f>CORREL(B3:B52,C3:C52)</f>
        <v>0.32299932660652309</v>
      </c>
    </row>
    <row r="6" spans="1:17" x14ac:dyDescent="0.25">
      <c r="A6" s="27" t="e">
        <f>#REF!</f>
        <v>#REF!</v>
      </c>
      <c r="B6" s="28">
        <v>4</v>
      </c>
      <c r="C6" s="76">
        <v>3</v>
      </c>
      <c r="D6" s="78">
        <f t="shared" si="0"/>
        <v>21.050804321728691</v>
      </c>
      <c r="E6" s="29">
        <f t="shared" si="1"/>
        <v>325.83153666133921</v>
      </c>
      <c r="F6" s="79">
        <f t="shared" si="2"/>
        <v>722.53439999999989</v>
      </c>
      <c r="G6" s="35"/>
      <c r="H6" s="35"/>
      <c r="I6" s="35"/>
      <c r="J6" s="14" t="s">
        <v>32</v>
      </c>
      <c r="K6" s="15" t="s">
        <v>33</v>
      </c>
      <c r="L6" s="16">
        <v>0.10432856498826758</v>
      </c>
      <c r="M6" s="17">
        <f>M5^2</f>
        <v>0.10432856498826737</v>
      </c>
      <c r="N6" s="84">
        <f>1-H2/I2</f>
        <v>0.10432856498826781</v>
      </c>
    </row>
    <row r="7" spans="1:17" x14ac:dyDescent="0.25">
      <c r="A7" s="27" t="e">
        <f>#REF!</f>
        <v>#REF!</v>
      </c>
      <c r="B7" s="28">
        <v>5</v>
      </c>
      <c r="C7" s="76">
        <v>28</v>
      </c>
      <c r="D7" s="78">
        <f t="shared" si="0"/>
        <v>21.461464585834332</v>
      </c>
      <c r="E7" s="29">
        <f t="shared" si="1"/>
        <v>42.752445362298609</v>
      </c>
      <c r="F7" s="79">
        <f t="shared" si="2"/>
        <v>3.5343999999999962</v>
      </c>
      <c r="G7" s="35"/>
      <c r="H7" s="35"/>
      <c r="I7" s="35"/>
      <c r="K7" s="18" t="s">
        <v>34</v>
      </c>
      <c r="L7" s="19">
        <v>8.566874342552315E-2</v>
      </c>
    </row>
    <row r="8" spans="1:17" x14ac:dyDescent="0.25">
      <c r="A8" s="27" t="e">
        <f>#REF!</f>
        <v>#REF!</v>
      </c>
      <c r="B8" s="28">
        <v>6</v>
      </c>
      <c r="C8" s="76">
        <v>13</v>
      </c>
      <c r="D8" s="78">
        <f t="shared" si="0"/>
        <v>21.872124849939976</v>
      </c>
      <c r="E8" s="29">
        <f t="shared" si="1"/>
        <v>78.714599352922434</v>
      </c>
      <c r="F8" s="79">
        <f t="shared" si="2"/>
        <v>284.93439999999998</v>
      </c>
      <c r="G8" s="35"/>
      <c r="H8" s="35"/>
      <c r="I8" s="35"/>
      <c r="K8" s="15" t="s">
        <v>35</v>
      </c>
      <c r="L8" s="16">
        <v>17.721983000572738</v>
      </c>
      <c r="M8" s="17">
        <f>SQRT(SUM(E3:E52)/(COUNT(E3:E52)-2))</f>
        <v>17.721983000572738</v>
      </c>
    </row>
    <row r="9" spans="1:17" ht="15.75" thickBot="1" x14ac:dyDescent="0.3">
      <c r="A9" s="27" t="e">
        <f>#REF!</f>
        <v>#REF!</v>
      </c>
      <c r="B9" s="28">
        <v>7</v>
      </c>
      <c r="C9" s="76">
        <v>8</v>
      </c>
      <c r="D9" s="78">
        <f t="shared" si="0"/>
        <v>22.282785114045616</v>
      </c>
      <c r="E9" s="29">
        <f t="shared" si="1"/>
        <v>203.99795061400303</v>
      </c>
      <c r="F9" s="79">
        <f t="shared" si="2"/>
        <v>478.73439999999994</v>
      </c>
      <c r="G9" s="35"/>
      <c r="H9" s="35"/>
      <c r="I9" s="35"/>
      <c r="K9" s="20" t="s">
        <v>36</v>
      </c>
      <c r="L9" s="20">
        <v>50</v>
      </c>
      <c r="M9" s="17">
        <f>COUNT(C3:C52)</f>
        <v>50</v>
      </c>
    </row>
    <row r="10" spans="1:17" x14ac:dyDescent="0.25">
      <c r="A10" s="27" t="e">
        <f>#REF!</f>
        <v>#REF!</v>
      </c>
      <c r="B10" s="28">
        <v>8</v>
      </c>
      <c r="C10" s="76">
        <v>7</v>
      </c>
      <c r="D10" s="78">
        <f t="shared" si="0"/>
        <v>22.69344537815126</v>
      </c>
      <c r="E10" s="29">
        <f t="shared" si="1"/>
        <v>246.28422783701714</v>
      </c>
      <c r="F10" s="79">
        <f t="shared" si="2"/>
        <v>523.49439999999993</v>
      </c>
      <c r="G10" s="35"/>
      <c r="H10" s="35"/>
      <c r="I10" s="35"/>
    </row>
    <row r="11" spans="1:17" ht="15.75" thickBot="1" x14ac:dyDescent="0.3">
      <c r="A11" s="27" t="e">
        <f>#REF!</f>
        <v>#REF!</v>
      </c>
      <c r="B11" s="28">
        <v>9</v>
      </c>
      <c r="C11" s="76">
        <v>32</v>
      </c>
      <c r="D11" s="78">
        <f t="shared" si="0"/>
        <v>23.104105642256901</v>
      </c>
      <c r="E11" s="29">
        <f t="shared" si="1"/>
        <v>79.136936424125508</v>
      </c>
      <c r="F11" s="79">
        <f t="shared" si="2"/>
        <v>4.4944000000000042</v>
      </c>
      <c r="G11" s="35"/>
      <c r="H11" s="35"/>
      <c r="I11" s="35"/>
      <c r="K11" t="s">
        <v>37</v>
      </c>
    </row>
    <row r="12" spans="1:17" x14ac:dyDescent="0.25">
      <c r="A12" s="27" t="e">
        <f>#REF!</f>
        <v>#REF!</v>
      </c>
      <c r="B12" s="28">
        <v>10</v>
      </c>
      <c r="C12" s="76">
        <v>41</v>
      </c>
      <c r="D12" s="78">
        <f t="shared" si="0"/>
        <v>23.514765906362545</v>
      </c>
      <c r="E12" s="29">
        <f t="shared" si="1"/>
        <v>305.73341130930163</v>
      </c>
      <c r="F12" s="79">
        <f t="shared" si="2"/>
        <v>123.65440000000002</v>
      </c>
      <c r="G12" s="35"/>
      <c r="H12" s="35"/>
      <c r="I12" s="35"/>
      <c r="K12" s="21"/>
      <c r="L12" s="21" t="s">
        <v>38</v>
      </c>
      <c r="M12" s="21" t="s">
        <v>39</v>
      </c>
      <c r="N12" s="21" t="s">
        <v>40</v>
      </c>
      <c r="O12" s="21" t="s">
        <v>41</v>
      </c>
      <c r="P12" s="21" t="s">
        <v>42</v>
      </c>
    </row>
    <row r="13" spans="1:17" x14ac:dyDescent="0.25">
      <c r="A13" s="27" t="e">
        <f>#REF!</f>
        <v>#REF!</v>
      </c>
      <c r="B13" s="28">
        <v>11</v>
      </c>
      <c r="C13" s="76">
        <v>9</v>
      </c>
      <c r="D13" s="78">
        <f t="shared" si="0"/>
        <v>23.925426170468185</v>
      </c>
      <c r="E13" s="29">
        <f t="shared" si="1"/>
        <v>222.76834637009659</v>
      </c>
      <c r="F13" s="79">
        <f t="shared" si="2"/>
        <v>435.97439999999995</v>
      </c>
      <c r="G13" s="35"/>
      <c r="H13" s="35"/>
      <c r="I13" s="35"/>
      <c r="K13" s="18" t="s">
        <v>43</v>
      </c>
      <c r="L13" s="58">
        <v>1</v>
      </c>
      <c r="M13" s="81">
        <v>1755.9832893157291</v>
      </c>
      <c r="N13" s="81">
        <v>1755.9832893157291</v>
      </c>
      <c r="O13" s="81">
        <v>5.5910805276169686</v>
      </c>
      <c r="P13" s="81">
        <v>2.2144150363479678E-2</v>
      </c>
    </row>
    <row r="14" spans="1:17" x14ac:dyDescent="0.25">
      <c r="A14" s="27" t="e">
        <f>#REF!</f>
        <v>#REF!</v>
      </c>
      <c r="B14" s="28">
        <v>12</v>
      </c>
      <c r="C14" s="76">
        <v>14</v>
      </c>
      <c r="D14" s="78">
        <f t="shared" si="0"/>
        <v>24.336086434573829</v>
      </c>
      <c r="E14" s="29">
        <f t="shared" si="1"/>
        <v>106.83468278298113</v>
      </c>
      <c r="F14" s="79">
        <f t="shared" si="2"/>
        <v>252.17439999999996</v>
      </c>
      <c r="G14" s="35"/>
      <c r="H14" s="35"/>
      <c r="I14" s="35"/>
      <c r="K14" s="18" t="s">
        <v>44</v>
      </c>
      <c r="L14" s="58">
        <v>48</v>
      </c>
      <c r="M14" s="81">
        <v>15075.296710684277</v>
      </c>
      <c r="N14" s="81">
        <v>314.06868147258911</v>
      </c>
      <c r="O14" s="81"/>
      <c r="P14" s="81"/>
    </row>
    <row r="15" spans="1:17" ht="15.75" thickBot="1" x14ac:dyDescent="0.3">
      <c r="A15" s="27" t="e">
        <f>#REF!</f>
        <v>#REF!</v>
      </c>
      <c r="B15" s="28">
        <v>13</v>
      </c>
      <c r="C15" s="76">
        <v>35</v>
      </c>
      <c r="D15" s="78">
        <f t="shared" si="0"/>
        <v>24.74674669867947</v>
      </c>
      <c r="E15" s="29">
        <f t="shared" si="1"/>
        <v>105.12920326104035</v>
      </c>
      <c r="F15" s="79">
        <f t="shared" si="2"/>
        <v>26.214400000000012</v>
      </c>
      <c r="G15" s="35"/>
      <c r="H15" s="35"/>
      <c r="I15" s="35"/>
      <c r="K15" s="22" t="s">
        <v>45</v>
      </c>
      <c r="L15" s="82">
        <v>49</v>
      </c>
      <c r="M15" s="83">
        <v>16831.280000000006</v>
      </c>
      <c r="N15" s="83"/>
      <c r="O15" s="83"/>
      <c r="P15" s="83"/>
    </row>
    <row r="16" spans="1:17" ht="15.75" thickBot="1" x14ac:dyDescent="0.3">
      <c r="A16" s="27" t="e">
        <f>#REF!</f>
        <v>#REF!</v>
      </c>
      <c r="B16" s="28">
        <v>14</v>
      </c>
      <c r="C16" s="76">
        <v>39</v>
      </c>
      <c r="D16" s="78">
        <f t="shared" si="0"/>
        <v>25.15740696278511</v>
      </c>
      <c r="E16" s="29">
        <f t="shared" si="1"/>
        <v>191.61738199395015</v>
      </c>
      <c r="F16" s="79">
        <f t="shared" si="2"/>
        <v>83.17440000000002</v>
      </c>
      <c r="G16" s="35"/>
      <c r="H16" s="35"/>
      <c r="I16" s="35"/>
    </row>
    <row r="17" spans="1:17" x14ac:dyDescent="0.25">
      <c r="A17" s="27" t="e">
        <f>#REF!</f>
        <v>#REF!</v>
      </c>
      <c r="B17" s="28">
        <v>15</v>
      </c>
      <c r="C17" s="76">
        <v>28</v>
      </c>
      <c r="D17" s="78">
        <f t="shared" si="0"/>
        <v>25.568067226890754</v>
      </c>
      <c r="E17" s="29">
        <f t="shared" si="1"/>
        <v>5.9142970129228258</v>
      </c>
      <c r="F17" s="79">
        <f t="shared" si="2"/>
        <v>3.5343999999999962</v>
      </c>
      <c r="G17" s="35"/>
      <c r="H17" s="35"/>
      <c r="I17" s="35"/>
      <c r="K17" s="21"/>
      <c r="L17" s="21" t="s">
        <v>46</v>
      </c>
      <c r="M17" s="21" t="s">
        <v>35</v>
      </c>
      <c r="N17" s="21" t="s">
        <v>47</v>
      </c>
      <c r="O17" s="21" t="s">
        <v>48</v>
      </c>
      <c r="P17" s="21" t="s">
        <v>49</v>
      </c>
      <c r="Q17" s="21" t="s">
        <v>50</v>
      </c>
    </row>
    <row r="18" spans="1:17" x14ac:dyDescent="0.25">
      <c r="A18" s="27" t="e">
        <f>#REF!</f>
        <v>#REF!</v>
      </c>
      <c r="B18" s="28">
        <v>16</v>
      </c>
      <c r="C18" s="76">
        <v>19</v>
      </c>
      <c r="D18" s="78">
        <f t="shared" si="0"/>
        <v>25.978727490996398</v>
      </c>
      <c r="E18" s="29">
        <f t="shared" si="1"/>
        <v>48.702637393588887</v>
      </c>
      <c r="F18" s="79">
        <f t="shared" si="2"/>
        <v>118.37439999999998</v>
      </c>
      <c r="G18" s="35"/>
      <c r="H18" s="35"/>
      <c r="I18" s="35"/>
      <c r="J18" s="14" t="s">
        <v>51</v>
      </c>
      <c r="K18" s="15" t="s">
        <v>52</v>
      </c>
      <c r="L18" s="19">
        <v>19.408163265306122</v>
      </c>
      <c r="M18" s="81">
        <v>5.0886778547249945</v>
      </c>
      <c r="N18" s="81">
        <v>3.8139893739363053</v>
      </c>
      <c r="O18" s="81">
        <v>3.9045739200275012E-4</v>
      </c>
      <c r="P18" s="81">
        <v>9.1766907002433395</v>
      </c>
      <c r="Q18" s="81">
        <v>29.639635830368903</v>
      </c>
    </row>
    <row r="19" spans="1:17" ht="15.75" thickBot="1" x14ac:dyDescent="0.3">
      <c r="A19" s="27" t="e">
        <f>#REF!</f>
        <v>#REF!</v>
      </c>
      <c r="B19" s="28">
        <v>17</v>
      </c>
      <c r="C19" s="76">
        <v>68</v>
      </c>
      <c r="D19" s="78">
        <f t="shared" si="0"/>
        <v>26.389387755102039</v>
      </c>
      <c r="E19" s="29">
        <f t="shared" si="1"/>
        <v>1731.4430513952525</v>
      </c>
      <c r="F19" s="79">
        <f t="shared" si="2"/>
        <v>1453.1344000000004</v>
      </c>
      <c r="G19" s="35"/>
      <c r="H19" s="35"/>
      <c r="I19" s="35"/>
      <c r="J19" s="14" t="s">
        <v>53</v>
      </c>
      <c r="K19" s="20" t="s">
        <v>54</v>
      </c>
      <c r="L19" s="23">
        <v>0.41066026410564221</v>
      </c>
      <c r="M19" s="83">
        <v>0.17367400060101817</v>
      </c>
      <c r="N19" s="83">
        <v>2.3645465797097249</v>
      </c>
      <c r="O19" s="85">
        <v>2.2144150363479765E-2</v>
      </c>
      <c r="P19" s="85">
        <v>6.146528200158341E-2</v>
      </c>
      <c r="Q19" s="85">
        <v>0.75985524620970102</v>
      </c>
    </row>
    <row r="20" spans="1:17" x14ac:dyDescent="0.25">
      <c r="A20" s="27" t="e">
        <f>#REF!</f>
        <v>#REF!</v>
      </c>
      <c r="B20" s="28">
        <v>18</v>
      </c>
      <c r="C20" s="76">
        <v>16</v>
      </c>
      <c r="D20" s="78">
        <f t="shared" si="0"/>
        <v>26.800048019207679</v>
      </c>
      <c r="E20" s="29">
        <f t="shared" si="1"/>
        <v>116.64103721719172</v>
      </c>
      <c r="F20" s="79">
        <f t="shared" si="2"/>
        <v>192.65439999999998</v>
      </c>
      <c r="G20" s="35"/>
      <c r="H20" s="35"/>
      <c r="I20" s="35"/>
      <c r="K20" s="17" t="s">
        <v>52</v>
      </c>
      <c r="L20" s="17">
        <f>INTERCEPT(C3:C52,B3:B52)</f>
        <v>19.408163265306122</v>
      </c>
    </row>
    <row r="21" spans="1:17" x14ac:dyDescent="0.25">
      <c r="A21" s="27" t="e">
        <f>#REF!</f>
        <v>#REF!</v>
      </c>
      <c r="B21" s="28">
        <v>19</v>
      </c>
      <c r="C21" s="76">
        <v>27</v>
      </c>
      <c r="D21" s="78">
        <f t="shared" si="0"/>
        <v>27.210708283313323</v>
      </c>
      <c r="E21" s="29">
        <f t="shared" si="1"/>
        <v>4.4397980656847746E-2</v>
      </c>
      <c r="F21" s="79">
        <f t="shared" si="2"/>
        <v>8.2943999999999942</v>
      </c>
      <c r="G21" s="35"/>
      <c r="H21" s="35"/>
      <c r="I21" s="35"/>
      <c r="K21" s="17" t="s">
        <v>54</v>
      </c>
      <c r="L21" s="17">
        <f>SLOPE(C3:C52,B3:B52)</f>
        <v>0.41066026410564216</v>
      </c>
    </row>
    <row r="22" spans="1:17" x14ac:dyDescent="0.25">
      <c r="A22" s="27" t="e">
        <f>#REF!</f>
        <v>#REF!</v>
      </c>
      <c r="B22" s="28">
        <v>20</v>
      </c>
      <c r="C22" s="76">
        <v>10</v>
      </c>
      <c r="D22" s="78">
        <f t="shared" si="0"/>
        <v>27.621368547418967</v>
      </c>
      <c r="E22" s="29">
        <f t="shared" si="1"/>
        <v>310.51262948396646</v>
      </c>
      <c r="F22" s="79">
        <f t="shared" si="2"/>
        <v>395.21439999999996</v>
      </c>
      <c r="G22" s="35"/>
      <c r="H22" s="35"/>
      <c r="I22" s="35"/>
      <c r="M22" s="33">
        <f>H2</f>
        <v>15075.296710684273</v>
      </c>
    </row>
    <row r="23" spans="1:17" x14ac:dyDescent="0.25">
      <c r="A23" s="27" t="e">
        <f>#REF!</f>
        <v>#REF!</v>
      </c>
      <c r="B23" s="28">
        <v>21</v>
      </c>
      <c r="C23" s="76">
        <v>27</v>
      </c>
      <c r="D23" s="78">
        <f t="shared" si="0"/>
        <v>28.032028811524608</v>
      </c>
      <c r="E23" s="29">
        <f t="shared" si="1"/>
        <v>1.0650834678168946</v>
      </c>
      <c r="F23" s="79">
        <f t="shared" si="2"/>
        <v>8.2943999999999942</v>
      </c>
      <c r="G23" s="35"/>
      <c r="H23" s="35"/>
      <c r="I23" s="35"/>
    </row>
    <row r="24" spans="1:17" x14ac:dyDescent="0.25">
      <c r="A24" s="27" t="e">
        <f>#REF!</f>
        <v>#REF!</v>
      </c>
      <c r="B24" s="28">
        <v>22</v>
      </c>
      <c r="C24" s="76">
        <v>38</v>
      </c>
      <c r="D24" s="78">
        <f t="shared" si="0"/>
        <v>28.442689075630248</v>
      </c>
      <c r="E24" s="29">
        <f t="shared" si="1"/>
        <v>91.342192105077402</v>
      </c>
      <c r="F24" s="79">
        <f t="shared" si="2"/>
        <v>65.934400000000011</v>
      </c>
      <c r="G24" s="35"/>
      <c r="H24" s="35"/>
      <c r="I24" s="35"/>
    </row>
    <row r="25" spans="1:17" x14ac:dyDescent="0.25">
      <c r="A25" s="27" t="e">
        <f>#REF!</f>
        <v>#REF!</v>
      </c>
      <c r="B25" s="28">
        <v>23</v>
      </c>
      <c r="C25" s="76">
        <v>38</v>
      </c>
      <c r="D25" s="78">
        <f t="shared" si="0"/>
        <v>28.853349339735892</v>
      </c>
      <c r="E25" s="29">
        <f t="shared" si="1"/>
        <v>83.661218300909837</v>
      </c>
      <c r="F25" s="79">
        <f t="shared" si="2"/>
        <v>65.934400000000011</v>
      </c>
      <c r="G25" s="35"/>
      <c r="H25" s="35"/>
      <c r="I25" s="35"/>
    </row>
    <row r="26" spans="1:17" x14ac:dyDescent="0.25">
      <c r="A26" s="27" t="e">
        <f>#REF!</f>
        <v>#REF!</v>
      </c>
      <c r="B26" s="28">
        <v>24</v>
      </c>
      <c r="C26" s="76">
        <v>32</v>
      </c>
      <c r="D26" s="78">
        <f t="shared" si="0"/>
        <v>29.264009603841533</v>
      </c>
      <c r="E26" s="29">
        <f t="shared" si="1"/>
        <v>7.4856434478713654</v>
      </c>
      <c r="F26" s="79">
        <f t="shared" si="2"/>
        <v>4.4944000000000042</v>
      </c>
      <c r="G26" s="35"/>
      <c r="H26" s="35"/>
      <c r="I26" s="35"/>
    </row>
    <row r="27" spans="1:17" x14ac:dyDescent="0.25">
      <c r="A27" s="27" t="e">
        <f>#REF!</f>
        <v>#REF!</v>
      </c>
      <c r="B27" s="28">
        <v>25</v>
      </c>
      <c r="C27" s="76">
        <v>36</v>
      </c>
      <c r="D27" s="78">
        <f t="shared" si="0"/>
        <v>29.674669867947173</v>
      </c>
      <c r="E27" s="29">
        <f t="shared" si="1"/>
        <v>40.009801279455431</v>
      </c>
      <c r="F27" s="79">
        <f t="shared" si="2"/>
        <v>37.454400000000014</v>
      </c>
      <c r="G27" s="35"/>
      <c r="H27" s="35"/>
      <c r="I27" s="35"/>
    </row>
    <row r="28" spans="1:17" x14ac:dyDescent="0.25">
      <c r="A28" s="27" t="e">
        <f>#REF!</f>
        <v>#REF!</v>
      </c>
      <c r="B28" s="28">
        <v>26</v>
      </c>
      <c r="C28" s="76">
        <v>53</v>
      </c>
      <c r="D28" s="78">
        <f t="shared" si="0"/>
        <v>30.085330132052817</v>
      </c>
      <c r="E28" s="29">
        <f t="shared" si="1"/>
        <v>525.08209515700651</v>
      </c>
      <c r="F28" s="79">
        <f t="shared" si="2"/>
        <v>534.53440000000001</v>
      </c>
      <c r="G28" s="35"/>
      <c r="H28" s="35"/>
      <c r="I28" s="35"/>
    </row>
    <row r="29" spans="1:17" x14ac:dyDescent="0.25">
      <c r="A29" s="27" t="e">
        <f>#REF!</f>
        <v>#REF!</v>
      </c>
      <c r="B29" s="28">
        <v>27</v>
      </c>
      <c r="C29" s="76">
        <v>45</v>
      </c>
      <c r="D29" s="78">
        <f t="shared" si="0"/>
        <v>30.495990396158462</v>
      </c>
      <c r="E29" s="29">
        <f t="shared" si="1"/>
        <v>210.36629458832758</v>
      </c>
      <c r="F29" s="79">
        <f t="shared" si="2"/>
        <v>228.61440000000002</v>
      </c>
      <c r="G29" s="35"/>
      <c r="H29" s="35"/>
      <c r="I29" s="35"/>
    </row>
    <row r="30" spans="1:17" x14ac:dyDescent="0.25">
      <c r="A30" s="27" t="e">
        <f>#REF!</f>
        <v>#REF!</v>
      </c>
      <c r="B30" s="28">
        <v>28</v>
      </c>
      <c r="C30" s="76">
        <v>23</v>
      </c>
      <c r="D30" s="78">
        <f t="shared" si="0"/>
        <v>30.906650660264102</v>
      </c>
      <c r="E30" s="29">
        <f t="shared" si="1"/>
        <v>62.515124663454763</v>
      </c>
      <c r="F30" s="79">
        <f t="shared" si="2"/>
        <v>47.334399999999988</v>
      </c>
      <c r="G30" s="35"/>
      <c r="H30" s="35"/>
      <c r="I30" s="35"/>
    </row>
    <row r="31" spans="1:17" x14ac:dyDescent="0.25">
      <c r="A31" s="27" t="e">
        <f>#REF!</f>
        <v>#REF!</v>
      </c>
      <c r="B31" s="28">
        <v>29</v>
      </c>
      <c r="C31" s="76">
        <v>16</v>
      </c>
      <c r="D31" s="78">
        <f t="shared" si="0"/>
        <v>31.317310924369743</v>
      </c>
      <c r="E31" s="29">
        <f t="shared" si="1"/>
        <v>234.62001395381665</v>
      </c>
      <c r="F31" s="79">
        <f t="shared" si="2"/>
        <v>192.65439999999998</v>
      </c>
      <c r="G31" s="35"/>
      <c r="H31" s="35"/>
      <c r="I31" s="35"/>
    </row>
    <row r="32" spans="1:17" x14ac:dyDescent="0.25">
      <c r="A32" s="27" t="e">
        <f>#REF!</f>
        <v>#REF!</v>
      </c>
      <c r="B32" s="28">
        <v>30</v>
      </c>
      <c r="C32" s="76">
        <v>20</v>
      </c>
      <c r="D32" s="78">
        <f t="shared" si="0"/>
        <v>31.727971188475387</v>
      </c>
      <c r="E32" s="29">
        <f t="shared" si="1"/>
        <v>137.54530819770878</v>
      </c>
      <c r="F32" s="79">
        <f t="shared" si="2"/>
        <v>97.614399999999975</v>
      </c>
      <c r="G32" s="35"/>
      <c r="H32" s="35"/>
      <c r="I32" s="35"/>
    </row>
    <row r="33" spans="1:9" x14ac:dyDescent="0.25">
      <c r="A33" s="27" t="e">
        <f>#REF!</f>
        <v>#REF!</v>
      </c>
      <c r="B33" s="28">
        <v>31</v>
      </c>
      <c r="C33" s="76">
        <v>29</v>
      </c>
      <c r="D33" s="78">
        <f t="shared" si="0"/>
        <v>32.138631452581031</v>
      </c>
      <c r="E33" s="29">
        <f t="shared" si="1"/>
        <v>9.8510073951309103</v>
      </c>
      <c r="F33" s="79">
        <f t="shared" si="2"/>
        <v>0.7743999999999982</v>
      </c>
      <c r="G33" s="35"/>
      <c r="H33" s="35"/>
      <c r="I33" s="35"/>
    </row>
    <row r="34" spans="1:9" x14ac:dyDescent="0.25">
      <c r="A34" s="27" t="e">
        <f>#REF!</f>
        <v>#REF!</v>
      </c>
      <c r="B34" s="28">
        <v>32</v>
      </c>
      <c r="C34" s="76">
        <v>78</v>
      </c>
      <c r="D34" s="78">
        <f t="shared" si="0"/>
        <v>32.549291716686668</v>
      </c>
      <c r="E34" s="29">
        <f t="shared" si="1"/>
        <v>2065.7668834548472</v>
      </c>
      <c r="F34" s="79">
        <f t="shared" si="2"/>
        <v>2315.5344000000005</v>
      </c>
      <c r="G34" s="35"/>
      <c r="H34" s="35"/>
      <c r="I34" s="35"/>
    </row>
    <row r="35" spans="1:9" x14ac:dyDescent="0.25">
      <c r="A35" s="27" t="e">
        <f>#REF!</f>
        <v>#REF!</v>
      </c>
      <c r="B35" s="28">
        <v>33</v>
      </c>
      <c r="C35" s="76">
        <v>3</v>
      </c>
      <c r="D35" s="78">
        <f t="shared" si="0"/>
        <v>32.959951980792312</v>
      </c>
      <c r="E35" s="29">
        <f t="shared" ref="E35:E52" si="3">(C35-D35)^2</f>
        <v>897.59872269138111</v>
      </c>
      <c r="F35" s="79">
        <f t="shared" ref="F35:F52" si="4">(C35-$G$2)^2</f>
        <v>722.53439999999989</v>
      </c>
      <c r="G35" s="35"/>
      <c r="H35" s="35"/>
      <c r="I35" s="35"/>
    </row>
    <row r="36" spans="1:9" x14ac:dyDescent="0.25">
      <c r="A36" s="27" t="e">
        <f>#REF!</f>
        <v>#REF!</v>
      </c>
      <c r="B36" s="28">
        <v>34</v>
      </c>
      <c r="C36" s="76">
        <v>31</v>
      </c>
      <c r="D36" s="78">
        <f t="shared" si="0"/>
        <v>33.370612244897956</v>
      </c>
      <c r="E36" s="29">
        <f t="shared" si="3"/>
        <v>5.619802415660125</v>
      </c>
      <c r="F36" s="79">
        <f t="shared" si="4"/>
        <v>1.2544000000000022</v>
      </c>
      <c r="G36" s="35"/>
      <c r="H36" s="35"/>
      <c r="I36" s="35"/>
    </row>
    <row r="37" spans="1:9" x14ac:dyDescent="0.25">
      <c r="A37" s="27" t="e">
        <f>#REF!</f>
        <v>#REF!</v>
      </c>
      <c r="B37" s="28">
        <v>35</v>
      </c>
      <c r="C37" s="76">
        <v>12</v>
      </c>
      <c r="D37" s="78">
        <f t="shared" si="0"/>
        <v>33.7812725090036</v>
      </c>
      <c r="E37" s="29">
        <f t="shared" si="3"/>
        <v>474.42383211147597</v>
      </c>
      <c r="F37" s="79">
        <f t="shared" si="4"/>
        <v>319.69439999999997</v>
      </c>
      <c r="G37" s="35"/>
      <c r="H37" s="35"/>
      <c r="I37" s="35"/>
    </row>
    <row r="38" spans="1:9" x14ac:dyDescent="0.25">
      <c r="A38" s="27" t="e">
        <f>#REF!</f>
        <v>#REF!</v>
      </c>
      <c r="B38" s="28">
        <v>36</v>
      </c>
      <c r="C38" s="76">
        <v>55</v>
      </c>
      <c r="D38" s="78">
        <f t="shared" si="0"/>
        <v>34.191932773109244</v>
      </c>
      <c r="E38" s="29">
        <f t="shared" si="3"/>
        <v>432.97566171880516</v>
      </c>
      <c r="F38" s="79">
        <f t="shared" si="4"/>
        <v>631.01440000000002</v>
      </c>
      <c r="G38" s="35"/>
      <c r="H38" s="35"/>
      <c r="I38" s="35"/>
    </row>
    <row r="39" spans="1:9" x14ac:dyDescent="0.25">
      <c r="A39" s="27" t="e">
        <f>#REF!</f>
        <v>#REF!</v>
      </c>
      <c r="B39" s="28">
        <v>37</v>
      </c>
      <c r="C39" s="76">
        <v>20</v>
      </c>
      <c r="D39" s="78">
        <f t="shared" si="0"/>
        <v>34.602593037214881</v>
      </c>
      <c r="E39" s="29">
        <f t="shared" si="3"/>
        <v>213.2357234105165</v>
      </c>
      <c r="F39" s="79">
        <f t="shared" si="4"/>
        <v>97.614399999999975</v>
      </c>
      <c r="G39" s="35"/>
      <c r="H39" s="35"/>
      <c r="I39" s="35"/>
    </row>
    <row r="40" spans="1:9" x14ac:dyDescent="0.25">
      <c r="A40" s="27" t="e">
        <f>#REF!</f>
        <v>#REF!</v>
      </c>
      <c r="B40" s="28">
        <v>38</v>
      </c>
      <c r="C40" s="76">
        <v>6</v>
      </c>
      <c r="D40" s="78">
        <f t="shared" si="0"/>
        <v>35.013253301320525</v>
      </c>
      <c r="E40" s="29">
        <f t="shared" si="3"/>
        <v>841.76886712658631</v>
      </c>
      <c r="F40" s="79">
        <f t="shared" si="4"/>
        <v>570.25439999999992</v>
      </c>
      <c r="G40" s="35"/>
      <c r="H40" s="35"/>
      <c r="I40" s="35"/>
    </row>
    <row r="41" spans="1:9" x14ac:dyDescent="0.25">
      <c r="A41" s="27" t="e">
        <f>#REF!</f>
        <v>#REF!</v>
      </c>
      <c r="B41" s="28">
        <v>39</v>
      </c>
      <c r="C41" s="76">
        <v>59</v>
      </c>
      <c r="D41" s="78">
        <f t="shared" si="0"/>
        <v>35.423913565426162</v>
      </c>
      <c r="E41" s="29">
        <f t="shared" si="3"/>
        <v>555.83185157049661</v>
      </c>
      <c r="F41" s="79">
        <f t="shared" si="4"/>
        <v>847.97440000000006</v>
      </c>
      <c r="G41" s="35"/>
      <c r="H41" s="35"/>
      <c r="I41" s="35"/>
    </row>
    <row r="42" spans="1:9" x14ac:dyDescent="0.25">
      <c r="A42" s="27" t="e">
        <f>#REF!</f>
        <v>#REF!</v>
      </c>
      <c r="B42" s="28">
        <v>40</v>
      </c>
      <c r="C42" s="76">
        <v>51</v>
      </c>
      <c r="D42" s="78">
        <f t="shared" si="0"/>
        <v>35.834573829531806</v>
      </c>
      <c r="E42" s="29">
        <f t="shared" si="3"/>
        <v>229.99015093192159</v>
      </c>
      <c r="F42" s="79">
        <f t="shared" si="4"/>
        <v>446.05440000000004</v>
      </c>
      <c r="G42" s="35"/>
      <c r="H42" s="35"/>
      <c r="I42" s="35"/>
    </row>
    <row r="43" spans="1:9" x14ac:dyDescent="0.25">
      <c r="A43" s="27" t="e">
        <f>#REF!</f>
        <v>#REF!</v>
      </c>
      <c r="B43" s="28">
        <v>41</v>
      </c>
      <c r="C43" s="76">
        <v>2</v>
      </c>
      <c r="D43" s="78">
        <f t="shared" si="0"/>
        <v>36.24523409363745</v>
      </c>
      <c r="E43" s="29">
        <f t="shared" si="3"/>
        <v>1172.7360581280288</v>
      </c>
      <c r="F43" s="79">
        <f t="shared" si="4"/>
        <v>777.2944</v>
      </c>
      <c r="G43" s="35"/>
      <c r="H43" s="35"/>
      <c r="I43" s="35"/>
    </row>
    <row r="44" spans="1:9" x14ac:dyDescent="0.25">
      <c r="A44" s="27" t="e">
        <f>#REF!</f>
        <v>#REF!</v>
      </c>
      <c r="B44" s="28">
        <v>42</v>
      </c>
      <c r="C44" s="76">
        <v>67</v>
      </c>
      <c r="D44" s="78">
        <f t="shared" si="0"/>
        <v>36.655894357743094</v>
      </c>
      <c r="E44" s="29">
        <f t="shared" si="3"/>
        <v>920.76474722844739</v>
      </c>
      <c r="F44" s="79">
        <f t="shared" si="4"/>
        <v>1377.8944000000004</v>
      </c>
      <c r="G44" s="35"/>
      <c r="H44" s="35"/>
      <c r="I44" s="35"/>
    </row>
    <row r="45" spans="1:9" x14ac:dyDescent="0.25">
      <c r="A45" s="27" t="e">
        <f>#REF!</f>
        <v>#REF!</v>
      </c>
      <c r="B45" s="28">
        <v>43</v>
      </c>
      <c r="C45" s="76">
        <v>65</v>
      </c>
      <c r="D45" s="78">
        <f t="shared" si="0"/>
        <v>37.066554621848738</v>
      </c>
      <c r="E45" s="29">
        <f t="shared" si="3"/>
        <v>780.27737069416014</v>
      </c>
      <c r="F45" s="79">
        <f t="shared" si="4"/>
        <v>1233.4144000000003</v>
      </c>
      <c r="G45" s="35"/>
      <c r="H45" s="35"/>
      <c r="I45" s="35"/>
    </row>
    <row r="46" spans="1:9" x14ac:dyDescent="0.25">
      <c r="A46" s="27" t="e">
        <f>#REF!</f>
        <v>#REF!</v>
      </c>
      <c r="B46" s="28">
        <v>44</v>
      </c>
      <c r="C46" s="76">
        <v>43</v>
      </c>
      <c r="D46" s="78">
        <f t="shared" si="0"/>
        <v>37.477214885954382</v>
      </c>
      <c r="E46" s="29">
        <f t="shared" si="3"/>
        <v>30.501155415923872</v>
      </c>
      <c r="F46" s="79">
        <f t="shared" si="4"/>
        <v>172.13440000000003</v>
      </c>
      <c r="G46" s="35"/>
      <c r="H46" s="35"/>
      <c r="I46" s="35"/>
    </row>
    <row r="47" spans="1:9" x14ac:dyDescent="0.25">
      <c r="A47" s="27" t="e">
        <f>#REF!</f>
        <v>#REF!</v>
      </c>
      <c r="B47" s="28">
        <v>45</v>
      </c>
      <c r="C47" s="76">
        <v>27</v>
      </c>
      <c r="D47" s="78">
        <f t="shared" si="0"/>
        <v>37.887875150060019</v>
      </c>
      <c r="E47" s="29">
        <f t="shared" si="3"/>
        <v>118.54582528329448</v>
      </c>
      <c r="F47" s="79">
        <f t="shared" si="4"/>
        <v>8.2943999999999942</v>
      </c>
      <c r="G47" s="35"/>
      <c r="H47" s="35"/>
      <c r="I47" s="35"/>
    </row>
    <row r="48" spans="1:9" x14ac:dyDescent="0.25">
      <c r="A48" s="27" t="e">
        <f>#REF!</f>
        <v>#REF!</v>
      </c>
      <c r="B48" s="28">
        <v>46</v>
      </c>
      <c r="C48" s="76">
        <v>31</v>
      </c>
      <c r="D48" s="78">
        <f t="shared" si="0"/>
        <v>38.298535414165663</v>
      </c>
      <c r="E48" s="29">
        <f t="shared" si="3"/>
        <v>53.268619191830346</v>
      </c>
      <c r="F48" s="79">
        <f t="shared" si="4"/>
        <v>1.2544000000000022</v>
      </c>
      <c r="G48" s="35"/>
      <c r="H48" s="35"/>
      <c r="I48" s="35"/>
    </row>
    <row r="49" spans="1:10" x14ac:dyDescent="0.25">
      <c r="A49" s="27" t="e">
        <f>#REF!</f>
        <v>#REF!</v>
      </c>
      <c r="B49" s="28">
        <v>47</v>
      </c>
      <c r="C49" s="76">
        <v>43</v>
      </c>
      <c r="D49" s="78">
        <f t="shared" si="0"/>
        <v>38.7091956782713</v>
      </c>
      <c r="E49" s="29">
        <f t="shared" si="3"/>
        <v>18.41100172736569</v>
      </c>
      <c r="F49" s="79">
        <f t="shared" si="4"/>
        <v>172.13440000000003</v>
      </c>
      <c r="G49" s="35"/>
      <c r="H49" s="35"/>
      <c r="I49" s="35"/>
    </row>
    <row r="50" spans="1:10" x14ac:dyDescent="0.25">
      <c r="A50" s="27" t="e">
        <f>#REF!</f>
        <v>#REF!</v>
      </c>
      <c r="B50" s="28">
        <v>48</v>
      </c>
      <c r="C50" s="76">
        <v>15</v>
      </c>
      <c r="D50" s="78">
        <f t="shared" si="0"/>
        <v>39.119855942376944</v>
      </c>
      <c r="E50" s="29">
        <f t="shared" si="3"/>
        <v>581.76745068101638</v>
      </c>
      <c r="F50" s="79">
        <f t="shared" si="4"/>
        <v>221.41439999999997</v>
      </c>
      <c r="G50" s="35"/>
      <c r="H50" s="35"/>
      <c r="I50" s="35"/>
    </row>
    <row r="51" spans="1:10" x14ac:dyDescent="0.25">
      <c r="A51" s="27" t="e">
        <f>#REF!</f>
        <v>#REF!</v>
      </c>
      <c r="B51" s="28">
        <v>49</v>
      </c>
      <c r="C51" s="76">
        <v>37</v>
      </c>
      <c r="D51" s="78">
        <f t="shared" si="0"/>
        <v>39.530516206482588</v>
      </c>
      <c r="E51" s="29">
        <f t="shared" si="3"/>
        <v>6.4035122712710271</v>
      </c>
      <c r="F51" s="79">
        <f t="shared" si="4"/>
        <v>50.694400000000016</v>
      </c>
      <c r="G51" s="35"/>
      <c r="H51" s="35"/>
      <c r="I51" s="35"/>
    </row>
    <row r="52" spans="1:10" ht="15.75" thickBot="1" x14ac:dyDescent="0.3">
      <c r="A52" s="30" t="e">
        <f>#REF!</f>
        <v>#REF!</v>
      </c>
      <c r="B52" s="31">
        <v>50</v>
      </c>
      <c r="C52" s="77">
        <v>36</v>
      </c>
      <c r="D52" s="78">
        <f t="shared" si="0"/>
        <v>39.941176470588232</v>
      </c>
      <c r="E52" s="32">
        <f t="shared" si="3"/>
        <v>15.532871972318313</v>
      </c>
      <c r="F52" s="80">
        <f t="shared" si="4"/>
        <v>37.454400000000014</v>
      </c>
      <c r="G52" s="35"/>
      <c r="H52" s="35"/>
      <c r="I52" s="35"/>
    </row>
    <row r="53" spans="1:10" ht="15.75" customHeight="1" x14ac:dyDescent="0.25">
      <c r="B53" s="12">
        <v>51</v>
      </c>
      <c r="G53" s="36"/>
      <c r="H53" s="36"/>
      <c r="I53" s="36"/>
      <c r="J53" s="34">
        <f>1-H2/I2</f>
        <v>0.10432856498826781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8"/>
  <sheetViews>
    <sheetView zoomScale="98" zoomScaleNormal="98" workbookViewId="0">
      <selection activeCell="P69" sqref="P69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24" x14ac:dyDescent="0.2">
      <c r="A1" s="2" t="str">
        <f>[2]ArdiData!A2</f>
        <v>Per.</v>
      </c>
      <c r="B1" s="49" t="s">
        <v>63</v>
      </c>
      <c r="C1" s="6" t="s">
        <v>21</v>
      </c>
      <c r="D1" s="48" t="s">
        <v>69</v>
      </c>
      <c r="E1" s="54" t="s">
        <v>68</v>
      </c>
      <c r="F1" s="54" t="s">
        <v>67</v>
      </c>
      <c r="G1" s="46" t="s">
        <v>3</v>
      </c>
      <c r="H1" s="46" t="s">
        <v>2</v>
      </c>
      <c r="I1" s="47" t="s">
        <v>1</v>
      </c>
      <c r="J1" s="47" t="s">
        <v>66</v>
      </c>
      <c r="K1" s="46" t="s">
        <v>62</v>
      </c>
      <c r="L1" s="46" t="s">
        <v>61</v>
      </c>
      <c r="M1" s="52" t="s">
        <v>65</v>
      </c>
      <c r="N1" s="45">
        <f>0.2</f>
        <v>0.2</v>
      </c>
      <c r="O1" s="3" t="str">
        <f>" F(next) ~ N ( "&amp;ROUND(F78,0)&amp;", "&amp;ROUND(1.25*I77,0)&amp;")"</f>
        <v xml:space="preserve"> F(next) ~ N ( 11080, 664)</v>
      </c>
      <c r="R1" s="44"/>
    </row>
    <row r="2" spans="1:24" x14ac:dyDescent="0.2">
      <c r="A2" s="2">
        <v>0</v>
      </c>
      <c r="B2" s="53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6"/>
      <c r="H2" s="46"/>
      <c r="I2" s="47"/>
      <c r="J2" s="47"/>
      <c r="K2" s="46"/>
      <c r="L2" s="46"/>
      <c r="M2" s="52" t="s">
        <v>64</v>
      </c>
      <c r="N2" s="45">
        <v>0.6</v>
      </c>
      <c r="R2" s="44"/>
    </row>
    <row r="3" spans="1:24" x14ac:dyDescent="0.2">
      <c r="A3" s="2">
        <f>[2]ArdiData!A3</f>
        <v>1</v>
      </c>
      <c r="B3" s="43" t="e">
        <f>#REF!</f>
        <v>#REF!</v>
      </c>
      <c r="C3" s="42">
        <v>1113.3499253558266</v>
      </c>
      <c r="D3" s="3">
        <f t="shared" ref="D3:D34" si="0">$N$1*C3+(1-$N$1)*F3</f>
        <v>1080.7567513593549</v>
      </c>
      <c r="E3" s="42">
        <f t="shared" ref="E3:E34" si="1">$N$2*(D3-D2)+(1-$N$2)*E2</f>
        <v>106.37733972243511</v>
      </c>
      <c r="F3" s="42">
        <f t="shared" ref="F3:F34" si="2">D2+E2</f>
        <v>1072.6084578602367</v>
      </c>
      <c r="G3" s="41">
        <f t="shared" ref="G3:G34" si="3">C3-F3</f>
        <v>40.741467495589859</v>
      </c>
      <c r="H3" s="41">
        <f t="shared" ref="H3:H34" si="4">ABS(G3)</f>
        <v>40.741467495589859</v>
      </c>
      <c r="I3" s="39">
        <f>SUM(H$3:H3)/COUNT(H$3:H3)</f>
        <v>40.741467495589859</v>
      </c>
      <c r="J3" s="39">
        <f>SUM(G$3:G3)/I3</f>
        <v>1</v>
      </c>
      <c r="K3" s="40">
        <f t="shared" ref="K3:K34" si="5">(G3-$G$78)^2</f>
        <v>30.869763613761691</v>
      </c>
      <c r="L3" s="39" t="e">
        <f>SQRT(SUM(K$3:K3)/(COUNT(K$3:K3)-1))</f>
        <v>#DIV/0!</v>
      </c>
    </row>
    <row r="4" spans="1:24" x14ac:dyDescent="0.2">
      <c r="A4" s="2">
        <f>[2]ArdiData!A4</f>
        <v>2</v>
      </c>
      <c r="B4" s="43" t="e">
        <f>#REF!</f>
        <v>#REF!</v>
      </c>
      <c r="C4" s="42">
        <v>1222.4509615075469</v>
      </c>
      <c r="D4" s="3">
        <f t="shared" si="0"/>
        <v>1194.1974651669416</v>
      </c>
      <c r="E4" s="42">
        <f t="shared" si="1"/>
        <v>110.61536417352605</v>
      </c>
      <c r="F4" s="42">
        <f t="shared" si="2"/>
        <v>1187.1340910817901</v>
      </c>
      <c r="G4" s="41">
        <f t="shared" si="3"/>
        <v>35.316870425756861</v>
      </c>
      <c r="H4" s="41">
        <f t="shared" si="4"/>
        <v>35.316870425756861</v>
      </c>
      <c r="I4" s="39">
        <f>SUM(H$3:H4)/COUNT(H$3:H4)</f>
        <v>38.02916896067336</v>
      </c>
      <c r="J4" s="39">
        <f>SUM(G$3:G4)/I4</f>
        <v>2</v>
      </c>
      <c r="K4" s="40">
        <f t="shared" si="5"/>
        <v>1.7281576635303535E-2</v>
      </c>
      <c r="L4" s="39">
        <f>SQRT(SUM(K$3:K4)/(COUNT(K$3:K4)-1))</f>
        <v>5.5576114645049621</v>
      </c>
    </row>
    <row r="5" spans="1:24" x14ac:dyDescent="0.2">
      <c r="A5" s="2">
        <f>[2]ArdiData!A5</f>
        <v>3</v>
      </c>
      <c r="B5" s="43" t="e">
        <f>#REF!</f>
        <v>#REF!</v>
      </c>
      <c r="C5" s="42">
        <v>1815.9308993190284</v>
      </c>
      <c r="D5" s="3">
        <f t="shared" si="0"/>
        <v>1407.0364433361801</v>
      </c>
      <c r="E5" s="42">
        <f t="shared" si="1"/>
        <v>171.94953257095355</v>
      </c>
      <c r="F5" s="42">
        <f t="shared" si="2"/>
        <v>1304.8128293404677</v>
      </c>
      <c r="G5" s="41">
        <f t="shared" si="3"/>
        <v>511.1180699785607</v>
      </c>
      <c r="H5" s="41">
        <f t="shared" si="4"/>
        <v>511.1180699785607</v>
      </c>
      <c r="I5" s="39">
        <f>SUM(H$3:H5)/COUNT(H$3:H5)</f>
        <v>195.72546929996915</v>
      </c>
      <c r="J5" s="39">
        <f>SUM(G$3:G5)/I5</f>
        <v>3</v>
      </c>
      <c r="K5" s="40">
        <f t="shared" si="5"/>
        <v>226511.89586797569</v>
      </c>
      <c r="L5" s="39">
        <f>SQRT(SUM(K$3:K5)/(COUNT(K$3:K5)-1))</f>
        <v>336.55815464282404</v>
      </c>
      <c r="M5" s="44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">
      <c r="A6" s="2">
        <f>[2]ArdiData!A6</f>
        <v>4</v>
      </c>
      <c r="B6" s="43" t="e">
        <f>#REF!</f>
        <v>#REF!</v>
      </c>
      <c r="C6" s="42">
        <v>1877.6018297269898</v>
      </c>
      <c r="D6" s="3">
        <f t="shared" si="0"/>
        <v>1638.7091466711051</v>
      </c>
      <c r="E6" s="42">
        <f t="shared" si="1"/>
        <v>207.78343502933643</v>
      </c>
      <c r="F6" s="42">
        <f t="shared" si="2"/>
        <v>1578.9859759071337</v>
      </c>
      <c r="G6" s="41">
        <f t="shared" si="3"/>
        <v>298.61585381985606</v>
      </c>
      <c r="H6" s="41">
        <f t="shared" si="4"/>
        <v>298.61585381985606</v>
      </c>
      <c r="I6" s="39">
        <f>SUM(H$3:H6)/COUNT(H$3:H6)</f>
        <v>221.44806542994087</v>
      </c>
      <c r="J6" s="39">
        <f>SUM(G$3:G6)/I6</f>
        <v>4</v>
      </c>
      <c r="K6" s="40">
        <f t="shared" si="5"/>
        <v>69395.598196279912</v>
      </c>
      <c r="L6" s="39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">
      <c r="A7" s="2">
        <f>[2]ArdiData!A7</f>
        <v>5</v>
      </c>
      <c r="B7" s="43" t="e">
        <f>#REF!</f>
        <v>#REF!</v>
      </c>
      <c r="C7" s="42">
        <v>1437.7413264412648</v>
      </c>
      <c r="D7" s="3">
        <f t="shared" si="0"/>
        <v>1764.7423306486062</v>
      </c>
      <c r="E7" s="42">
        <f t="shared" si="1"/>
        <v>158.73328439823518</v>
      </c>
      <c r="F7" s="42">
        <f t="shared" si="2"/>
        <v>1846.4925817004416</v>
      </c>
      <c r="G7" s="41">
        <f t="shared" si="3"/>
        <v>-408.75125525917679</v>
      </c>
      <c r="H7" s="41">
        <f t="shared" si="4"/>
        <v>408.75125525917679</v>
      </c>
      <c r="I7" s="39">
        <f>SUM(H$3:H7)/COUNT(H$3:H7)</f>
        <v>258.90870339578805</v>
      </c>
      <c r="J7" s="39">
        <f>SUM(G$3:G7)/I7</f>
        <v>1.8425066450212937</v>
      </c>
      <c r="K7" s="40">
        <f t="shared" si="5"/>
        <v>197079.76366276905</v>
      </c>
      <c r="L7" s="39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">
      <c r="A8" s="2">
        <f>[2]ArdiData!A8</f>
        <v>6</v>
      </c>
      <c r="B8" s="43" t="e">
        <f>#REF!</f>
        <v>#REF!</v>
      </c>
      <c r="C8" s="42">
        <v>1885.961866319813</v>
      </c>
      <c r="D8" s="3">
        <f t="shared" si="0"/>
        <v>1915.9728653014358</v>
      </c>
      <c r="E8" s="42">
        <f t="shared" si="1"/>
        <v>154.23163455099186</v>
      </c>
      <c r="F8" s="42">
        <f t="shared" si="2"/>
        <v>1923.4756150468413</v>
      </c>
      <c r="G8" s="41">
        <f t="shared" si="3"/>
        <v>-37.513748727028315</v>
      </c>
      <c r="H8" s="41">
        <f t="shared" si="4"/>
        <v>37.513748727028315</v>
      </c>
      <c r="I8" s="39">
        <f>SUM(H$3:H8)/COUNT(H$3:H8)</f>
        <v>222.00954428432809</v>
      </c>
      <c r="J8" s="39">
        <f>SUM(G$3:G8)/I8</f>
        <v>1.9797673976153696</v>
      </c>
      <c r="K8" s="40">
        <f t="shared" si="5"/>
        <v>5285.1678272197551</v>
      </c>
      <c r="L8" s="39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">
      <c r="A9" s="2">
        <f>[2]ArdiData!A9</f>
        <v>7</v>
      </c>
      <c r="B9" s="43" t="e">
        <f>#REF!</f>
        <v>#REF!</v>
      </c>
      <c r="C9" s="42">
        <v>1911.083953307721</v>
      </c>
      <c r="D9" s="3">
        <f t="shared" si="0"/>
        <v>2038.3803905434861</v>
      </c>
      <c r="E9" s="42">
        <f t="shared" si="1"/>
        <v>135.1371689656269</v>
      </c>
      <c r="F9" s="42">
        <f t="shared" si="2"/>
        <v>2070.2044998524275</v>
      </c>
      <c r="G9" s="41">
        <f t="shared" si="3"/>
        <v>-159.12054654470649</v>
      </c>
      <c r="H9" s="41">
        <f t="shared" si="4"/>
        <v>159.12054654470649</v>
      </c>
      <c r="I9" s="39">
        <f>SUM(H$3:H9)/COUNT(H$3:H9)</f>
        <v>213.02540175009645</v>
      </c>
      <c r="J9" s="39">
        <f>SUM(G$3:G9)/I9</f>
        <v>1.3163064539965124</v>
      </c>
      <c r="K9" s="40">
        <f t="shared" si="5"/>
        <v>37754.805143255406</v>
      </c>
      <c r="L9" s="39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">
      <c r="A10" s="2">
        <f>[2]ArdiData!A10</f>
        <v>8</v>
      </c>
      <c r="B10" s="43" t="e">
        <f>#REF!</f>
        <v>#REF!</v>
      </c>
      <c r="C10" s="42">
        <v>1960.2999710554132</v>
      </c>
      <c r="D10" s="3">
        <f t="shared" si="0"/>
        <v>2130.8740418183734</v>
      </c>
      <c r="E10" s="42">
        <f t="shared" si="1"/>
        <v>109.55105835118312</v>
      </c>
      <c r="F10" s="42">
        <f t="shared" si="2"/>
        <v>2173.5175595091132</v>
      </c>
      <c r="G10" s="41">
        <f t="shared" si="3"/>
        <v>-213.21758845370005</v>
      </c>
      <c r="H10" s="41">
        <f t="shared" si="4"/>
        <v>213.21758845370005</v>
      </c>
      <c r="I10" s="39">
        <f>SUM(H$3:H10)/COUNT(H$3:H10)</f>
        <v>213.04942508804689</v>
      </c>
      <c r="J10" s="39">
        <f>SUM(G$3:G10)/I10</f>
        <v>0.31536871177842701</v>
      </c>
      <c r="K10" s="40">
        <f t="shared" si="5"/>
        <v>61704.050145124907</v>
      </c>
      <c r="L10" s="39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">
      <c r="A11" s="2">
        <f>[2]ArdiData!A11</f>
        <v>9</v>
      </c>
      <c r="B11" s="43" t="e">
        <f>#REF!</f>
        <v>#REF!</v>
      </c>
      <c r="C11" s="42">
        <v>2414.1948755502854</v>
      </c>
      <c r="D11" s="3">
        <f t="shared" si="0"/>
        <v>2275.1790552457023</v>
      </c>
      <c r="E11" s="42">
        <f t="shared" si="1"/>
        <v>130.40343139687062</v>
      </c>
      <c r="F11" s="42">
        <f t="shared" si="2"/>
        <v>2240.4251001695566</v>
      </c>
      <c r="G11" s="41">
        <f t="shared" si="3"/>
        <v>173.76977538072879</v>
      </c>
      <c r="H11" s="41">
        <f t="shared" si="4"/>
        <v>173.76977538072879</v>
      </c>
      <c r="I11" s="39">
        <f>SUM(H$3:H11)/COUNT(H$3:H11)</f>
        <v>208.68501956501154</v>
      </c>
      <c r="J11" s="39">
        <f>SUM(G$3:G11)/I11</f>
        <v>1.154653547332442</v>
      </c>
      <c r="K11" s="40">
        <f t="shared" si="5"/>
        <v>19205.62604660961</v>
      </c>
      <c r="L11" s="39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">
      <c r="A12" s="2">
        <f>[2]ArdiData!A12</f>
        <v>10</v>
      </c>
      <c r="B12" s="43" t="e">
        <f>#REF!</f>
        <v>#REF!</v>
      </c>
      <c r="C12" s="42">
        <v>2386.0381627363281</v>
      </c>
      <c r="D12" s="3">
        <f t="shared" si="0"/>
        <v>2401.6736218613241</v>
      </c>
      <c r="E12" s="42">
        <f t="shared" si="1"/>
        <v>128.05811252812134</v>
      </c>
      <c r="F12" s="42">
        <f t="shared" si="2"/>
        <v>2405.5824866425728</v>
      </c>
      <c r="G12" s="41">
        <f t="shared" si="3"/>
        <v>-19.544323906244699</v>
      </c>
      <c r="H12" s="41">
        <f t="shared" si="4"/>
        <v>19.544323906244699</v>
      </c>
      <c r="I12" s="39">
        <f>SUM(H$3:H12)/COUNT(H$3:H12)</f>
        <v>189.77094999913487</v>
      </c>
      <c r="J12" s="39">
        <f>SUM(G$3:G12)/I12</f>
        <v>1.1667464077649679</v>
      </c>
      <c r="K12" s="40">
        <f t="shared" si="5"/>
        <v>2995.3438845668798</v>
      </c>
      <c r="L12" s="39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">
      <c r="A13" s="2">
        <f>[2]ArdiData!A13</f>
        <v>11</v>
      </c>
      <c r="B13" s="43" t="e">
        <f>#REF!</f>
        <v>#REF!</v>
      </c>
      <c r="C13" s="42">
        <v>2360.0321962860157</v>
      </c>
      <c r="D13" s="3">
        <f t="shared" si="0"/>
        <v>2495.7918267687596</v>
      </c>
      <c r="E13" s="42">
        <f t="shared" si="1"/>
        <v>107.69416795570982</v>
      </c>
      <c r="F13" s="42">
        <f t="shared" si="2"/>
        <v>2529.7317343894456</v>
      </c>
      <c r="G13" s="41">
        <f t="shared" si="3"/>
        <v>-169.69953810342986</v>
      </c>
      <c r="H13" s="41">
        <f t="shared" si="4"/>
        <v>169.69953810342986</v>
      </c>
      <c r="I13" s="39">
        <f>SUM(H$3:H13)/COUNT(H$3:H13)</f>
        <v>187.94627619043439</v>
      </c>
      <c r="J13" s="39">
        <f>SUM(G$3:G13)/I13</f>
        <v>0.27515860997323727</v>
      </c>
      <c r="K13" s="40">
        <f t="shared" si="5"/>
        <v>41977.842375325854</v>
      </c>
      <c r="L13" s="39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">
      <c r="A14" s="2">
        <f>[2]ArdiData!A14</f>
        <v>12</v>
      </c>
      <c r="B14" s="43" t="e">
        <f>#REF!</f>
        <v>#REF!</v>
      </c>
      <c r="C14" s="42">
        <v>2374.8996096579372</v>
      </c>
      <c r="D14" s="3">
        <f t="shared" si="0"/>
        <v>2557.7687177111629</v>
      </c>
      <c r="E14" s="42">
        <f t="shared" si="1"/>
        <v>80.263801747725921</v>
      </c>
      <c r="F14" s="42">
        <f t="shared" si="2"/>
        <v>2603.4859947244695</v>
      </c>
      <c r="G14" s="41">
        <f t="shared" si="3"/>
        <v>-228.58638506653233</v>
      </c>
      <c r="H14" s="41">
        <f t="shared" si="4"/>
        <v>228.58638506653233</v>
      </c>
      <c r="I14" s="39">
        <f>SUM(H$3:H14)/COUNT(H$3:H14)</f>
        <v>191.3329519301092</v>
      </c>
      <c r="J14" s="39">
        <f>SUM(G$3:G14)/I14</f>
        <v>-0.92441655854938398</v>
      </c>
      <c r="K14" s="40">
        <f t="shared" si="5"/>
        <v>69575.560408160207</v>
      </c>
      <c r="L14" s="39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">
      <c r="A15" s="2">
        <f>[2]ArdiData!A15</f>
        <v>13</v>
      </c>
      <c r="B15" s="43" t="e">
        <f>#REF!</f>
        <v>#REF!</v>
      </c>
      <c r="C15" s="42">
        <v>2837.1005129516102</v>
      </c>
      <c r="D15" s="3">
        <f t="shared" si="0"/>
        <v>2677.8461181574335</v>
      </c>
      <c r="E15" s="42">
        <f t="shared" si="1"/>
        <v>104.1519609668527</v>
      </c>
      <c r="F15" s="42">
        <f t="shared" si="2"/>
        <v>2638.0325194588891</v>
      </c>
      <c r="G15" s="41">
        <f t="shared" si="3"/>
        <v>199.06799349272114</v>
      </c>
      <c r="H15" s="41">
        <f t="shared" si="4"/>
        <v>199.06799349272114</v>
      </c>
      <c r="I15" s="39">
        <f>SUM(H$3:H15)/COUNT(H$3:H15)</f>
        <v>191.92795512723322</v>
      </c>
      <c r="J15" s="39">
        <f>SUM(G$3:G15)/I15</f>
        <v>0.11565091973016774</v>
      </c>
      <c r="K15" s="40">
        <f t="shared" si="5"/>
        <v>26857.500839515669</v>
      </c>
      <c r="L15" s="39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">
      <c r="A16" s="2">
        <f>[2]ArdiData!A16</f>
        <v>14</v>
      </c>
      <c r="B16" s="43" t="e">
        <f>#REF!</f>
        <v>#REF!</v>
      </c>
      <c r="C16" s="42">
        <v>2930.8445360245173</v>
      </c>
      <c r="D16" s="3">
        <f t="shared" si="0"/>
        <v>2811.7673705043326</v>
      </c>
      <c r="E16" s="42">
        <f t="shared" si="1"/>
        <v>122.01353579488055</v>
      </c>
      <c r="F16" s="42">
        <f t="shared" si="2"/>
        <v>2781.9980791242861</v>
      </c>
      <c r="G16" s="41">
        <f t="shared" si="3"/>
        <v>148.84645690023126</v>
      </c>
      <c r="H16" s="41">
        <f t="shared" si="4"/>
        <v>148.84645690023126</v>
      </c>
      <c r="I16" s="39">
        <f>SUM(H$3:H16)/COUNT(H$3:H16)</f>
        <v>188.85070525387593</v>
      </c>
      <c r="J16" s="39">
        <f>SUM(G$3:G16)/I16</f>
        <v>0.90570538882917773</v>
      </c>
      <c r="K16" s="40">
        <f t="shared" si="5"/>
        <v>12918.833351688992</v>
      </c>
      <c r="L16" s="39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">
        <f>[2]ArdiData!A17</f>
        <v>15</v>
      </c>
      <c r="B17" s="43" t="e">
        <f>#REF!</f>
        <v>#REF!</v>
      </c>
      <c r="C17" s="42">
        <v>2610.1441965075874</v>
      </c>
      <c r="D17" s="3">
        <f t="shared" si="0"/>
        <v>2869.0535643408884</v>
      </c>
      <c r="E17" s="42">
        <f t="shared" si="1"/>
        <v>83.177130619885745</v>
      </c>
      <c r="F17" s="42">
        <f t="shared" si="2"/>
        <v>2933.7809062992133</v>
      </c>
      <c r="G17" s="41">
        <f t="shared" si="3"/>
        <v>-323.63670979162589</v>
      </c>
      <c r="H17" s="41">
        <f t="shared" si="4"/>
        <v>323.63670979162589</v>
      </c>
      <c r="I17" s="39">
        <f>SUM(H$3:H17)/COUNT(H$3:H17)</f>
        <v>197.83643888972591</v>
      </c>
      <c r="J17" s="39">
        <f>SUM(G$3:G17)/I17</f>
        <v>-0.77131194442928419</v>
      </c>
      <c r="K17" s="40">
        <f t="shared" si="5"/>
        <v>128753.31438027737</v>
      </c>
      <c r="L17" s="39">
        <f>SQRT(SUM(K$3:K17)/(COUNT(K$3:K17)-1))</f>
        <v>253.55278249789669</v>
      </c>
    </row>
    <row r="18" spans="1:12" x14ac:dyDescent="0.2">
      <c r="A18" s="2">
        <f>[2]ArdiData!A18</f>
        <v>16</v>
      </c>
      <c r="B18" s="43" t="e">
        <f>#REF!</f>
        <v>#REF!</v>
      </c>
      <c r="C18" s="42">
        <v>3135.2317628620631</v>
      </c>
      <c r="D18" s="3">
        <f t="shared" si="0"/>
        <v>2988.8309085410319</v>
      </c>
      <c r="E18" s="42">
        <f t="shared" si="1"/>
        <v>105.1372587680404</v>
      </c>
      <c r="F18" s="42">
        <f t="shared" si="2"/>
        <v>2952.2306949607741</v>
      </c>
      <c r="G18" s="41">
        <f t="shared" si="3"/>
        <v>183.00106790128893</v>
      </c>
      <c r="H18" s="41">
        <f t="shared" si="4"/>
        <v>183.00106790128893</v>
      </c>
      <c r="I18" s="39">
        <f>SUM(H$3:H18)/COUNT(H$3:H18)</f>
        <v>196.90922820294861</v>
      </c>
      <c r="J18" s="39">
        <f>SUM(G$3:G18)/I18</f>
        <v>0.15442374041987056</v>
      </c>
      <c r="K18" s="40">
        <f t="shared" si="5"/>
        <v>21849.468420678731</v>
      </c>
      <c r="L18" s="39">
        <f>SQRT(SUM(K$3:K18)/(COUNT(K$3:K18)-1))</f>
        <v>247.91069058495489</v>
      </c>
    </row>
    <row r="19" spans="1:12" x14ac:dyDescent="0.2">
      <c r="A19" s="2">
        <f>[2]ArdiData!A19</f>
        <v>17</v>
      </c>
      <c r="B19" s="43" t="e">
        <f>#REF!</f>
        <v>#REF!</v>
      </c>
      <c r="C19" s="42">
        <v>2997.405744195491</v>
      </c>
      <c r="D19" s="3">
        <f t="shared" si="0"/>
        <v>3074.6556826863562</v>
      </c>
      <c r="E19" s="42">
        <f t="shared" si="1"/>
        <v>93.549767994410701</v>
      </c>
      <c r="F19" s="42">
        <f t="shared" si="2"/>
        <v>3093.9681673090722</v>
      </c>
      <c r="G19" s="41">
        <f t="shared" si="3"/>
        <v>-96.56242311358119</v>
      </c>
      <c r="H19" s="41">
        <f t="shared" si="4"/>
        <v>96.56242311358119</v>
      </c>
      <c r="I19" s="39">
        <f>SUM(H$3:H19)/COUNT(H$3:H19)</f>
        <v>191.00647496239759</v>
      </c>
      <c r="J19" s="39">
        <f>SUM(G$3:G19)/I19</f>
        <v>-0.34634932446303496</v>
      </c>
      <c r="K19" s="40">
        <f t="shared" si="5"/>
        <v>17357.491797613467</v>
      </c>
      <c r="L19" s="39">
        <f>SQRT(SUM(K$3:K19)/(COUNT(K$3:K19)-1))</f>
        <v>242.28768403906906</v>
      </c>
    </row>
    <row r="20" spans="1:12" x14ac:dyDescent="0.2">
      <c r="A20" s="2">
        <f>[2]ArdiData!A20</f>
        <v>18</v>
      </c>
      <c r="B20" s="43" t="e">
        <f>#REF!</f>
        <v>#REF!</v>
      </c>
      <c r="C20" s="42">
        <v>2897.6453125752814</v>
      </c>
      <c r="D20" s="3">
        <f t="shared" si="0"/>
        <v>3114.0934230596699</v>
      </c>
      <c r="E20" s="42">
        <f t="shared" si="1"/>
        <v>61.082551421752541</v>
      </c>
      <c r="F20" s="42">
        <f t="shared" si="2"/>
        <v>3168.2054506807667</v>
      </c>
      <c r="G20" s="41">
        <f t="shared" si="3"/>
        <v>-270.56013810548529</v>
      </c>
      <c r="H20" s="41">
        <f t="shared" si="4"/>
        <v>270.56013810548529</v>
      </c>
      <c r="I20" s="39">
        <f>SUM(H$3:H20)/COUNT(H$3:H20)</f>
        <v>195.42612291479134</v>
      </c>
      <c r="J20" s="39">
        <f>SUM(G$3:G20)/I20</f>
        <v>-1.7229789787294201</v>
      </c>
      <c r="K20" s="40">
        <f t="shared" si="5"/>
        <v>93480.34080708299</v>
      </c>
      <c r="L20" s="39">
        <f>SQRT(SUM(K$3:K20)/(COUNT(K$3:K20)-1))</f>
        <v>246.47318076264403</v>
      </c>
    </row>
    <row r="21" spans="1:12" x14ac:dyDescent="0.2">
      <c r="A21" s="2">
        <f>[2]ArdiData!A21</f>
        <v>19</v>
      </c>
      <c r="B21" s="43" t="e">
        <f>#REF!</f>
        <v>#REF!</v>
      </c>
      <c r="C21" s="42">
        <v>2451.4955445656897</v>
      </c>
      <c r="D21" s="3">
        <f t="shared" si="0"/>
        <v>3030.4398884982761</v>
      </c>
      <c r="E21" s="42">
        <f t="shared" si="1"/>
        <v>-25.759100168135276</v>
      </c>
      <c r="F21" s="42">
        <f t="shared" si="2"/>
        <v>3175.1759744814226</v>
      </c>
      <c r="G21" s="41">
        <f t="shared" si="3"/>
        <v>-723.68042991573293</v>
      </c>
      <c r="H21" s="41">
        <f t="shared" si="4"/>
        <v>723.68042991573293</v>
      </c>
      <c r="I21" s="39">
        <f>SUM(H$3:H21)/COUNT(H$3:H21)</f>
        <v>223.2289811779988</v>
      </c>
      <c r="J21" s="39">
        <f>SUM(G$3:G21)/I21</f>
        <v>-4.7502592449990608</v>
      </c>
      <c r="K21" s="40">
        <f t="shared" si="5"/>
        <v>575877.3645317466</v>
      </c>
      <c r="L21" s="39">
        <f>SQRT(SUM(K$3:K21)/(COUNT(K$3:K21)-1))</f>
        <v>298.94358950692072</v>
      </c>
    </row>
    <row r="22" spans="1:12" x14ac:dyDescent="0.2">
      <c r="A22" s="2">
        <f>[2]ArdiData!A22</f>
        <v>20</v>
      </c>
      <c r="B22" s="43" t="e">
        <f>#REF!</f>
        <v>#REF!</v>
      </c>
      <c r="C22" s="42">
        <v>3606.7892415047718</v>
      </c>
      <c r="D22" s="3">
        <f t="shared" si="0"/>
        <v>3125.1024789650673</v>
      </c>
      <c r="E22" s="42">
        <f t="shared" si="1"/>
        <v>46.493914212820627</v>
      </c>
      <c r="F22" s="42">
        <f t="shared" si="2"/>
        <v>3004.6807883301408</v>
      </c>
      <c r="G22" s="41">
        <f t="shared" si="3"/>
        <v>602.10845317463099</v>
      </c>
      <c r="H22" s="41">
        <f t="shared" si="4"/>
        <v>602.10845317463099</v>
      </c>
      <c r="I22" s="39">
        <f>SUM(H$3:H22)/COUNT(H$3:H22)</f>
        <v>242.1729547778304</v>
      </c>
      <c r="J22" s="39">
        <f>SUM(G$3:G22)/I22</f>
        <v>-1.8923957831637808</v>
      </c>
      <c r="K22" s="40">
        <f t="shared" si="5"/>
        <v>321401.73573135288</v>
      </c>
      <c r="L22" s="39">
        <f>SQRT(SUM(K$3:K22)/(COUNT(K$3:K22)-1))</f>
        <v>318.71556288380185</v>
      </c>
    </row>
    <row r="23" spans="1:12" x14ac:dyDescent="0.2">
      <c r="A23" s="2">
        <f>[2]ArdiData!A23</f>
        <v>21</v>
      </c>
      <c r="B23" s="43" t="e">
        <f>#REF!</f>
        <v>#REF!</v>
      </c>
      <c r="C23" s="42">
        <v>3329.4002934339937</v>
      </c>
      <c r="D23" s="3">
        <f t="shared" si="0"/>
        <v>3203.157173229109</v>
      </c>
      <c r="E23" s="42">
        <f t="shared" si="1"/>
        <v>65.430382243553268</v>
      </c>
      <c r="F23" s="42">
        <f t="shared" si="2"/>
        <v>3171.5963931778879</v>
      </c>
      <c r="G23" s="41">
        <f t="shared" si="3"/>
        <v>157.80390025610586</v>
      </c>
      <c r="H23" s="41">
        <f t="shared" si="4"/>
        <v>157.80390025610586</v>
      </c>
      <c r="I23" s="39">
        <f>SUM(H$3:H23)/COUNT(H$3:H23)</f>
        <v>238.15538075298642</v>
      </c>
      <c r="J23" s="39">
        <f>SUM(G$3:G23)/I23</f>
        <v>-1.2617106412281023</v>
      </c>
      <c r="K23" s="40">
        <f t="shared" si="5"/>
        <v>15035.293903732731</v>
      </c>
      <c r="L23" s="39">
        <f>SQRT(SUM(K$3:K23)/(COUNT(K$3:K23)-1))</f>
        <v>311.85316130882552</v>
      </c>
    </row>
    <row r="24" spans="1:12" x14ac:dyDescent="0.2">
      <c r="A24" s="2">
        <f>[2]ArdiData!A24</f>
        <v>22</v>
      </c>
      <c r="B24" s="43" t="e">
        <f>#REF!</f>
        <v>#REF!</v>
      </c>
      <c r="C24" s="42">
        <v>3271.7372704254626</v>
      </c>
      <c r="D24" s="3">
        <f t="shared" si="0"/>
        <v>3269.2174984632225</v>
      </c>
      <c r="E24" s="42">
        <f t="shared" si="1"/>
        <v>65.808348037889346</v>
      </c>
      <c r="F24" s="42">
        <f t="shared" si="2"/>
        <v>3268.5875554726622</v>
      </c>
      <c r="G24" s="41">
        <f t="shared" si="3"/>
        <v>3.1497149528004229</v>
      </c>
      <c r="H24" s="41">
        <f t="shared" si="4"/>
        <v>3.1497149528004229</v>
      </c>
      <c r="I24" s="39">
        <f>SUM(H$3:H24)/COUNT(H$3:H24)</f>
        <v>227.47330503479614</v>
      </c>
      <c r="J24" s="39">
        <f>SUM(G$3:G24)/I24</f>
        <v>-1.3071136552198528</v>
      </c>
      <c r="K24" s="40">
        <f t="shared" si="5"/>
        <v>1026.2858221996787</v>
      </c>
      <c r="L24" s="39">
        <f>SQRT(SUM(K$3:K24)/(COUNT(K$3:K24)-1))</f>
        <v>304.41780266666143</v>
      </c>
    </row>
    <row r="25" spans="1:12" x14ac:dyDescent="0.2">
      <c r="A25" s="2">
        <f>[2]ArdiData!A25</f>
        <v>23</v>
      </c>
      <c r="B25" s="43" t="e">
        <f>#REF!</f>
        <v>#REF!</v>
      </c>
      <c r="C25" s="42">
        <v>3370.7908457036756</v>
      </c>
      <c r="D25" s="3">
        <f t="shared" si="0"/>
        <v>3342.1788463416246</v>
      </c>
      <c r="E25" s="42">
        <f t="shared" si="1"/>
        <v>70.100147942197054</v>
      </c>
      <c r="F25" s="42">
        <f t="shared" si="2"/>
        <v>3335.025846501112</v>
      </c>
      <c r="G25" s="41">
        <f t="shared" si="3"/>
        <v>35.764999202563558</v>
      </c>
      <c r="H25" s="41">
        <f t="shared" si="4"/>
        <v>35.764999202563558</v>
      </c>
      <c r="I25" s="39">
        <f>SUM(H$3:H25)/COUNT(H$3:H25)</f>
        <v>219.13816130295993</v>
      </c>
      <c r="J25" s="39">
        <f>SUM(G$3:G25)/I25</f>
        <v>-1.1936235224899476</v>
      </c>
      <c r="K25" s="40">
        <f t="shared" si="5"/>
        <v>0.3359224669813996</v>
      </c>
      <c r="L25" s="39">
        <f>SQRT(SUM(K$3:K25)/(COUNT(K$3:K25)-1))</f>
        <v>297.4187823523373</v>
      </c>
    </row>
    <row r="26" spans="1:12" x14ac:dyDescent="0.2">
      <c r="A26" s="2">
        <f>[2]ArdiData!A26</f>
        <v>24</v>
      </c>
      <c r="B26" s="43" t="e">
        <f>#REF!</f>
        <v>#REF!</v>
      </c>
      <c r="C26" s="42">
        <v>3326.6171341495628</v>
      </c>
      <c r="D26" s="3">
        <f t="shared" si="0"/>
        <v>3395.1466222569702</v>
      </c>
      <c r="E26" s="42">
        <f t="shared" si="1"/>
        <v>59.820724726086155</v>
      </c>
      <c r="F26" s="42">
        <f t="shared" si="2"/>
        <v>3412.2789942838217</v>
      </c>
      <c r="G26" s="41">
        <f t="shared" si="3"/>
        <v>-85.661860134258859</v>
      </c>
      <c r="H26" s="41">
        <f t="shared" si="4"/>
        <v>85.661860134258859</v>
      </c>
      <c r="I26" s="39">
        <f>SUM(H$3:H26)/COUNT(H$3:H26)</f>
        <v>213.57664875426406</v>
      </c>
      <c r="J26" s="39">
        <f>SUM(G$3:G26)/I26</f>
        <v>-1.6257878666322869</v>
      </c>
      <c r="K26" s="40">
        <f t="shared" si="5"/>
        <v>14604.0629442604</v>
      </c>
      <c r="L26" s="39">
        <f>SQRT(SUM(K$3:K26)/(COUNT(K$3:K26)-1))</f>
        <v>291.97070796013634</v>
      </c>
    </row>
    <row r="27" spans="1:12" x14ac:dyDescent="0.2">
      <c r="A27" s="2">
        <f>[2]ArdiData!A27</f>
        <v>25</v>
      </c>
      <c r="B27" s="43" t="e">
        <f>#REF!</f>
        <v>#REF!</v>
      </c>
      <c r="C27" s="42">
        <v>3919.3323507327541</v>
      </c>
      <c r="D27" s="3">
        <f t="shared" si="0"/>
        <v>3547.8403477329962</v>
      </c>
      <c r="E27" s="42">
        <f t="shared" si="1"/>
        <v>115.54452517605006</v>
      </c>
      <c r="F27" s="42">
        <f t="shared" si="2"/>
        <v>3454.9673469830564</v>
      </c>
      <c r="G27" s="41">
        <f t="shared" si="3"/>
        <v>464.36500374969773</v>
      </c>
      <c r="H27" s="41">
        <f t="shared" si="4"/>
        <v>464.36500374969773</v>
      </c>
      <c r="I27" s="39">
        <f>SUM(H$3:H27)/COUNT(H$3:H27)</f>
        <v>223.60818295408143</v>
      </c>
      <c r="J27" s="39">
        <f>SUM(G$3:G27)/I27</f>
        <v>0.52383896716822487</v>
      </c>
      <c r="K27" s="40">
        <f t="shared" si="5"/>
        <v>184195.1228197864</v>
      </c>
      <c r="L27" s="39">
        <f>SQRT(SUM(K$3:K27)/(COUNT(K$3:K27)-1))</f>
        <v>298.94771643458552</v>
      </c>
    </row>
    <row r="28" spans="1:12" x14ac:dyDescent="0.2">
      <c r="A28" s="2">
        <f>[2]ArdiData!A28</f>
        <v>26</v>
      </c>
      <c r="B28" s="43" t="e">
        <f>#REF!</f>
        <v>#REF!</v>
      </c>
      <c r="C28" s="42">
        <v>3932.7496928280202</v>
      </c>
      <c r="D28" s="3">
        <f t="shared" si="0"/>
        <v>3717.2578368928412</v>
      </c>
      <c r="E28" s="42">
        <f t="shared" si="1"/>
        <v>147.86830356632703</v>
      </c>
      <c r="F28" s="42">
        <f t="shared" si="2"/>
        <v>3663.3848729090464</v>
      </c>
      <c r="G28" s="41">
        <f t="shared" si="3"/>
        <v>269.36481991897381</v>
      </c>
      <c r="H28" s="41">
        <f t="shared" si="4"/>
        <v>269.36481991897381</v>
      </c>
      <c r="I28" s="39">
        <f>SUM(H$3:H28)/COUNT(H$3:H28)</f>
        <v>225.36805360657729</v>
      </c>
      <c r="J28" s="39">
        <f>SUM(G$3:G28)/I28</f>
        <v>1.7149702157995805</v>
      </c>
      <c r="K28" s="40">
        <f t="shared" si="5"/>
        <v>54839.995554541114</v>
      </c>
      <c r="L28" s="39">
        <f>SQRT(SUM(K$3:K28)/(COUNT(K$3:K28)-1))</f>
        <v>296.6286356661758</v>
      </c>
    </row>
    <row r="29" spans="1:12" x14ac:dyDescent="0.2">
      <c r="A29" s="2">
        <f>[2]ArdiData!A29</f>
        <v>27</v>
      </c>
      <c r="B29" s="43" t="e">
        <f>#REF!</f>
        <v>#REF!</v>
      </c>
      <c r="C29" s="42">
        <v>3271.4587202821313</v>
      </c>
      <c r="D29" s="3">
        <f t="shared" si="0"/>
        <v>3746.3926564237609</v>
      </c>
      <c r="E29" s="42">
        <f t="shared" si="1"/>
        <v>76.628213145082626</v>
      </c>
      <c r="F29" s="42">
        <f t="shared" si="2"/>
        <v>3865.1261404591683</v>
      </c>
      <c r="G29" s="41">
        <f t="shared" si="3"/>
        <v>-593.667420177037</v>
      </c>
      <c r="H29" s="41">
        <f t="shared" si="4"/>
        <v>593.667420177037</v>
      </c>
      <c r="I29" s="39">
        <f>SUM(H$3:H29)/COUNT(H$3:H29)</f>
        <v>239.00877088696467</v>
      </c>
      <c r="J29" s="39">
        <f>SUM(G$3:G29)/I29</f>
        <v>-0.86677957415634099</v>
      </c>
      <c r="K29" s="40">
        <f t="shared" si="5"/>
        <v>395455.88329843793</v>
      </c>
      <c r="L29" s="39">
        <f>SQRT(SUM(K$3:K29)/(COUNT(K$3:K29)-1))</f>
        <v>315.93387640258499</v>
      </c>
    </row>
    <row r="30" spans="1:12" x14ac:dyDescent="0.2">
      <c r="A30" s="2">
        <f>[2]ArdiData!A30</f>
        <v>28</v>
      </c>
      <c r="B30" s="43" t="e">
        <f>#REF!</f>
        <v>#REF!</v>
      </c>
      <c r="C30" s="42">
        <v>4226.8800578487453</v>
      </c>
      <c r="D30" s="3">
        <f t="shared" si="0"/>
        <v>3903.792707224824</v>
      </c>
      <c r="E30" s="42">
        <f t="shared" si="1"/>
        <v>125.09131573867093</v>
      </c>
      <c r="F30" s="42">
        <f t="shared" si="2"/>
        <v>3823.0208695688434</v>
      </c>
      <c r="G30" s="41">
        <f t="shared" si="3"/>
        <v>403.8591882799019</v>
      </c>
      <c r="H30" s="41">
        <f t="shared" si="4"/>
        <v>403.8591882799019</v>
      </c>
      <c r="I30" s="39">
        <f>SUM(H$3:H30)/COUNT(H$3:H30)</f>
        <v>244.89628579385527</v>
      </c>
      <c r="J30" s="39">
        <f>SUM(G$3:G30)/I30</f>
        <v>0.80316149750199028</v>
      </c>
      <c r="K30" s="40">
        <f t="shared" si="5"/>
        <v>135920.35404265486</v>
      </c>
      <c r="L30" s="39">
        <f>SQRT(SUM(K$3:K30)/(COUNT(K$3:K30)-1))</f>
        <v>318.0432025609166</v>
      </c>
    </row>
    <row r="31" spans="1:12" x14ac:dyDescent="0.2">
      <c r="A31" s="2">
        <f>[2]ArdiData!A31</f>
        <v>29</v>
      </c>
      <c r="B31" s="43" t="e">
        <f>#REF!</f>
        <v>#REF!</v>
      </c>
      <c r="C31" s="42">
        <v>3676.4065496322846</v>
      </c>
      <c r="D31" s="3">
        <f t="shared" si="0"/>
        <v>3958.3885282972533</v>
      </c>
      <c r="E31" s="42">
        <f t="shared" si="1"/>
        <v>82.794018938925973</v>
      </c>
      <c r="F31" s="42">
        <f t="shared" si="2"/>
        <v>4028.8840229634948</v>
      </c>
      <c r="G31" s="41">
        <f t="shared" si="3"/>
        <v>-352.47747333121015</v>
      </c>
      <c r="H31" s="41">
        <f t="shared" si="4"/>
        <v>352.47747333121015</v>
      </c>
      <c r="I31" s="39">
        <f>SUM(H$3:H31)/COUNT(H$3:H31)</f>
        <v>248.60598191583304</v>
      </c>
      <c r="J31" s="39">
        <f>SUM(G$3:G31)/I31</f>
        <v>-0.62663900723468613</v>
      </c>
      <c r="K31" s="40">
        <f t="shared" si="5"/>
        <v>150282.51189974471</v>
      </c>
      <c r="L31" s="39">
        <f>SQRT(SUM(K$3:K31)/(COUNT(K$3:K31)-1))</f>
        <v>320.78989767838584</v>
      </c>
    </row>
    <row r="32" spans="1:12" x14ac:dyDescent="0.2">
      <c r="A32" s="2">
        <f>[2]ArdiData!A32</f>
        <v>30</v>
      </c>
      <c r="B32" s="43" t="e">
        <f>#REF!</f>
        <v>#REF!</v>
      </c>
      <c r="C32" s="42">
        <v>3709.9538102697975</v>
      </c>
      <c r="D32" s="3">
        <f t="shared" si="0"/>
        <v>3974.9367998429034</v>
      </c>
      <c r="E32" s="42">
        <f t="shared" si="1"/>
        <v>43.046570502960449</v>
      </c>
      <c r="F32" s="42">
        <f t="shared" si="2"/>
        <v>4041.1825472361793</v>
      </c>
      <c r="G32" s="41">
        <f t="shared" si="3"/>
        <v>-331.2287369663818</v>
      </c>
      <c r="H32" s="41">
        <f t="shared" si="4"/>
        <v>331.2287369663818</v>
      </c>
      <c r="I32" s="39">
        <f>SUM(H$3:H32)/COUNT(H$3:H32)</f>
        <v>251.36007375085134</v>
      </c>
      <c r="J32" s="39">
        <f>SUM(G$3:G32)/I32</f>
        <v>-1.9375190952141987</v>
      </c>
      <c r="K32" s="40">
        <f t="shared" si="5"/>
        <v>134259.32784103689</v>
      </c>
      <c r="L32" s="39">
        <f>SQRT(SUM(K$3:K32)/(COUNT(K$3:K32)-1))</f>
        <v>322.47062226585456</v>
      </c>
    </row>
    <row r="33" spans="1:12" x14ac:dyDescent="0.2">
      <c r="A33" s="2">
        <f>[2]ArdiData!A33</f>
        <v>31</v>
      </c>
      <c r="B33" s="43" t="e">
        <f>#REF!</f>
        <v>#REF!</v>
      </c>
      <c r="C33" s="42">
        <v>4309.3917506051803</v>
      </c>
      <c r="D33" s="3">
        <f t="shared" si="0"/>
        <v>4076.2650463977275</v>
      </c>
      <c r="E33" s="42">
        <f t="shared" si="1"/>
        <v>78.015576134078628</v>
      </c>
      <c r="F33" s="42">
        <f t="shared" si="2"/>
        <v>4017.9833703458639</v>
      </c>
      <c r="G33" s="41">
        <f t="shared" si="3"/>
        <v>291.40838025931635</v>
      </c>
      <c r="H33" s="41">
        <f t="shared" si="4"/>
        <v>291.40838025931635</v>
      </c>
      <c r="I33" s="39">
        <f>SUM(H$3:H33)/COUNT(H$3:H33)</f>
        <v>252.65195460596314</v>
      </c>
      <c r="J33" s="39">
        <f>SUM(G$3:G33)/I33</f>
        <v>-0.77421353304974849</v>
      </c>
      <c r="K33" s="40">
        <f t="shared" si="5"/>
        <v>65650.209968293508</v>
      </c>
      <c r="L33" s="39">
        <f>SQRT(SUM(K$3:K33)/(COUNT(K$3:K33)-1))</f>
        <v>320.48307154874755</v>
      </c>
    </row>
    <row r="34" spans="1:12" x14ac:dyDescent="0.2">
      <c r="A34" s="2">
        <f>[2]ArdiData!A34</f>
        <v>32</v>
      </c>
      <c r="B34" s="43" t="e">
        <f>#REF!</f>
        <v>#REF!</v>
      </c>
      <c r="C34" s="42">
        <v>3396.6468613345064</v>
      </c>
      <c r="D34" s="3">
        <f t="shared" si="0"/>
        <v>4002.7538702923466</v>
      </c>
      <c r="E34" s="42">
        <f t="shared" si="1"/>
        <v>-12.900475209597058</v>
      </c>
      <c r="F34" s="42">
        <f t="shared" si="2"/>
        <v>4154.2806225318063</v>
      </c>
      <c r="G34" s="41">
        <f t="shared" si="3"/>
        <v>-757.63376119729992</v>
      </c>
      <c r="H34" s="41">
        <f t="shared" si="4"/>
        <v>757.63376119729992</v>
      </c>
      <c r="I34" s="39">
        <f>SUM(H$3:H34)/COUNT(H$3:H34)</f>
        <v>268.43263606194239</v>
      </c>
      <c r="J34" s="39">
        <f>SUM(G$3:G34)/I34</f>
        <v>-3.5511342346045494</v>
      </c>
      <c r="K34" s="40">
        <f t="shared" si="5"/>
        <v>628562.23982764524</v>
      </c>
      <c r="L34" s="39">
        <f>SQRT(SUM(K$3:K34)/(COUNT(K$3:K34)-1))</f>
        <v>345.93697982423157</v>
      </c>
    </row>
    <row r="35" spans="1:12" x14ac:dyDescent="0.2">
      <c r="A35" s="2">
        <f>[2]ArdiData!A35</f>
        <v>33</v>
      </c>
      <c r="B35" s="43" t="e">
        <f>#REF!</f>
        <v>#REF!</v>
      </c>
      <c r="C35" s="42">
        <v>3425.2650395092878</v>
      </c>
      <c r="D35" s="3">
        <f t="shared" ref="D35:D66" si="6">$N$1*C35+(1-$N$1)*F35</f>
        <v>3876.9357239680576</v>
      </c>
      <c r="E35" s="42">
        <f t="shared" ref="E35:E66" si="7">$N$2*(D35-D34)+(1-$N$2)*E34</f>
        <v>-80.651077878412252</v>
      </c>
      <c r="F35" s="42">
        <f t="shared" ref="F35:F66" si="8">D34+E34</f>
        <v>3989.8533950827496</v>
      </c>
      <c r="G35" s="41">
        <f t="shared" ref="G35:G66" si="9">C35-F35</f>
        <v>-564.58835557346174</v>
      </c>
      <c r="H35" s="41">
        <f t="shared" ref="H35:H66" si="10">ABS(G35)</f>
        <v>564.58835557346174</v>
      </c>
      <c r="I35" s="39">
        <f>SUM(H$3:H35)/COUNT(H$3:H35)</f>
        <v>277.40705180471571</v>
      </c>
      <c r="J35" s="39">
        <f>SUM(G$3:G35)/I35</f>
        <v>-5.4714855635561284</v>
      </c>
      <c r="K35" s="40">
        <f t="shared" ref="K35:K66" si="11">(G35-$G$78)^2</f>
        <v>359728.5710878988</v>
      </c>
      <c r="L35" s="39">
        <f>SQRT(SUM(K$3:K35)/(COUNT(K$3:K35)-1))</f>
        <v>356.61484762078811</v>
      </c>
    </row>
    <row r="36" spans="1:12" x14ac:dyDescent="0.2">
      <c r="A36" s="2">
        <f>[2]ArdiData!A36</f>
        <v>34</v>
      </c>
      <c r="B36" s="43" t="e">
        <f>#REF!</f>
        <v>#REF!</v>
      </c>
      <c r="C36" s="42">
        <v>3382.8091450329844</v>
      </c>
      <c r="D36" s="3">
        <f t="shared" si="6"/>
        <v>3713.5895458783134</v>
      </c>
      <c r="E36" s="42">
        <f t="shared" si="7"/>
        <v>-130.2681380052114</v>
      </c>
      <c r="F36" s="42">
        <f t="shared" si="8"/>
        <v>3796.2846460896453</v>
      </c>
      <c r="G36" s="41">
        <f t="shared" si="9"/>
        <v>-413.47550105666096</v>
      </c>
      <c r="H36" s="41">
        <f t="shared" si="10"/>
        <v>413.47550105666096</v>
      </c>
      <c r="I36" s="39">
        <f>SUM(H$3:H36)/COUNT(H$3:H36)</f>
        <v>281.40906501800822</v>
      </c>
      <c r="J36" s="39">
        <f>SUM(G$3:G36)/I36</f>
        <v>-6.8629778508067609</v>
      </c>
      <c r="K36" s="40">
        <f t="shared" si="11"/>
        <v>201296.61402111541</v>
      </c>
      <c r="L36" s="39">
        <f>SQRT(SUM(K$3:K36)/(COUNT(K$3:K36)-1))</f>
        <v>359.75030900722714</v>
      </c>
    </row>
    <row r="37" spans="1:12" x14ac:dyDescent="0.2">
      <c r="A37" s="2">
        <f>[2]ArdiData!A37</f>
        <v>35</v>
      </c>
      <c r="B37" s="43" t="e">
        <f>#REF!</f>
        <v>#REF!</v>
      </c>
      <c r="C37" s="42">
        <v>3846.9349712677931</v>
      </c>
      <c r="D37" s="3">
        <f t="shared" si="6"/>
        <v>3636.0441205520401</v>
      </c>
      <c r="E37" s="42">
        <f t="shared" si="7"/>
        <v>-98.63451039784853</v>
      </c>
      <c r="F37" s="42">
        <f t="shared" si="8"/>
        <v>3583.3214078731021</v>
      </c>
      <c r="G37" s="41">
        <f t="shared" si="9"/>
        <v>263.61356339469103</v>
      </c>
      <c r="H37" s="41">
        <f t="shared" si="10"/>
        <v>263.61356339469103</v>
      </c>
      <c r="I37" s="39">
        <f>SUM(H$3:H37)/COUNT(H$3:H37)</f>
        <v>280.90062211448486</v>
      </c>
      <c r="J37" s="39">
        <f>SUM(G$3:G37)/I37</f>
        <v>-5.936941699475657</v>
      </c>
      <c r="K37" s="40">
        <f t="shared" si="11"/>
        <v>52179.420799527696</v>
      </c>
      <c r="L37" s="39">
        <f>SQRT(SUM(K$3:K37)/(COUNT(K$3:K37)-1))</f>
        <v>356.57887586371226</v>
      </c>
    </row>
    <row r="38" spans="1:12" x14ac:dyDescent="0.2">
      <c r="A38" s="2">
        <f>[2]ArdiData!A38</f>
        <v>36</v>
      </c>
      <c r="B38" s="43" t="e">
        <f>#REF!</f>
        <v>#REF!</v>
      </c>
      <c r="C38" s="42">
        <v>4335.4663999878339</v>
      </c>
      <c r="D38" s="3">
        <f t="shared" si="6"/>
        <v>3697.0209681209203</v>
      </c>
      <c r="E38" s="42">
        <f t="shared" si="7"/>
        <v>-2.8676956178112931</v>
      </c>
      <c r="F38" s="42">
        <f t="shared" si="8"/>
        <v>3537.4096101541918</v>
      </c>
      <c r="G38" s="41">
        <f t="shared" si="9"/>
        <v>798.05678983364214</v>
      </c>
      <c r="H38" s="41">
        <f t="shared" si="10"/>
        <v>798.05678983364214</v>
      </c>
      <c r="I38" s="39">
        <f>SUM(H$3:H38)/COUNT(H$3:H38)</f>
        <v>295.26607121779477</v>
      </c>
      <c r="J38" s="39">
        <f>SUM(G$3:G38)/I38</f>
        <v>-2.9452548456372956</v>
      </c>
      <c r="K38" s="40">
        <f t="shared" si="11"/>
        <v>581972.74062041682</v>
      </c>
      <c r="L38" s="39">
        <f>SQRT(SUM(K$3:K38)/(COUNT(K$3:K38)-1))</f>
        <v>374.35741366606908</v>
      </c>
    </row>
    <row r="39" spans="1:12" x14ac:dyDescent="0.2">
      <c r="A39" s="2">
        <f>[2]ArdiData!A39</f>
        <v>37</v>
      </c>
      <c r="B39" s="43" t="e">
        <f>#REF!</f>
        <v>#REF!</v>
      </c>
      <c r="C39" s="42">
        <v>3778.0879495342488</v>
      </c>
      <c r="D39" s="3">
        <f t="shared" si="6"/>
        <v>3710.940207909337</v>
      </c>
      <c r="E39" s="42">
        <f t="shared" si="7"/>
        <v>7.2044656259254971</v>
      </c>
      <c r="F39" s="42">
        <f t="shared" si="8"/>
        <v>3694.1532725031088</v>
      </c>
      <c r="G39" s="41">
        <f t="shared" si="9"/>
        <v>83.934677031139927</v>
      </c>
      <c r="H39" s="41">
        <f t="shared" si="10"/>
        <v>83.934677031139927</v>
      </c>
      <c r="I39" s="39">
        <f>SUM(H$3:H39)/COUNT(H$3:H39)</f>
        <v>289.55441191545276</v>
      </c>
      <c r="J39" s="39">
        <f>SUM(G$3:G39)/I39</f>
        <v>-2.7134766995184791</v>
      </c>
      <c r="K39" s="40">
        <f t="shared" si="11"/>
        <v>2376.4909370970831</v>
      </c>
      <c r="L39" s="39">
        <f>SQRT(SUM(K$3:K39)/(COUNT(K$3:K39)-1))</f>
        <v>369.21079690233609</v>
      </c>
    </row>
    <row r="40" spans="1:12" x14ac:dyDescent="0.2">
      <c r="A40" s="2">
        <f>[2]ArdiData!A40</f>
        <v>38</v>
      </c>
      <c r="B40" s="43" t="e">
        <f>#REF!</f>
        <v>#REF!</v>
      </c>
      <c r="C40" s="42">
        <v>4091.3217573787838</v>
      </c>
      <c r="D40" s="3">
        <f t="shared" si="6"/>
        <v>3792.780090303967</v>
      </c>
      <c r="E40" s="42">
        <f t="shared" si="7"/>
        <v>51.985715687148179</v>
      </c>
      <c r="F40" s="42">
        <f t="shared" si="8"/>
        <v>3718.1446735352624</v>
      </c>
      <c r="G40" s="41">
        <f t="shared" si="9"/>
        <v>373.17708384352136</v>
      </c>
      <c r="H40" s="41">
        <f t="shared" si="10"/>
        <v>373.17708384352136</v>
      </c>
      <c r="I40" s="39">
        <f>SUM(H$3:H40)/COUNT(H$3:H40)</f>
        <v>291.75500854513876</v>
      </c>
      <c r="J40" s="39">
        <f>SUM(G$3:G40)/I40</f>
        <v>-1.413933108428582</v>
      </c>
      <c r="K40" s="40">
        <f t="shared" si="11"/>
        <v>114238.37090131622</v>
      </c>
      <c r="L40" s="39">
        <f>SQRT(SUM(K$3:K40)/(COUNT(K$3:K40)-1))</f>
        <v>368.40182317074635</v>
      </c>
    </row>
    <row r="41" spans="1:12" x14ac:dyDescent="0.2">
      <c r="A41" s="2">
        <f>[2]ArdiData!A41</f>
        <v>39</v>
      </c>
      <c r="B41" s="43" t="e">
        <f>#REF!</f>
        <v>#REF!</v>
      </c>
      <c r="C41" s="42">
        <v>5031.5420497583082</v>
      </c>
      <c r="D41" s="3">
        <f t="shared" si="6"/>
        <v>4082.1210547445539</v>
      </c>
      <c r="E41" s="42">
        <f t="shared" si="7"/>
        <v>194.39886493921145</v>
      </c>
      <c r="F41" s="42">
        <f t="shared" si="8"/>
        <v>3844.765805991115</v>
      </c>
      <c r="G41" s="41">
        <f t="shared" si="9"/>
        <v>1186.7762437671931</v>
      </c>
      <c r="H41" s="41">
        <f t="shared" si="10"/>
        <v>1186.7762437671931</v>
      </c>
      <c r="I41" s="39">
        <f>SUM(H$3:H41)/COUNT(H$3:H41)</f>
        <v>314.70427098672991</v>
      </c>
      <c r="J41" s="39">
        <f>SUM(G$3:G41)/I41</f>
        <v>2.4602595166813144</v>
      </c>
      <c r="K41" s="40">
        <f t="shared" si="11"/>
        <v>1326161.4460785284</v>
      </c>
      <c r="L41" s="39">
        <f>SQRT(SUM(K$3:K41)/(COUNT(K$3:K41)-1))</f>
        <v>408.71421841625329</v>
      </c>
    </row>
    <row r="42" spans="1:12" x14ac:dyDescent="0.2">
      <c r="A42" s="2">
        <f>[2]ArdiData!A42</f>
        <v>40</v>
      </c>
      <c r="B42" s="43" t="e">
        <f>#REF!</f>
        <v>#REF!</v>
      </c>
      <c r="C42" s="42">
        <v>4204.3946084920954</v>
      </c>
      <c r="D42" s="3">
        <f t="shared" si="6"/>
        <v>4262.0948574454324</v>
      </c>
      <c r="E42" s="42">
        <f t="shared" si="7"/>
        <v>185.74382759621164</v>
      </c>
      <c r="F42" s="42">
        <f t="shared" si="8"/>
        <v>4276.5199196837657</v>
      </c>
      <c r="G42" s="41">
        <f t="shared" si="9"/>
        <v>-72.125311191670335</v>
      </c>
      <c r="H42" s="41">
        <f t="shared" si="10"/>
        <v>72.125311191670335</v>
      </c>
      <c r="I42" s="39">
        <f>SUM(H$3:H42)/COUNT(H$3:H42)</f>
        <v>308.63979699185342</v>
      </c>
      <c r="J42" s="39">
        <f>SUM(G$3:G42)/I42</f>
        <v>2.2749135830406861</v>
      </c>
      <c r="K42" s="40">
        <f t="shared" si="11"/>
        <v>11515.591100550831</v>
      </c>
      <c r="L42" s="39">
        <f>SQRT(SUM(K$3:K42)/(COUNT(K$3:K42)-1))</f>
        <v>403.80604191050412</v>
      </c>
    </row>
    <row r="43" spans="1:12" x14ac:dyDescent="0.2">
      <c r="A43" s="2">
        <f>[2]ArdiData!A43</f>
        <v>41</v>
      </c>
      <c r="B43" s="43" t="e">
        <f>#REF!</f>
        <v>#REF!</v>
      </c>
      <c r="C43" s="42">
        <v>5586.0237690188087</v>
      </c>
      <c r="D43" s="3">
        <f t="shared" si="6"/>
        <v>4675.4757018370765</v>
      </c>
      <c r="E43" s="42">
        <f t="shared" si="7"/>
        <v>322.32603767347109</v>
      </c>
      <c r="F43" s="42">
        <f t="shared" si="8"/>
        <v>4447.8386850416437</v>
      </c>
      <c r="G43" s="41">
        <f t="shared" si="9"/>
        <v>1138.185083977165</v>
      </c>
      <c r="H43" s="41">
        <f t="shared" si="10"/>
        <v>1138.185083977165</v>
      </c>
      <c r="I43" s="39">
        <f>SUM(H$3:H43)/COUNT(H$3:H43)</f>
        <v>328.87260886954397</v>
      </c>
      <c r="J43" s="39">
        <f>SUM(G$3:G43)/I43</f>
        <v>5.5958261673013379</v>
      </c>
      <c r="K43" s="40">
        <f t="shared" si="11"/>
        <v>1216608.2785542971</v>
      </c>
      <c r="L43" s="39">
        <f>SQRT(SUM(K$3:K43)/(COUNT(K$3:K43)-1))</f>
        <v>435.19885507684825</v>
      </c>
    </row>
    <row r="44" spans="1:12" x14ac:dyDescent="0.2">
      <c r="A44" s="2">
        <f>[2]ArdiData!A44</f>
        <v>42</v>
      </c>
      <c r="B44" s="43" t="e">
        <f>#REF!</f>
        <v>#REF!</v>
      </c>
      <c r="C44" s="42">
        <v>5777.5611763875086</v>
      </c>
      <c r="D44" s="3">
        <f t="shared" si="6"/>
        <v>5153.7536268859394</v>
      </c>
      <c r="E44" s="42">
        <f t="shared" si="7"/>
        <v>415.89717009870617</v>
      </c>
      <c r="F44" s="42">
        <f t="shared" si="8"/>
        <v>4997.8017395105471</v>
      </c>
      <c r="G44" s="41">
        <f t="shared" si="9"/>
        <v>779.75943687696144</v>
      </c>
      <c r="H44" s="41">
        <f t="shared" si="10"/>
        <v>779.75943687696144</v>
      </c>
      <c r="I44" s="39">
        <f>SUM(H$3:H44)/COUNT(H$3:H44)</f>
        <v>339.60800953638727</v>
      </c>
      <c r="J44" s="39">
        <f>SUM(G$3:G44)/I44</f>
        <v>7.7149929145504617</v>
      </c>
      <c r="K44" s="40">
        <f t="shared" si="11"/>
        <v>554390.47998805519</v>
      </c>
      <c r="L44" s="39">
        <f>SQRT(SUM(K$3:K44)/(COUNT(K$3:K44)-1))</f>
        <v>445.30921617417647</v>
      </c>
    </row>
    <row r="45" spans="1:12" x14ac:dyDescent="0.2">
      <c r="A45" s="2">
        <f>[2]ArdiData!A45</f>
        <v>43</v>
      </c>
      <c r="B45" s="43" t="e">
        <f>#REF!</f>
        <v>#REF!</v>
      </c>
      <c r="C45" s="42">
        <v>5672.6454679130029</v>
      </c>
      <c r="D45" s="3">
        <f t="shared" si="6"/>
        <v>5590.2497311703173</v>
      </c>
      <c r="E45" s="42">
        <f t="shared" si="7"/>
        <v>428.25653061010917</v>
      </c>
      <c r="F45" s="42">
        <f t="shared" si="8"/>
        <v>5569.6507969846452</v>
      </c>
      <c r="G45" s="41">
        <f t="shared" si="9"/>
        <v>102.99467092835766</v>
      </c>
      <c r="H45" s="41">
        <f t="shared" si="10"/>
        <v>102.99467092835766</v>
      </c>
      <c r="I45" s="39">
        <f>SUM(H$3:H45)/COUNT(H$3:H45)</f>
        <v>334.10537375480516</v>
      </c>
      <c r="J45" s="39">
        <f>SUM(G$3:G45)/I45</f>
        <v>8.1503270289348571</v>
      </c>
      <c r="K45" s="40">
        <f t="shared" si="11"/>
        <v>4598.0957299760239</v>
      </c>
      <c r="L45" s="39">
        <f>SQRT(SUM(K$3:K45)/(COUNT(K$3:K45)-1))</f>
        <v>440.10037583774471</v>
      </c>
    </row>
    <row r="46" spans="1:12" x14ac:dyDescent="0.2">
      <c r="A46" s="2">
        <f>[2]ArdiData!A46</f>
        <v>44</v>
      </c>
      <c r="B46" s="43" t="e">
        <f>#REF!</f>
        <v>#REF!</v>
      </c>
      <c r="C46" s="42">
        <v>4442.4749424361789</v>
      </c>
      <c r="D46" s="3">
        <f t="shared" si="6"/>
        <v>5703.2999979115775</v>
      </c>
      <c r="E46" s="42">
        <f t="shared" si="7"/>
        <v>239.1327722887998</v>
      </c>
      <c r="F46" s="42">
        <f t="shared" si="8"/>
        <v>6018.5062617804269</v>
      </c>
      <c r="G46" s="41">
        <f t="shared" si="9"/>
        <v>-1576.031319344248</v>
      </c>
      <c r="H46" s="41">
        <f t="shared" si="10"/>
        <v>1576.031319344248</v>
      </c>
      <c r="I46" s="39">
        <f>SUM(H$3:H46)/COUNT(H$3:H46)</f>
        <v>362.33096342729255</v>
      </c>
      <c r="J46" s="39">
        <f>SUM(G$3:G46)/I46</f>
        <v>3.1657154774521339</v>
      </c>
      <c r="K46" s="40">
        <f t="shared" si="11"/>
        <v>2596019.3521900512</v>
      </c>
      <c r="L46" s="39">
        <f>SQRT(SUM(K$3:K46)/(COUNT(K$3:K46)-1))</f>
        <v>499.55630700434108</v>
      </c>
    </row>
    <row r="47" spans="1:12" x14ac:dyDescent="0.2">
      <c r="A47" s="2">
        <f>[2]ArdiData!A47</f>
        <v>45</v>
      </c>
      <c r="B47" s="43" t="e">
        <f>#REF!</f>
        <v>#REF!</v>
      </c>
      <c r="C47" s="42">
        <v>6116.4376324786244</v>
      </c>
      <c r="D47" s="3">
        <f t="shared" si="6"/>
        <v>5977.2337426560271</v>
      </c>
      <c r="E47" s="42">
        <f t="shared" si="7"/>
        <v>260.01335576218963</v>
      </c>
      <c r="F47" s="42">
        <f t="shared" si="8"/>
        <v>5942.4327702003775</v>
      </c>
      <c r="G47" s="41">
        <f t="shared" si="9"/>
        <v>174.00486227824695</v>
      </c>
      <c r="H47" s="41">
        <f t="shared" si="10"/>
        <v>174.00486227824695</v>
      </c>
      <c r="I47" s="39">
        <f>SUM(H$3:H47)/COUNT(H$3:H47)</f>
        <v>358.14593895731372</v>
      </c>
      <c r="J47" s="39">
        <f>SUM(G$3:G47)/I47</f>
        <v>3.6885566956480855</v>
      </c>
      <c r="K47" s="40">
        <f t="shared" si="11"/>
        <v>19270.84004898545</v>
      </c>
      <c r="L47" s="39">
        <f>SQRT(SUM(K$3:K47)/(COUNT(K$3:K47)-1))</f>
        <v>494.29013623682994</v>
      </c>
    </row>
    <row r="48" spans="1:12" x14ac:dyDescent="0.2">
      <c r="A48" s="2">
        <f>[2]ArdiData!A48</f>
        <v>46</v>
      </c>
      <c r="B48" s="43" t="e">
        <f>#REF!</f>
        <v>#REF!</v>
      </c>
      <c r="C48" s="42">
        <v>4831.7623955679137</v>
      </c>
      <c r="D48" s="3">
        <f t="shared" si="6"/>
        <v>5956.1501578481566</v>
      </c>
      <c r="E48" s="42">
        <f t="shared" si="7"/>
        <v>91.355191420153574</v>
      </c>
      <c r="F48" s="42">
        <f t="shared" si="8"/>
        <v>6237.2470984182164</v>
      </c>
      <c r="G48" s="41">
        <f t="shared" si="9"/>
        <v>-1405.4847028503027</v>
      </c>
      <c r="H48" s="41">
        <f t="shared" si="10"/>
        <v>1405.4847028503027</v>
      </c>
      <c r="I48" s="39">
        <f>SUM(H$3:H48)/COUNT(H$3:H48)</f>
        <v>380.91417295498735</v>
      </c>
      <c r="J48" s="39">
        <f>SUM(G$3:G48)/I48</f>
        <v>-0.22168537609156186</v>
      </c>
      <c r="K48" s="40">
        <f t="shared" si="11"/>
        <v>2075530.3769851164</v>
      </c>
      <c r="L48" s="39">
        <f>SQRT(SUM(K$3:K48)/(COUNT(K$3:K48)-1))</f>
        <v>533.86912427319294</v>
      </c>
    </row>
    <row r="49" spans="1:12" x14ac:dyDescent="0.2">
      <c r="A49" s="2">
        <f>[2]ArdiData!A49</f>
        <v>47</v>
      </c>
      <c r="B49" s="43" t="e">
        <f>#REF!</f>
        <v>#REF!</v>
      </c>
      <c r="C49" s="42">
        <v>6206.0910692130574</v>
      </c>
      <c r="D49" s="3">
        <f t="shared" si="6"/>
        <v>6079.2224932572599</v>
      </c>
      <c r="E49" s="42">
        <f t="shared" si="7"/>
        <v>110.38547781352341</v>
      </c>
      <c r="F49" s="42">
        <f t="shared" si="8"/>
        <v>6047.5053492683101</v>
      </c>
      <c r="G49" s="41">
        <f t="shared" si="9"/>
        <v>158.58571994474732</v>
      </c>
      <c r="H49" s="41">
        <f t="shared" si="10"/>
        <v>158.58571994474732</v>
      </c>
      <c r="I49" s="39">
        <f>SUM(H$3:H49)/COUNT(H$3:H49)</f>
        <v>376.18378033774826</v>
      </c>
      <c r="J49" s="39">
        <f>SUM(G$3:G49)/I49</f>
        <v>0.19709148062696222</v>
      </c>
      <c r="K49" s="40">
        <f t="shared" si="11"/>
        <v>15227.636243918369</v>
      </c>
      <c r="L49" s="39">
        <f>SQRT(SUM(K$3:K49)/(COUNT(K$3:K49)-1))</f>
        <v>528.34768113912344</v>
      </c>
    </row>
    <row r="50" spans="1:12" x14ac:dyDescent="0.2">
      <c r="A50" s="2">
        <f>[2]ArdiData!A50</f>
        <v>48</v>
      </c>
      <c r="B50" s="43" t="e">
        <f>#REF!</f>
        <v>#REF!</v>
      </c>
      <c r="C50" s="42">
        <v>5086.0787376555791</v>
      </c>
      <c r="D50" s="3">
        <f t="shared" si="6"/>
        <v>5968.9021243877432</v>
      </c>
      <c r="E50" s="42">
        <f t="shared" si="7"/>
        <v>-22.03803019630061</v>
      </c>
      <c r="F50" s="42">
        <f t="shared" si="8"/>
        <v>6189.6079710707836</v>
      </c>
      <c r="G50" s="41">
        <f t="shared" si="9"/>
        <v>-1103.5292334152045</v>
      </c>
      <c r="H50" s="41">
        <f t="shared" si="10"/>
        <v>1103.5292334152045</v>
      </c>
      <c r="I50" s="39">
        <f>SUM(H$3:H50)/COUNT(H$3:H50)</f>
        <v>391.33681061019524</v>
      </c>
      <c r="J50" s="39">
        <f>SUM(G$3:G50)/I50</f>
        <v>-2.630436461000206</v>
      </c>
      <c r="K50" s="40">
        <f t="shared" si="11"/>
        <v>1296671.0414401644</v>
      </c>
      <c r="L50" s="39">
        <f>SQRT(SUM(K$3:K50)/(COUNT(K$3:K50)-1))</f>
        <v>548.45294142540206</v>
      </c>
    </row>
    <row r="51" spans="1:12" x14ac:dyDescent="0.2">
      <c r="A51" s="2">
        <f>[2]ArdiData!A51</f>
        <v>49</v>
      </c>
      <c r="B51" s="43" t="e">
        <f>#REF!</f>
        <v>#REF!</v>
      </c>
      <c r="C51" s="42">
        <v>5256.5559094460787</v>
      </c>
      <c r="D51" s="3">
        <f t="shared" si="6"/>
        <v>5808.8024572423701</v>
      </c>
      <c r="E51" s="42">
        <f t="shared" si="7"/>
        <v>-104.87501236574413</v>
      </c>
      <c r="F51" s="42">
        <f t="shared" si="8"/>
        <v>5946.8640941914427</v>
      </c>
      <c r="G51" s="41">
        <f t="shared" si="9"/>
        <v>-690.30818474536409</v>
      </c>
      <c r="H51" s="41">
        <f t="shared" si="10"/>
        <v>690.30818474536409</v>
      </c>
      <c r="I51" s="39">
        <f>SUM(H$3:H51)/COUNT(H$3:H51)</f>
        <v>397.43826722519873</v>
      </c>
      <c r="J51" s="39">
        <f>SUM(G$3:G51)/I51</f>
        <v>-4.3269482123912608</v>
      </c>
      <c r="K51" s="40">
        <f t="shared" si="11"/>
        <v>526340.95748953021</v>
      </c>
      <c r="L51" s="39">
        <f>SQRT(SUM(K$3:K51)/(COUNT(K$3:K51)-1))</f>
        <v>552.71998860415636</v>
      </c>
    </row>
    <row r="52" spans="1:12" x14ac:dyDescent="0.2">
      <c r="A52" s="2">
        <f>[2]ArdiData!A52</f>
        <v>50</v>
      </c>
      <c r="B52" s="43" t="e">
        <f>#REF!</f>
        <v>#REF!</v>
      </c>
      <c r="C52" s="42">
        <v>5988.37014518462</v>
      </c>
      <c r="D52" s="3">
        <f t="shared" si="6"/>
        <v>5760.8159849382255</v>
      </c>
      <c r="E52" s="42">
        <f t="shared" si="7"/>
        <v>-70.741888328784427</v>
      </c>
      <c r="F52" s="42">
        <f t="shared" si="8"/>
        <v>5703.9274448766264</v>
      </c>
      <c r="G52" s="41">
        <f t="shared" si="9"/>
        <v>284.44270030799362</v>
      </c>
      <c r="H52" s="41">
        <f t="shared" si="10"/>
        <v>284.44270030799362</v>
      </c>
      <c r="I52" s="39">
        <f>SUM(H$3:H52)/COUNT(H$3:H52)</f>
        <v>395.1783558868546</v>
      </c>
      <c r="J52" s="39">
        <f>SUM(G$3:G52)/I52</f>
        <v>-3.6319096889225739</v>
      </c>
      <c r="K52" s="40">
        <f t="shared" si="11"/>
        <v>62129.196265612925</v>
      </c>
      <c r="L52" s="39">
        <f>SQRT(SUM(K$3:K52)/(COUNT(K$3:K52)-1))</f>
        <v>548.20858005014838</v>
      </c>
    </row>
    <row r="53" spans="1:12" x14ac:dyDescent="0.2">
      <c r="A53" s="2">
        <f>[2]ArdiData!A53</f>
        <v>51</v>
      </c>
      <c r="B53" s="43" t="e">
        <f>#REF!</f>
        <v>#REF!</v>
      </c>
      <c r="C53" s="42">
        <v>6526.7676661512296</v>
      </c>
      <c r="D53" s="3">
        <f t="shared" si="6"/>
        <v>5857.4128105177988</v>
      </c>
      <c r="E53" s="42">
        <f t="shared" si="7"/>
        <v>29.661340016230206</v>
      </c>
      <c r="F53" s="42">
        <f t="shared" si="8"/>
        <v>5690.0740966094409</v>
      </c>
      <c r="G53" s="41">
        <f t="shared" si="9"/>
        <v>836.69356954178875</v>
      </c>
      <c r="H53" s="41">
        <f t="shared" si="10"/>
        <v>836.69356954178875</v>
      </c>
      <c r="I53" s="39">
        <f>SUM(H$3:H53)/COUNT(H$3:H53)</f>
        <v>403.83551693891218</v>
      </c>
      <c r="J53" s="39">
        <f>SUM(G$3:G53)/I53</f>
        <v>-1.4821839708237325</v>
      </c>
      <c r="K53" s="40">
        <f t="shared" si="11"/>
        <v>642415.32818475238</v>
      </c>
      <c r="L53" s="39">
        <f>SQRT(SUM(K$3:K53)/(COUNT(K$3:K53)-1))</f>
        <v>554.40986720970511</v>
      </c>
    </row>
    <row r="54" spans="1:12" x14ac:dyDescent="0.2">
      <c r="A54" s="2">
        <f>[2]ArdiData!A54</f>
        <v>52</v>
      </c>
      <c r="B54" s="43" t="e">
        <f>#REF!</f>
        <v>#REF!</v>
      </c>
      <c r="C54" s="42">
        <v>5794.3331193675949</v>
      </c>
      <c r="D54" s="3">
        <f t="shared" si="6"/>
        <v>5868.5259443007435</v>
      </c>
      <c r="E54" s="42">
        <f t="shared" si="7"/>
        <v>18.53241627625891</v>
      </c>
      <c r="F54" s="42">
        <f t="shared" si="8"/>
        <v>5887.0741505340293</v>
      </c>
      <c r="G54" s="41">
        <f t="shared" si="9"/>
        <v>-92.741031166434368</v>
      </c>
      <c r="H54" s="41">
        <f t="shared" si="10"/>
        <v>92.741031166434368</v>
      </c>
      <c r="I54" s="39">
        <f>SUM(H$3:H54)/COUNT(H$3:H54)</f>
        <v>397.85293067405684</v>
      </c>
      <c r="J54" s="39">
        <f>SUM(G$3:G54)/I54</f>
        <v>-1.7375756414597252</v>
      </c>
      <c r="K54" s="40">
        <f t="shared" si="11"/>
        <v>16365.174609239999</v>
      </c>
      <c r="L54" s="39">
        <f>SQRT(SUM(K$3:K54)/(COUNT(K$3:K54)-1))</f>
        <v>549.2397636659523</v>
      </c>
    </row>
    <row r="55" spans="1:12" x14ac:dyDescent="0.2">
      <c r="A55" s="2">
        <f>[2]ArdiData!A55</f>
        <v>53</v>
      </c>
      <c r="B55" s="43" t="e">
        <f>#REF!</f>
        <v>#REF!</v>
      </c>
      <c r="C55" s="42">
        <v>5545.614554778329</v>
      </c>
      <c r="D55" s="3">
        <f t="shared" si="6"/>
        <v>5818.7695994172682</v>
      </c>
      <c r="E55" s="42">
        <f t="shared" si="7"/>
        <v>-22.440840419581626</v>
      </c>
      <c r="F55" s="42">
        <f t="shared" si="8"/>
        <v>5887.0583605770025</v>
      </c>
      <c r="G55" s="41">
        <f t="shared" si="9"/>
        <v>-341.44380579867357</v>
      </c>
      <c r="H55" s="41">
        <f t="shared" si="10"/>
        <v>341.44380579867357</v>
      </c>
      <c r="I55" s="39">
        <f>SUM(H$3:H55)/COUNT(H$3:H55)</f>
        <v>396.78860756320057</v>
      </c>
      <c r="J55" s="39">
        <f>SUM(G$3:G55)/I55</f>
        <v>-2.602754583514054</v>
      </c>
      <c r="K55" s="40">
        <f t="shared" si="11"/>
        <v>141849.56695779925</v>
      </c>
      <c r="L55" s="39">
        <f>SQRT(SUM(K$3:K55)/(COUNT(K$3:K55)-1))</f>
        <v>546.43476957000348</v>
      </c>
    </row>
    <row r="56" spans="1:12" x14ac:dyDescent="0.2">
      <c r="A56" s="2">
        <f>[2]ArdiData!A56</f>
        <v>54</v>
      </c>
      <c r="B56" s="43" t="e">
        <f>#REF!</f>
        <v>#REF!</v>
      </c>
      <c r="C56" s="42">
        <v>6272.3581433243171</v>
      </c>
      <c r="D56" s="3">
        <f t="shared" si="6"/>
        <v>5891.5346358630131</v>
      </c>
      <c r="E56" s="42">
        <f t="shared" si="7"/>
        <v>34.682685699614325</v>
      </c>
      <c r="F56" s="42">
        <f t="shared" si="8"/>
        <v>5796.3287589976862</v>
      </c>
      <c r="G56" s="41">
        <f t="shared" si="9"/>
        <v>476.02938432663086</v>
      </c>
      <c r="H56" s="41">
        <f t="shared" si="10"/>
        <v>476.02938432663086</v>
      </c>
      <c r="I56" s="39">
        <f>SUM(H$3:H56)/COUNT(H$3:H56)</f>
        <v>398.25602935511591</v>
      </c>
      <c r="J56" s="39">
        <f>SUM(G$3:G56)/I56</f>
        <v>-1.3978796092456376</v>
      </c>
      <c r="K56" s="40">
        <f t="shared" si="11"/>
        <v>194343.40880504763</v>
      </c>
      <c r="L56" s="39">
        <f>SQRT(SUM(K$3:K56)/(COUNT(K$3:K56)-1))</f>
        <v>544.63200651078773</v>
      </c>
    </row>
    <row r="57" spans="1:12" x14ac:dyDescent="0.2">
      <c r="A57" s="2">
        <f>[2]ArdiData!A57</f>
        <v>55</v>
      </c>
      <c r="B57" s="43" t="e">
        <f>#REF!</f>
        <v>#REF!</v>
      </c>
      <c r="C57" s="42">
        <v>5129.4309137141636</v>
      </c>
      <c r="D57" s="3">
        <f t="shared" si="6"/>
        <v>5766.8600399929346</v>
      </c>
      <c r="E57" s="42">
        <f t="shared" si="7"/>
        <v>-60.93168324220138</v>
      </c>
      <c r="F57" s="42">
        <f t="shared" si="8"/>
        <v>5926.2173215626271</v>
      </c>
      <c r="G57" s="41">
        <f t="shared" si="9"/>
        <v>-796.78640784846357</v>
      </c>
      <c r="H57" s="41">
        <f t="shared" si="10"/>
        <v>796.78640784846357</v>
      </c>
      <c r="I57" s="39">
        <f>SUM(H$3:H57)/COUNT(H$3:H57)</f>
        <v>405.50203623681313</v>
      </c>
      <c r="J57" s="39">
        <f>SUM(G$3:G57)/I57</f>
        <v>-3.3378387026216267</v>
      </c>
      <c r="K57" s="40">
        <f t="shared" si="11"/>
        <v>692177.10738324083</v>
      </c>
      <c r="L57" s="39">
        <f>SQRT(SUM(K$3:K57)/(COUNT(K$3:K57)-1))</f>
        <v>551.31577126283844</v>
      </c>
    </row>
    <row r="58" spans="1:12" x14ac:dyDescent="0.2">
      <c r="A58" s="2">
        <f>[2]ArdiData!A58</f>
        <v>56</v>
      </c>
      <c r="B58" s="43" t="e">
        <f>#REF!</f>
        <v>#REF!</v>
      </c>
      <c r="C58" s="42">
        <v>5666.7623903768372</v>
      </c>
      <c r="D58" s="3">
        <f t="shared" si="6"/>
        <v>5698.0951634759549</v>
      </c>
      <c r="E58" s="42">
        <f t="shared" si="7"/>
        <v>-65.631599207068376</v>
      </c>
      <c r="F58" s="42">
        <f t="shared" si="8"/>
        <v>5705.9283567507337</v>
      </c>
      <c r="G58" s="41">
        <f t="shared" si="9"/>
        <v>-39.165966373896481</v>
      </c>
      <c r="H58" s="41">
        <f t="shared" si="10"/>
        <v>39.165966373896481</v>
      </c>
      <c r="I58" s="39">
        <f>SUM(H$3:H58)/COUNT(H$3:H58)</f>
        <v>398.96032070354676</v>
      </c>
      <c r="J58" s="39">
        <f>SUM(G$3:G58)/I58</f>
        <v>-3.4907390150005657</v>
      </c>
      <c r="K58" s="40">
        <f t="shared" si="11"/>
        <v>5528.1273196494303</v>
      </c>
      <c r="L58" s="39">
        <f>SQRT(SUM(K$3:K58)/(COUNT(K$3:K58)-1))</f>
        <v>546.37280692430852</v>
      </c>
    </row>
    <row r="59" spans="1:12" x14ac:dyDescent="0.2">
      <c r="A59" s="2">
        <f>[2]ArdiData!A59</f>
        <v>57</v>
      </c>
      <c r="B59" s="43" t="e">
        <f>#REF!</f>
        <v>#REF!</v>
      </c>
      <c r="C59" s="42">
        <v>6383.3602430207802</v>
      </c>
      <c r="D59" s="3">
        <f t="shared" si="6"/>
        <v>5782.6429000192647</v>
      </c>
      <c r="E59" s="42">
        <f t="shared" si="7"/>
        <v>24.476002243158554</v>
      </c>
      <c r="F59" s="42">
        <f t="shared" si="8"/>
        <v>5632.4635642688863</v>
      </c>
      <c r="G59" s="41">
        <f t="shared" si="9"/>
        <v>750.89667875189389</v>
      </c>
      <c r="H59" s="41">
        <f t="shared" si="10"/>
        <v>750.89667875189389</v>
      </c>
      <c r="I59" s="39">
        <f>SUM(H$3:H59)/COUNT(H$3:H59)</f>
        <v>405.13464277457041</v>
      </c>
      <c r="J59" s="39">
        <f>SUM(G$3:G59)/I59</f>
        <v>-1.5840898565719927</v>
      </c>
      <c r="K59" s="40">
        <f t="shared" si="11"/>
        <v>512242.61876532721</v>
      </c>
      <c r="L59" s="39">
        <f>SQRT(SUM(K$3:K59)/(COUNT(K$3:K59)-1))</f>
        <v>549.85421845272583</v>
      </c>
    </row>
    <row r="60" spans="1:12" x14ac:dyDescent="0.2">
      <c r="A60" s="2">
        <f>[2]ArdiData!A60</f>
        <v>58</v>
      </c>
      <c r="B60" s="43" t="e">
        <f>#REF!</f>
        <v>#REF!</v>
      </c>
      <c r="C60" s="42">
        <v>6421.0416971132518</v>
      </c>
      <c r="D60" s="3">
        <f t="shared" si="6"/>
        <v>5929.9034612325886</v>
      </c>
      <c r="E60" s="42">
        <f t="shared" si="7"/>
        <v>98.146737625257728</v>
      </c>
      <c r="F60" s="42">
        <f t="shared" si="8"/>
        <v>5807.118902262423</v>
      </c>
      <c r="G60" s="41">
        <f t="shared" si="9"/>
        <v>613.92279485082872</v>
      </c>
      <c r="H60" s="41">
        <f t="shared" si="10"/>
        <v>613.92279485082872</v>
      </c>
      <c r="I60" s="39">
        <f>SUM(H$3:H60)/COUNT(H$3:H60)</f>
        <v>408.73443850002315</v>
      </c>
      <c r="J60" s="39">
        <f>SUM(G$3:G60)/I60</f>
        <v>-6.8129525411361885E-2</v>
      </c>
      <c r="K60" s="40">
        <f t="shared" si="11"/>
        <v>334936.95944895776</v>
      </c>
      <c r="L60" s="39">
        <f>SQRT(SUM(K$3:K60)/(COUNT(K$3:K60)-1))</f>
        <v>550.3740037188652</v>
      </c>
    </row>
    <row r="61" spans="1:12" x14ac:dyDescent="0.2">
      <c r="A61" s="2">
        <f>[2]ArdiData!A61</f>
        <v>59</v>
      </c>
      <c r="B61" s="43" t="e">
        <f>#REF!</f>
        <v>#REF!</v>
      </c>
      <c r="C61" s="42">
        <v>6732.3029027761122</v>
      </c>
      <c r="D61" s="3">
        <f t="shared" si="6"/>
        <v>6168.9007396415</v>
      </c>
      <c r="E61" s="42">
        <f t="shared" si="7"/>
        <v>182.6570620954499</v>
      </c>
      <c r="F61" s="42">
        <f t="shared" si="8"/>
        <v>6028.0501988578462</v>
      </c>
      <c r="G61" s="41">
        <f t="shared" si="9"/>
        <v>704.25270391826598</v>
      </c>
      <c r="H61" s="41">
        <f t="shared" si="10"/>
        <v>704.25270391826598</v>
      </c>
      <c r="I61" s="39">
        <f>SUM(H$3:H61)/COUNT(H$3:H61)</f>
        <v>413.74322265965441</v>
      </c>
      <c r="J61" s="39">
        <f>SUM(G$3:G61)/I61</f>
        <v>1.6348444725108937</v>
      </c>
      <c r="K61" s="40">
        <f t="shared" si="11"/>
        <v>447651.04243269475</v>
      </c>
      <c r="L61" s="39">
        <f>SQRT(SUM(K$3:K61)/(COUNT(K$3:K61)-1))</f>
        <v>552.63645605743909</v>
      </c>
    </row>
    <row r="62" spans="1:12" x14ac:dyDescent="0.2">
      <c r="A62" s="2">
        <f>[2]ArdiData!A62</f>
        <v>60</v>
      </c>
      <c r="B62" s="43" t="e">
        <f>#REF!</f>
        <v>#REF!</v>
      </c>
      <c r="C62" s="42">
        <v>5383.813648815224</v>
      </c>
      <c r="D62" s="3">
        <f t="shared" si="6"/>
        <v>6158.0089711526052</v>
      </c>
      <c r="E62" s="42">
        <f t="shared" si="7"/>
        <v>66.527763744843114</v>
      </c>
      <c r="F62" s="42">
        <f t="shared" si="8"/>
        <v>6351.5578017369498</v>
      </c>
      <c r="G62" s="41">
        <f t="shared" si="9"/>
        <v>-967.7441529217258</v>
      </c>
      <c r="H62" s="41">
        <f t="shared" si="10"/>
        <v>967.7441529217258</v>
      </c>
      <c r="I62" s="39">
        <f>SUM(H$3:H62)/COUNT(H$3:H62)</f>
        <v>422.97657149735556</v>
      </c>
      <c r="J62" s="39">
        <f>SUM(G$3:G62)/I62</f>
        <v>-0.68878125161021431</v>
      </c>
      <c r="K62" s="40">
        <f t="shared" si="11"/>
        <v>1005867.7102186256</v>
      </c>
      <c r="L62" s="39">
        <f>SQRT(SUM(K$3:K62)/(COUNT(K$3:K62)-1))</f>
        <v>563.27548064890027</v>
      </c>
    </row>
    <row r="63" spans="1:12" x14ac:dyDescent="0.2">
      <c r="A63" s="2">
        <f>[2]ArdiData!A63</f>
        <v>61</v>
      </c>
      <c r="B63" s="43" t="e">
        <f>#REF!</f>
        <v>#REF!</v>
      </c>
      <c r="C63" s="42">
        <v>6306.029263075081</v>
      </c>
      <c r="D63" s="3">
        <f t="shared" si="6"/>
        <v>6240.8352405329751</v>
      </c>
      <c r="E63" s="42">
        <f t="shared" si="7"/>
        <v>76.306867126159204</v>
      </c>
      <c r="F63" s="42">
        <f t="shared" si="8"/>
        <v>6224.5367348974487</v>
      </c>
      <c r="G63" s="41">
        <f t="shared" si="9"/>
        <v>81.492528177632266</v>
      </c>
      <c r="H63" s="41">
        <f t="shared" si="10"/>
        <v>81.492528177632266</v>
      </c>
      <c r="I63" s="39">
        <f>SUM(H$3:H63)/COUNT(H$3:H63)</f>
        <v>417.37847242654038</v>
      </c>
      <c r="J63" s="39">
        <f>SUM(G$3:G63)/I63</f>
        <v>-0.50277102918154692</v>
      </c>
      <c r="K63" s="40">
        <f t="shared" si="11"/>
        <v>2144.3490998992256</v>
      </c>
      <c r="L63" s="39">
        <f>SQRT(SUM(K$3:K63)/(COUNT(K$3:K63)-1))</f>
        <v>558.59378663471591</v>
      </c>
    </row>
    <row r="64" spans="1:12" x14ac:dyDescent="0.2">
      <c r="A64" s="2">
        <f>[2]ArdiData!A64</f>
        <v>62</v>
      </c>
      <c r="B64" s="43" t="e">
        <f>#REF!</f>
        <v>#REF!</v>
      </c>
      <c r="C64" s="42">
        <v>6344.73822659077</v>
      </c>
      <c r="D64" s="3">
        <f t="shared" si="6"/>
        <v>6322.6613314454617</v>
      </c>
      <c r="E64" s="42">
        <f t="shared" si="7"/>
        <v>79.61840139795558</v>
      </c>
      <c r="F64" s="42">
        <f t="shared" si="8"/>
        <v>6317.1421076591341</v>
      </c>
      <c r="G64" s="41">
        <f t="shared" si="9"/>
        <v>27.596118931635829</v>
      </c>
      <c r="H64" s="41">
        <f t="shared" si="10"/>
        <v>27.596118931635829</v>
      </c>
      <c r="I64" s="39">
        <f>SUM(H$3:H64)/COUNT(H$3:H64)</f>
        <v>411.09166027339677</v>
      </c>
      <c r="J64" s="39">
        <f>SUM(G$3:G64)/I64</f>
        <v>-0.44333102035510163</v>
      </c>
      <c r="K64" s="40">
        <f t="shared" si="11"/>
        <v>57.597354328994768</v>
      </c>
      <c r="L64" s="39">
        <f>SQRT(SUM(K$3:K64)/(COUNT(K$3:K64)-1))</f>
        <v>553.99708091449918</v>
      </c>
    </row>
    <row r="65" spans="1:12" x14ac:dyDescent="0.2">
      <c r="A65" s="2">
        <f>[2]ArdiData!A65</f>
        <v>63</v>
      </c>
      <c r="B65" s="43" t="e">
        <f>#REF!</f>
        <v>#REF!</v>
      </c>
      <c r="C65" s="42">
        <v>6433.484918596806</v>
      </c>
      <c r="D65" s="3">
        <f t="shared" si="6"/>
        <v>6408.5207699940947</v>
      </c>
      <c r="E65" s="42">
        <f t="shared" si="7"/>
        <v>83.363023688362091</v>
      </c>
      <c r="F65" s="42">
        <f t="shared" si="8"/>
        <v>6402.2797328434172</v>
      </c>
      <c r="G65" s="41">
        <f t="shared" si="9"/>
        <v>31.205185753388832</v>
      </c>
      <c r="H65" s="41">
        <f t="shared" si="10"/>
        <v>31.205185753388832</v>
      </c>
      <c r="I65" s="39">
        <f>SUM(H$3:H65)/COUNT(H$3:H65)</f>
        <v>405.06171623339668</v>
      </c>
      <c r="J65" s="39">
        <f>SUM(G$3:G65)/I65</f>
        <v>-0.37289255785421366</v>
      </c>
      <c r="K65" s="40">
        <f t="shared" si="11"/>
        <v>15.842193134416243</v>
      </c>
      <c r="L65" s="39">
        <f>SQRT(SUM(K$3:K65)/(COUNT(K$3:K65)-1))</f>
        <v>549.51143325981809</v>
      </c>
    </row>
    <row r="66" spans="1:12" x14ac:dyDescent="0.2">
      <c r="A66" s="2">
        <f>[2]ArdiData!A66</f>
        <v>64</v>
      </c>
      <c r="B66" s="43" t="e">
        <f>#REF!</f>
        <v>#REF!</v>
      </c>
      <c r="C66" s="42">
        <v>7126.6521295344728</v>
      </c>
      <c r="D66" s="3">
        <f t="shared" si="6"/>
        <v>6618.8374608528602</v>
      </c>
      <c r="E66" s="42">
        <f t="shared" si="7"/>
        <v>159.53522399060412</v>
      </c>
      <c r="F66" s="42">
        <f t="shared" si="8"/>
        <v>6491.8837936824566</v>
      </c>
      <c r="G66" s="41">
        <f t="shared" si="9"/>
        <v>634.76833585201621</v>
      </c>
      <c r="H66" s="41">
        <f t="shared" si="10"/>
        <v>634.76833585201621</v>
      </c>
      <c r="I66" s="39">
        <f>SUM(H$3:H66)/COUNT(H$3:H66)</f>
        <v>408.65088216493757</v>
      </c>
      <c r="J66" s="39">
        <f>SUM(G$3:G66)/I66</f>
        <v>1.1837092675152703</v>
      </c>
      <c r="K66" s="40">
        <f t="shared" si="11"/>
        <v>359499.68375592289</v>
      </c>
      <c r="L66" s="39">
        <f>SQRT(SUM(K$3:K66)/(COUNT(K$3:K66)-1))</f>
        <v>550.34180189206938</v>
      </c>
    </row>
    <row r="67" spans="1:12" x14ac:dyDescent="0.2">
      <c r="A67" s="2">
        <f>[2]ArdiData!A67</f>
        <v>65</v>
      </c>
      <c r="B67" s="43" t="e">
        <f>#REF!</f>
        <v>#REF!</v>
      </c>
      <c r="C67" s="42">
        <v>7865.1338288516981</v>
      </c>
      <c r="D67" s="3">
        <f t="shared" ref="D67:D77" si="12">$N$1*C67+(1-$N$1)*F67</f>
        <v>6995.7249136451119</v>
      </c>
      <c r="E67" s="42">
        <f t="shared" ref="E67:E77" si="13">$N$2*(D67-D66)+(1-$N$2)*E66</f>
        <v>289.94656127159266</v>
      </c>
      <c r="F67" s="42">
        <f t="shared" ref="F67:F78" si="14">D66+E66</f>
        <v>6778.3726848434644</v>
      </c>
      <c r="G67" s="41">
        <f t="shared" ref="G67:G77" si="15">C67-F67</f>
        <v>1086.7611440082337</v>
      </c>
      <c r="H67" s="41">
        <f t="shared" ref="H67:H78" si="16">ABS(G67)</f>
        <v>1086.7611440082337</v>
      </c>
      <c r="I67" s="39">
        <f>SUM(H$3:H67)/COUNT(H$3:H67)</f>
        <v>419.0833477317575</v>
      </c>
      <c r="J67" s="39">
        <f>SUM(G$3:G67)/I67</f>
        <v>3.7474287368019708</v>
      </c>
      <c r="K67" s="40">
        <f t="shared" ref="K67:K77" si="17">(G67-$G$78)^2</f>
        <v>1105811.5222199268</v>
      </c>
      <c r="L67" s="39">
        <f>SQRT(SUM(K$3:K67)/(COUNT(K$3:K67)-1))</f>
        <v>561.62439841857861</v>
      </c>
    </row>
    <row r="68" spans="1:12" x14ac:dyDescent="0.2">
      <c r="A68" s="2">
        <f>[2]ArdiData!A68</f>
        <v>66</v>
      </c>
      <c r="B68" s="43" t="e">
        <f>#REF!</f>
        <v>#REF!</v>
      </c>
      <c r="C68" s="42">
        <v>7010.35704845092</v>
      </c>
      <c r="D68" s="3">
        <f t="shared" si="12"/>
        <v>7230.6085896235481</v>
      </c>
      <c r="E68" s="42">
        <f t="shared" si="13"/>
        <v>256.90883009569882</v>
      </c>
      <c r="F68" s="42">
        <f t="shared" si="14"/>
        <v>7285.6714749167049</v>
      </c>
      <c r="G68" s="41">
        <f t="shared" si="15"/>
        <v>-275.31442646578489</v>
      </c>
      <c r="H68" s="41">
        <f t="shared" si="16"/>
        <v>275.31442646578489</v>
      </c>
      <c r="I68" s="39">
        <f>SUM(H$3:H68)/COUNT(H$3:H68)</f>
        <v>416.90503074287915</v>
      </c>
      <c r="J68" s="39">
        <f>SUM(G$3:G68)/I68</f>
        <v>3.1066321066731284</v>
      </c>
      <c r="K68" s="40">
        <f t="shared" si="17"/>
        <v>96410.149075691224</v>
      </c>
      <c r="L68" s="39">
        <f>SQRT(SUM(K$3:K68)/(COUNT(K$3:K68)-1))</f>
        <v>558.61664166752325</v>
      </c>
    </row>
    <row r="69" spans="1:12" x14ac:dyDescent="0.2">
      <c r="A69" s="2">
        <f>[2]ArdiData!A69</f>
        <v>67</v>
      </c>
      <c r="B69" s="43" t="e">
        <f>#REF!</f>
        <v>#REF!</v>
      </c>
      <c r="C69" s="42">
        <v>9422.7261880039478</v>
      </c>
      <c r="D69" s="3">
        <f t="shared" si="12"/>
        <v>7874.5591733761876</v>
      </c>
      <c r="E69" s="42">
        <f t="shared" si="13"/>
        <v>489.13388228986321</v>
      </c>
      <c r="F69" s="42">
        <f t="shared" si="14"/>
        <v>7487.5174197192473</v>
      </c>
      <c r="G69" s="41">
        <f t="shared" si="15"/>
        <v>1935.2087682847005</v>
      </c>
      <c r="H69" s="41">
        <f t="shared" si="16"/>
        <v>1935.2087682847005</v>
      </c>
      <c r="I69" s="39">
        <f>SUM(H$3:H69)/COUNT(H$3:H69)</f>
        <v>439.56628055693619</v>
      </c>
      <c r="J69" s="39">
        <f>SUM(G$3:G69)/I69</f>
        <v>7.3490153023820293</v>
      </c>
      <c r="K69" s="40">
        <f t="shared" si="17"/>
        <v>3610088.7581698275</v>
      </c>
      <c r="L69" s="39">
        <f>SQRT(SUM(K$3:K69)/(COUNT(K$3:K69)-1))</f>
        <v>601.68330364956819</v>
      </c>
    </row>
    <row r="70" spans="1:12" x14ac:dyDescent="0.2">
      <c r="A70" s="2">
        <f>[2]ArdiData!A70</f>
        <v>68</v>
      </c>
      <c r="B70" s="43" t="e">
        <f>#REF!</f>
        <v>#REF!</v>
      </c>
      <c r="C70" s="42">
        <v>7040.5275765927445</v>
      </c>
      <c r="D70" s="3">
        <f t="shared" si="12"/>
        <v>8099.0599598513891</v>
      </c>
      <c r="E70" s="42">
        <f t="shared" si="13"/>
        <v>330.3540248010662</v>
      </c>
      <c r="F70" s="42">
        <f t="shared" si="14"/>
        <v>8363.69305566605</v>
      </c>
      <c r="G70" s="41">
        <f t="shared" si="15"/>
        <v>-1323.1654790733055</v>
      </c>
      <c r="H70" s="41">
        <f t="shared" si="16"/>
        <v>1323.1654790733055</v>
      </c>
      <c r="I70" s="39">
        <f>SUM(H$3:H70)/COUNT(H$3:H70)</f>
        <v>452.56038641747102</v>
      </c>
      <c r="J70" s="39">
        <f>SUM(G$3:G70)/I70</f>
        <v>4.2142748247334074</v>
      </c>
      <c r="K70" s="40">
        <f t="shared" si="17"/>
        <v>1845117.1406041181</v>
      </c>
      <c r="L70" s="39">
        <f>SQRT(SUM(K$3:K70)/(COUNT(K$3:K70)-1))</f>
        <v>619.80523904616064</v>
      </c>
    </row>
    <row r="71" spans="1:12" x14ac:dyDescent="0.2">
      <c r="A71" s="2">
        <f>[2]ArdiData!A71</f>
        <v>69</v>
      </c>
      <c r="B71" s="43" t="e">
        <f>#REF!</f>
        <v>#REF!</v>
      </c>
      <c r="C71" s="42">
        <v>9903.7758241325882</v>
      </c>
      <c r="D71" s="3">
        <f t="shared" si="12"/>
        <v>8724.2863525484827</v>
      </c>
      <c r="E71" s="42">
        <f t="shared" si="13"/>
        <v>507.27744553868263</v>
      </c>
      <c r="F71" s="42">
        <f t="shared" si="14"/>
        <v>8429.4139846524558</v>
      </c>
      <c r="G71" s="41">
        <f t="shared" si="15"/>
        <v>1474.3618394801324</v>
      </c>
      <c r="H71" s="41">
        <f t="shared" si="16"/>
        <v>1474.3618394801324</v>
      </c>
      <c r="I71" s="39">
        <f>SUM(H$3:H71)/COUNT(H$3:H71)</f>
        <v>467.3691031285241</v>
      </c>
      <c r="J71" s="39">
        <f>SUM(G$3:G71)/I71</f>
        <v>7.235342815763727</v>
      </c>
      <c r="K71" s="40">
        <f t="shared" si="17"/>
        <v>2071228.7922492027</v>
      </c>
      <c r="L71" s="39">
        <f>SQRT(SUM(K$3:K71)/(COUNT(K$3:K71)-1))</f>
        <v>639.50636516214115</v>
      </c>
    </row>
    <row r="72" spans="1:12" x14ac:dyDescent="0.2">
      <c r="A72" s="2">
        <f>[2]ArdiData!A72</f>
        <v>70</v>
      </c>
      <c r="B72" s="43" t="e">
        <f>#REF!</f>
        <v>#REF!</v>
      </c>
      <c r="C72" s="42">
        <v>7385.6932650971721</v>
      </c>
      <c r="D72" s="3">
        <f t="shared" si="12"/>
        <v>8862.3896914891666</v>
      </c>
      <c r="E72" s="42">
        <f t="shared" si="13"/>
        <v>285.77298157988338</v>
      </c>
      <c r="F72" s="42">
        <f t="shared" si="14"/>
        <v>9231.5637980871652</v>
      </c>
      <c r="G72" s="41">
        <f t="shared" si="15"/>
        <v>-1845.8705329899931</v>
      </c>
      <c r="H72" s="41">
        <f t="shared" si="16"/>
        <v>1845.8705329899931</v>
      </c>
      <c r="I72" s="39">
        <f>SUM(H$3:H72)/COUNT(H$3:H72)</f>
        <v>487.06198069797369</v>
      </c>
      <c r="J72" s="39">
        <f>SUM(G$3:G72)/I72</f>
        <v>3.1529973812371912</v>
      </c>
      <c r="K72" s="40">
        <f t="shared" si="17"/>
        <v>3538371.464477106</v>
      </c>
      <c r="L72" s="39">
        <f>SQRT(SUM(K$3:K72)/(COUNT(K$3:K72)-1))</f>
        <v>674.03416739305192</v>
      </c>
    </row>
    <row r="73" spans="1:12" x14ac:dyDescent="0.2">
      <c r="A73" s="2">
        <f>[2]ArdiData!A73</f>
        <v>71</v>
      </c>
      <c r="B73" s="43" t="e">
        <f>#REF!</f>
        <v>#REF!</v>
      </c>
      <c r="C73" s="42">
        <v>9011.9704290236768</v>
      </c>
      <c r="D73" s="3">
        <f t="shared" si="12"/>
        <v>9120.9242242599757</v>
      </c>
      <c r="E73" s="42">
        <f t="shared" si="13"/>
        <v>269.42991229443885</v>
      </c>
      <c r="F73" s="42">
        <f t="shared" si="14"/>
        <v>9148.1626730690496</v>
      </c>
      <c r="G73" s="41">
        <f t="shared" si="15"/>
        <v>-136.19224404537272</v>
      </c>
      <c r="H73" s="41">
        <f t="shared" si="16"/>
        <v>136.19224404537272</v>
      </c>
      <c r="I73" s="39">
        <f>SUM(H$3:H73)/COUNT(H$3:H73)</f>
        <v>482.1201534211765</v>
      </c>
      <c r="J73" s="39">
        <f>SUM(G$3:G73)/I73</f>
        <v>2.9028301257776583</v>
      </c>
      <c r="K73" s="40">
        <f t="shared" si="17"/>
        <v>29370.300654045848</v>
      </c>
      <c r="L73" s="39">
        <f>SQRT(SUM(K$3:K73)/(COUNT(K$3:K73)-1))</f>
        <v>669.51573499879032</v>
      </c>
    </row>
    <row r="74" spans="1:12" x14ac:dyDescent="0.2">
      <c r="A74" s="2">
        <f>[2]ArdiData!A74</f>
        <v>72</v>
      </c>
      <c r="B74" s="43" t="e">
        <f>#REF!</f>
        <v>#REF!</v>
      </c>
      <c r="C74" s="42">
        <v>10014.199326672129</v>
      </c>
      <c r="D74" s="3">
        <f t="shared" si="12"/>
        <v>9515.1231745779587</v>
      </c>
      <c r="E74" s="42">
        <f t="shared" si="13"/>
        <v>344.29133510856531</v>
      </c>
      <c r="F74" s="42">
        <f t="shared" si="14"/>
        <v>9390.3541365544152</v>
      </c>
      <c r="G74" s="41">
        <f t="shared" si="15"/>
        <v>623.84519011771408</v>
      </c>
      <c r="H74" s="41">
        <f t="shared" si="16"/>
        <v>623.84519011771408</v>
      </c>
      <c r="I74" s="39">
        <f>SUM(H$3:H74)/COUNT(H$3:H74)</f>
        <v>484.08855670862835</v>
      </c>
      <c r="J74" s="39">
        <f>SUM(G$3:G74)/I74</f>
        <v>4.179727175271994</v>
      </c>
      <c r="K74" s="40">
        <f t="shared" si="17"/>
        <v>346520.33553307143</v>
      </c>
      <c r="L74" s="39">
        <f>SQRT(SUM(K$3:K74)/(COUNT(K$3:K74)-1))</f>
        <v>668.44482842799141</v>
      </c>
    </row>
    <row r="75" spans="1:12" x14ac:dyDescent="0.2">
      <c r="A75" s="2">
        <f>[2]ArdiData!A75</f>
        <v>73</v>
      </c>
      <c r="B75" s="43" t="e">
        <f>#REF!</f>
        <v>#REF!</v>
      </c>
      <c r="C75" s="42">
        <v>10910.3731121908</v>
      </c>
      <c r="D75" s="3">
        <f t="shared" si="12"/>
        <v>10069.606230187379</v>
      </c>
      <c r="E75" s="42">
        <f t="shared" si="13"/>
        <v>470.40636740907826</v>
      </c>
      <c r="F75" s="42">
        <f t="shared" si="14"/>
        <v>9859.4145096865232</v>
      </c>
      <c r="G75" s="41">
        <f t="shared" si="15"/>
        <v>1050.9586025042772</v>
      </c>
      <c r="H75" s="41">
        <f t="shared" si="16"/>
        <v>1050.9586025042772</v>
      </c>
      <c r="I75" s="39">
        <f>SUM(H$3:H75)/COUNT(H$3:H75)</f>
        <v>491.85389980171948</v>
      </c>
      <c r="J75" s="39">
        <f>SUM(G$3:G75)/I75</f>
        <v>6.2504672616337391</v>
      </c>
      <c r="K75" s="40">
        <f t="shared" si="17"/>
        <v>1031795.1765479931</v>
      </c>
      <c r="L75" s="39">
        <f>SQRT(SUM(K$3:K75)/(COUNT(K$3:K75)-1))</f>
        <v>674.49474784678841</v>
      </c>
    </row>
    <row r="76" spans="1:12" x14ac:dyDescent="0.2">
      <c r="A76" s="2">
        <f>[2]ArdiData!A76</f>
        <v>74</v>
      </c>
      <c r="B76" s="43" t="e">
        <f>#REF!</f>
        <v>#REF!</v>
      </c>
      <c r="C76" s="42">
        <v>8358.5918304447059</v>
      </c>
      <c r="D76" s="3">
        <f t="shared" si="12"/>
        <v>10103.728444166107</v>
      </c>
      <c r="E76" s="42">
        <f t="shared" si="13"/>
        <v>208.63587535086799</v>
      </c>
      <c r="F76" s="42">
        <f t="shared" si="14"/>
        <v>10540.012597596457</v>
      </c>
      <c r="G76" s="41">
        <f t="shared" si="15"/>
        <v>-2181.4207671517506</v>
      </c>
      <c r="H76" s="41">
        <f t="shared" si="16"/>
        <v>2181.4207671517506</v>
      </c>
      <c r="I76" s="39">
        <f>SUM(H$3:H76)/COUNT(H$3:H76)</f>
        <v>514.68588449563879</v>
      </c>
      <c r="J76" s="39">
        <f>SUM(G$3:G76)/I76</f>
        <v>1.734836641072375</v>
      </c>
      <c r="K76" s="40">
        <f t="shared" si="17"/>
        <v>4913342.9490877027</v>
      </c>
      <c r="L76" s="39">
        <f>SQRT(SUM(K$3:K76)/(COUNT(K$3:K76)-1))</f>
        <v>718.34332635563669</v>
      </c>
    </row>
    <row r="77" spans="1:12" x14ac:dyDescent="0.2">
      <c r="A77" s="2">
        <f>[2]ArdiData!A77</f>
        <v>75</v>
      </c>
      <c r="B77" s="43" t="e">
        <f>#REF!</f>
        <v>#REF!</v>
      </c>
      <c r="C77" s="42">
        <v>12058.374214587961</v>
      </c>
      <c r="D77" s="3">
        <f t="shared" si="12"/>
        <v>10661.566298531172</v>
      </c>
      <c r="E77" s="42">
        <f t="shared" si="13"/>
        <v>418.15706275938624</v>
      </c>
      <c r="F77" s="42">
        <f t="shared" si="14"/>
        <v>10312.364319516975</v>
      </c>
      <c r="G77" s="41">
        <f t="shared" si="15"/>
        <v>1746.0098950709853</v>
      </c>
      <c r="H77" s="41">
        <f t="shared" si="16"/>
        <v>1746.0098950709853</v>
      </c>
      <c r="I77" s="39">
        <f>SUM(H$3:H77)/COUNT(H$3:H77)</f>
        <v>531.10353796997686</v>
      </c>
      <c r="J77" s="39">
        <f>SUM(G$3:G77)/I77</f>
        <v>4.9687219863444785</v>
      </c>
      <c r="K77" s="40">
        <f t="shared" si="17"/>
        <v>2926920.4152448913</v>
      </c>
      <c r="L77" s="39">
        <f>SQRT(SUM(K$3:K77)/(COUNT(K$3:K77)-1))</f>
        <v>740.67328059241811</v>
      </c>
    </row>
    <row r="78" spans="1:12" x14ac:dyDescent="0.2">
      <c r="A78" s="2">
        <f>[2]ArdiData!A78</f>
        <v>0</v>
      </c>
      <c r="B78" s="38"/>
      <c r="C78" s="38"/>
      <c r="E78" s="42"/>
      <c r="F78" s="42">
        <f t="shared" si="14"/>
        <v>11079.723361290558</v>
      </c>
      <c r="G78" s="38">
        <f>AVERAGE(G3:G77)</f>
        <v>35.185411015156845</v>
      </c>
      <c r="H78" s="38">
        <f t="shared" si="16"/>
        <v>35.185411015156845</v>
      </c>
      <c r="I78" s="39">
        <f>1.25*I77</f>
        <v>663.8794224624711</v>
      </c>
      <c r="J78" s="39"/>
      <c r="K78" s="38"/>
      <c r="L78" s="38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1"/>
  <sheetViews>
    <sheetView zoomScale="98" zoomScaleNormal="98" workbookViewId="0">
      <selection activeCell="N48" sqref="N4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" t="str">
        <f>[2]ArdiData!A2</f>
        <v>Per.</v>
      </c>
      <c r="B1" s="54" t="s">
        <v>0</v>
      </c>
      <c r="C1" s="54" t="s">
        <v>74</v>
      </c>
      <c r="D1" s="54" t="s">
        <v>3</v>
      </c>
      <c r="E1" s="54" t="s">
        <v>2</v>
      </c>
      <c r="F1" s="54" t="s">
        <v>1</v>
      </c>
      <c r="G1" s="48" t="s">
        <v>73</v>
      </c>
      <c r="H1" s="54" t="s">
        <v>68</v>
      </c>
      <c r="I1" s="54" t="s">
        <v>72</v>
      </c>
      <c r="J1" s="46" t="s">
        <v>3</v>
      </c>
      <c r="K1" s="46" t="s">
        <v>2</v>
      </c>
      <c r="L1" s="47" t="s">
        <v>1</v>
      </c>
      <c r="M1" s="47" t="s">
        <v>24</v>
      </c>
      <c r="N1" s="3">
        <v>0.5</v>
      </c>
      <c r="O1" s="52" t="s">
        <v>65</v>
      </c>
      <c r="P1" s="45">
        <v>0.5</v>
      </c>
      <c r="Q1" s="3" t="str">
        <f>" F(next) ~ N ( "&amp;ROUND(I78,0)&amp;", "&amp;ROUND(1.25*L77,0)&amp;")"</f>
        <v xml:space="preserve"> F(next) ~ N ( 0, 0)</v>
      </c>
      <c r="T1" s="44"/>
    </row>
    <row r="2" spans="1:20" x14ac:dyDescent="0.2">
      <c r="A2" s="2">
        <v>0</v>
      </c>
      <c r="B2" s="6"/>
      <c r="C2" s="6"/>
      <c r="D2" s="6"/>
      <c r="E2" s="6"/>
      <c r="F2" s="6"/>
      <c r="I2" s="6"/>
      <c r="J2" s="46"/>
      <c r="K2" s="46"/>
      <c r="L2" s="47"/>
      <c r="M2" s="47"/>
      <c r="O2" s="52" t="s">
        <v>64</v>
      </c>
      <c r="P2" s="45">
        <v>0.5</v>
      </c>
      <c r="T2" s="44"/>
    </row>
    <row r="3" spans="1:20" x14ac:dyDescent="0.2">
      <c r="A3" s="2">
        <f>[2]ArdiData!A3</f>
        <v>1</v>
      </c>
      <c r="B3" s="42" t="e">
        <f>ROUND(#REF!/10,0)</f>
        <v>#REF!</v>
      </c>
      <c r="C3" s="42" t="e">
        <f>B3</f>
        <v>#REF!</v>
      </c>
      <c r="D3" s="6"/>
      <c r="E3" s="6"/>
      <c r="F3" s="6"/>
      <c r="G3" s="6" t="e">
        <f>INTERCEPT(B3:B23,A3:A23)</f>
        <v>#REF!</v>
      </c>
      <c r="H3" s="6" t="e">
        <f>SLOPE(B3:B23,A3:A23)</f>
        <v>#REF!</v>
      </c>
      <c r="I3" s="42" t="e">
        <f t="shared" ref="I3:I23" si="0">G3+H3</f>
        <v>#REF!</v>
      </c>
      <c r="J3" s="41" t="e">
        <f t="shared" ref="J3:J23" si="1">B3-I3</f>
        <v>#REF!</v>
      </c>
      <c r="K3" s="41" t="e">
        <f t="shared" ref="K3:K23" si="2">ABS(J3)</f>
        <v>#REF!</v>
      </c>
      <c r="L3" s="39" t="e">
        <f>AVERAGE($K$3:K3)</f>
        <v>#REF!</v>
      </c>
      <c r="M3" s="39" t="e">
        <f>SUM(J$3:J3)/L3</f>
        <v>#REF!</v>
      </c>
    </row>
    <row r="4" spans="1:20" x14ac:dyDescent="0.2">
      <c r="A4" s="2">
        <f>[2]ArdiData!A4</f>
        <v>2</v>
      </c>
      <c r="B4" s="42" t="e">
        <f>ROUND(#REF!/10,0)</f>
        <v>#REF!</v>
      </c>
      <c r="C4" s="57" t="e">
        <f t="shared" ref="C4:C23" si="3">(1-$N$1)*C3+$N$1*B3</f>
        <v>#REF!</v>
      </c>
      <c r="D4" s="6" t="e">
        <f t="shared" ref="D4:D23" si="4">B4-C4</f>
        <v>#REF!</v>
      </c>
      <c r="E4" s="6" t="e">
        <f t="shared" ref="E4:E23" si="5">ABS(D4)</f>
        <v>#REF!</v>
      </c>
      <c r="F4" s="6" t="e">
        <f>AVERAGE($E$4:E4)</f>
        <v>#REF!</v>
      </c>
      <c r="G4" s="3" t="e">
        <f t="shared" ref="G4:G23" si="6">(1-$P$1)*I3+$P$1*B3</f>
        <v>#REF!</v>
      </c>
      <c r="H4" s="42" t="e">
        <f t="shared" ref="H4:H23" si="7">(1-$P$2)*H3+$P$2*(B4-B3)</f>
        <v>#REF!</v>
      </c>
      <c r="I4" s="42" t="e">
        <f t="shared" si="0"/>
        <v>#REF!</v>
      </c>
      <c r="J4" s="41" t="e">
        <f t="shared" si="1"/>
        <v>#REF!</v>
      </c>
      <c r="K4" s="41" t="e">
        <f t="shared" si="2"/>
        <v>#REF!</v>
      </c>
      <c r="L4" s="39" t="e">
        <f>AVERAGE($K$3:K4)</f>
        <v>#REF!</v>
      </c>
      <c r="M4" s="39" t="e">
        <f>SUM(J$3:J4)/L4</f>
        <v>#REF!</v>
      </c>
      <c r="O4" s="51" t="e">
        <f>F23</f>
        <v>#REF!</v>
      </c>
    </row>
    <row r="5" spans="1:20" x14ac:dyDescent="0.2">
      <c r="A5" s="2">
        <f>[2]ArdiData!A5</f>
        <v>3</v>
      </c>
      <c r="B5" s="42" t="e">
        <f>ROUND(#REF!/10,0)</f>
        <v>#REF!</v>
      </c>
      <c r="C5" s="57" t="e">
        <f t="shared" si="3"/>
        <v>#REF!</v>
      </c>
      <c r="D5" s="6" t="e">
        <f t="shared" si="4"/>
        <v>#REF!</v>
      </c>
      <c r="E5" s="6" t="e">
        <f t="shared" si="5"/>
        <v>#REF!</v>
      </c>
      <c r="F5" s="6" t="e">
        <f>AVERAGE($E$4:E5)</f>
        <v>#REF!</v>
      </c>
      <c r="G5" s="3" t="e">
        <f t="shared" si="6"/>
        <v>#REF!</v>
      </c>
      <c r="H5" s="42" t="e">
        <f t="shared" si="7"/>
        <v>#REF!</v>
      </c>
      <c r="I5" s="42" t="e">
        <f t="shared" si="0"/>
        <v>#REF!</v>
      </c>
      <c r="J5" s="41" t="e">
        <f t="shared" si="1"/>
        <v>#REF!</v>
      </c>
      <c r="K5" s="41" t="e">
        <f t="shared" si="2"/>
        <v>#REF!</v>
      </c>
      <c r="L5" s="39" t="e">
        <f>AVERAGE($K$3:K5)</f>
        <v>#REF!</v>
      </c>
      <c r="M5" s="39" t="e">
        <f>SUM(J$3:J5)/L5</f>
        <v>#REF!</v>
      </c>
      <c r="N5" s="44">
        <f>L77</f>
        <v>0</v>
      </c>
      <c r="O5" s="3" t="e">
        <f t="dataTable" ref="O5:O15" dt2D="0" dtr="0" r1="N1"/>
        <v>#REF!</v>
      </c>
    </row>
    <row r="6" spans="1:20" x14ac:dyDescent="0.2">
      <c r="A6" s="2">
        <f>[2]ArdiData!A6</f>
        <v>4</v>
      </c>
      <c r="B6" s="42" t="e">
        <f>ROUND(#REF!/10,0)</f>
        <v>#REF!</v>
      </c>
      <c r="C6" s="57" t="e">
        <f t="shared" si="3"/>
        <v>#REF!</v>
      </c>
      <c r="D6" s="6" t="e">
        <f t="shared" si="4"/>
        <v>#REF!</v>
      </c>
      <c r="E6" s="6" t="e">
        <f t="shared" si="5"/>
        <v>#REF!</v>
      </c>
      <c r="F6" s="6" t="e">
        <f>AVERAGE($E$4:E6)</f>
        <v>#REF!</v>
      </c>
      <c r="G6" s="3" t="e">
        <f t="shared" si="6"/>
        <v>#REF!</v>
      </c>
      <c r="H6" s="42" t="e">
        <f t="shared" si="7"/>
        <v>#REF!</v>
      </c>
      <c r="I6" s="42" t="e">
        <f t="shared" si="0"/>
        <v>#REF!</v>
      </c>
      <c r="J6" s="41" t="e">
        <f t="shared" si="1"/>
        <v>#REF!</v>
      </c>
      <c r="K6" s="41" t="e">
        <f t="shared" si="2"/>
        <v>#REF!</v>
      </c>
      <c r="L6" s="39" t="e">
        <f>AVERAGE($K$3:K6)</f>
        <v>#REF!</v>
      </c>
      <c r="M6" s="39" t="e">
        <f>SUM(J$3:J6)/L6</f>
        <v>#REF!</v>
      </c>
      <c r="N6" s="3">
        <v>0.1</v>
      </c>
      <c r="O6" s="3" t="e">
        <v>#REF!</v>
      </c>
    </row>
    <row r="7" spans="1:20" x14ac:dyDescent="0.2">
      <c r="A7" s="2">
        <f>[2]ArdiData!A7</f>
        <v>5</v>
      </c>
      <c r="B7" s="42" t="e">
        <f>ROUND(#REF!/10,0)</f>
        <v>#REF!</v>
      </c>
      <c r="C7" s="57" t="e">
        <f t="shared" si="3"/>
        <v>#REF!</v>
      </c>
      <c r="D7" s="6" t="e">
        <f t="shared" si="4"/>
        <v>#REF!</v>
      </c>
      <c r="E7" s="6" t="e">
        <f t="shared" si="5"/>
        <v>#REF!</v>
      </c>
      <c r="F7" s="6" t="e">
        <f>AVERAGE($E$4:E7)</f>
        <v>#REF!</v>
      </c>
      <c r="G7" s="3" t="e">
        <f t="shared" si="6"/>
        <v>#REF!</v>
      </c>
      <c r="H7" s="42" t="e">
        <f t="shared" si="7"/>
        <v>#REF!</v>
      </c>
      <c r="I7" s="42" t="e">
        <f t="shared" si="0"/>
        <v>#REF!</v>
      </c>
      <c r="J7" s="41" t="e">
        <f t="shared" si="1"/>
        <v>#REF!</v>
      </c>
      <c r="K7" s="41" t="e">
        <f t="shared" si="2"/>
        <v>#REF!</v>
      </c>
      <c r="L7" s="39" t="e">
        <f>AVERAGE($K$3:K7)</f>
        <v>#REF!</v>
      </c>
      <c r="M7" s="39" t="e">
        <f>SUM(J$3:J7)/L7</f>
        <v>#REF!</v>
      </c>
      <c r="N7" s="3">
        <v>0.2</v>
      </c>
      <c r="O7" s="3" t="e">
        <v>#REF!</v>
      </c>
    </row>
    <row r="8" spans="1:20" x14ac:dyDescent="0.2">
      <c r="A8" s="2">
        <f>[2]ArdiData!A8</f>
        <v>6</v>
      </c>
      <c r="B8" s="42" t="e">
        <f>ROUND(#REF!/10,0)</f>
        <v>#REF!</v>
      </c>
      <c r="C8" s="57" t="e">
        <f t="shared" si="3"/>
        <v>#REF!</v>
      </c>
      <c r="D8" s="6" t="e">
        <f t="shared" si="4"/>
        <v>#REF!</v>
      </c>
      <c r="E8" s="6" t="e">
        <f t="shared" si="5"/>
        <v>#REF!</v>
      </c>
      <c r="F8" s="6" t="e">
        <f>AVERAGE($E$4:E8)</f>
        <v>#REF!</v>
      </c>
      <c r="G8" s="3" t="e">
        <f t="shared" si="6"/>
        <v>#REF!</v>
      </c>
      <c r="H8" s="42" t="e">
        <f t="shared" si="7"/>
        <v>#REF!</v>
      </c>
      <c r="I8" s="42" t="e">
        <f t="shared" si="0"/>
        <v>#REF!</v>
      </c>
      <c r="J8" s="41" t="e">
        <f t="shared" si="1"/>
        <v>#REF!</v>
      </c>
      <c r="K8" s="41" t="e">
        <f t="shared" si="2"/>
        <v>#REF!</v>
      </c>
      <c r="L8" s="39" t="e">
        <f>AVERAGE($K$3:K8)</f>
        <v>#REF!</v>
      </c>
      <c r="M8" s="39" t="e">
        <f>SUM(J$3:J8)/L8</f>
        <v>#REF!</v>
      </c>
      <c r="N8" s="3">
        <v>0.30000000000000004</v>
      </c>
      <c r="O8" s="3" t="e">
        <v>#REF!</v>
      </c>
    </row>
    <row r="9" spans="1:20" x14ac:dyDescent="0.2">
      <c r="A9" s="2">
        <f>[2]ArdiData!A9</f>
        <v>7</v>
      </c>
      <c r="B9" s="42" t="e">
        <f>ROUND(#REF!/10,0)</f>
        <v>#REF!</v>
      </c>
      <c r="C9" s="57" t="e">
        <f t="shared" si="3"/>
        <v>#REF!</v>
      </c>
      <c r="D9" s="6" t="e">
        <f t="shared" si="4"/>
        <v>#REF!</v>
      </c>
      <c r="E9" s="6" t="e">
        <f t="shared" si="5"/>
        <v>#REF!</v>
      </c>
      <c r="F9" s="6" t="e">
        <f>AVERAGE($E$4:E9)</f>
        <v>#REF!</v>
      </c>
      <c r="G9" s="3" t="e">
        <f t="shared" si="6"/>
        <v>#REF!</v>
      </c>
      <c r="H9" s="42" t="e">
        <f t="shared" si="7"/>
        <v>#REF!</v>
      </c>
      <c r="I9" s="42" t="e">
        <f t="shared" si="0"/>
        <v>#REF!</v>
      </c>
      <c r="J9" s="41" t="e">
        <f t="shared" si="1"/>
        <v>#REF!</v>
      </c>
      <c r="K9" s="41" t="e">
        <f t="shared" si="2"/>
        <v>#REF!</v>
      </c>
      <c r="L9" s="39" t="e">
        <f>AVERAGE($K$3:K9)</f>
        <v>#REF!</v>
      </c>
      <c r="M9" s="39" t="e">
        <f>SUM(J$3:J9)/L9</f>
        <v>#REF!</v>
      </c>
      <c r="N9" s="3">
        <v>0.4</v>
      </c>
      <c r="O9" s="3" t="e">
        <v>#REF!</v>
      </c>
    </row>
    <row r="10" spans="1:20" x14ac:dyDescent="0.2">
      <c r="A10" s="2">
        <f>[2]ArdiData!A10</f>
        <v>8</v>
      </c>
      <c r="B10" s="42" t="e">
        <f>ROUND(#REF!/10,0)</f>
        <v>#REF!</v>
      </c>
      <c r="C10" s="57" t="e">
        <f t="shared" si="3"/>
        <v>#REF!</v>
      </c>
      <c r="D10" s="6" t="e">
        <f t="shared" si="4"/>
        <v>#REF!</v>
      </c>
      <c r="E10" s="6" t="e">
        <f t="shared" si="5"/>
        <v>#REF!</v>
      </c>
      <c r="F10" s="6" t="e">
        <f>AVERAGE($E$4:E10)</f>
        <v>#REF!</v>
      </c>
      <c r="G10" s="3" t="e">
        <f t="shared" si="6"/>
        <v>#REF!</v>
      </c>
      <c r="H10" s="42" t="e">
        <f t="shared" si="7"/>
        <v>#REF!</v>
      </c>
      <c r="I10" s="42" t="e">
        <f t="shared" si="0"/>
        <v>#REF!</v>
      </c>
      <c r="J10" s="41" t="e">
        <f t="shared" si="1"/>
        <v>#REF!</v>
      </c>
      <c r="K10" s="41" t="e">
        <f t="shared" si="2"/>
        <v>#REF!</v>
      </c>
      <c r="L10" s="39" t="e">
        <f>AVERAGE($K$3:K10)</f>
        <v>#REF!</v>
      </c>
      <c r="M10" s="39" t="e">
        <f>SUM(J$3:J10)/L10</f>
        <v>#REF!</v>
      </c>
      <c r="N10" s="3">
        <v>0.5</v>
      </c>
      <c r="O10" s="3" t="e">
        <v>#REF!</v>
      </c>
    </row>
    <row r="11" spans="1:20" x14ac:dyDescent="0.2">
      <c r="A11" s="2">
        <f>[2]ArdiData!A11</f>
        <v>9</v>
      </c>
      <c r="B11" s="42" t="e">
        <f>ROUND(#REF!/10,0)</f>
        <v>#REF!</v>
      </c>
      <c r="C11" s="57" t="e">
        <f t="shared" si="3"/>
        <v>#REF!</v>
      </c>
      <c r="D11" s="6" t="e">
        <f t="shared" si="4"/>
        <v>#REF!</v>
      </c>
      <c r="E11" s="6" t="e">
        <f t="shared" si="5"/>
        <v>#REF!</v>
      </c>
      <c r="F11" s="6" t="e">
        <f>AVERAGE($E$4:E11)</f>
        <v>#REF!</v>
      </c>
      <c r="G11" s="3" t="e">
        <f t="shared" si="6"/>
        <v>#REF!</v>
      </c>
      <c r="H11" s="42" t="e">
        <f t="shared" si="7"/>
        <v>#REF!</v>
      </c>
      <c r="I11" s="42" t="e">
        <f t="shared" si="0"/>
        <v>#REF!</v>
      </c>
      <c r="J11" s="41" t="e">
        <f t="shared" si="1"/>
        <v>#REF!</v>
      </c>
      <c r="K11" s="41" t="e">
        <f t="shared" si="2"/>
        <v>#REF!</v>
      </c>
      <c r="L11" s="39" t="e">
        <f>AVERAGE($K$3:K11)</f>
        <v>#REF!</v>
      </c>
      <c r="M11" s="39" t="e">
        <f>SUM(J$3:J11)/L11</f>
        <v>#REF!</v>
      </c>
      <c r="N11" s="3">
        <v>0.6</v>
      </c>
      <c r="O11" s="3" t="e">
        <v>#REF!</v>
      </c>
    </row>
    <row r="12" spans="1:20" x14ac:dyDescent="0.2">
      <c r="A12" s="2">
        <f>[2]ArdiData!A12</f>
        <v>10</v>
      </c>
      <c r="B12" s="42" t="e">
        <f>ROUND(#REF!/10,0)</f>
        <v>#REF!</v>
      </c>
      <c r="C12" s="57" t="e">
        <f t="shared" si="3"/>
        <v>#REF!</v>
      </c>
      <c r="D12" s="6" t="e">
        <f t="shared" si="4"/>
        <v>#REF!</v>
      </c>
      <c r="E12" s="6" t="e">
        <f t="shared" si="5"/>
        <v>#REF!</v>
      </c>
      <c r="F12" s="6" t="e">
        <f>AVERAGE($E$4:E12)</f>
        <v>#REF!</v>
      </c>
      <c r="G12" s="3" t="e">
        <f t="shared" si="6"/>
        <v>#REF!</v>
      </c>
      <c r="H12" s="42" t="e">
        <f t="shared" si="7"/>
        <v>#REF!</v>
      </c>
      <c r="I12" s="42" t="e">
        <f t="shared" si="0"/>
        <v>#REF!</v>
      </c>
      <c r="J12" s="41" t="e">
        <f t="shared" si="1"/>
        <v>#REF!</v>
      </c>
      <c r="K12" s="41" t="e">
        <f t="shared" si="2"/>
        <v>#REF!</v>
      </c>
      <c r="L12" s="39" t="e">
        <f>AVERAGE($K$3:K12)</f>
        <v>#REF!</v>
      </c>
      <c r="M12" s="39" t="e">
        <f>SUM(J$3:J12)/L12</f>
        <v>#REF!</v>
      </c>
      <c r="N12" s="3">
        <v>0.70000000000000007</v>
      </c>
      <c r="O12" s="3" t="e">
        <v>#REF!</v>
      </c>
    </row>
    <row r="13" spans="1:20" x14ac:dyDescent="0.2">
      <c r="A13" s="2">
        <f>[2]ArdiData!A13</f>
        <v>11</v>
      </c>
      <c r="B13" s="42" t="e">
        <f>ROUND(#REF!/10,0)</f>
        <v>#REF!</v>
      </c>
      <c r="C13" s="57" t="e">
        <f t="shared" si="3"/>
        <v>#REF!</v>
      </c>
      <c r="D13" s="6" t="e">
        <f t="shared" si="4"/>
        <v>#REF!</v>
      </c>
      <c r="E13" s="6" t="e">
        <f t="shared" si="5"/>
        <v>#REF!</v>
      </c>
      <c r="F13" s="6" t="e">
        <f>AVERAGE($E$4:E13)</f>
        <v>#REF!</v>
      </c>
      <c r="G13" s="3" t="e">
        <f t="shared" si="6"/>
        <v>#REF!</v>
      </c>
      <c r="H13" s="42" t="e">
        <f t="shared" si="7"/>
        <v>#REF!</v>
      </c>
      <c r="I13" s="42" t="e">
        <f t="shared" si="0"/>
        <v>#REF!</v>
      </c>
      <c r="J13" s="41" t="e">
        <f t="shared" si="1"/>
        <v>#REF!</v>
      </c>
      <c r="K13" s="41" t="e">
        <f t="shared" si="2"/>
        <v>#REF!</v>
      </c>
      <c r="L13" s="39" t="e">
        <f>AVERAGE($K$3:K13)</f>
        <v>#REF!</v>
      </c>
      <c r="M13" s="39" t="e">
        <f>SUM(J$3:J13)/L13</f>
        <v>#REF!</v>
      </c>
      <c r="N13" s="3">
        <v>0.8</v>
      </c>
      <c r="O13" s="3" t="e">
        <v>#REF!</v>
      </c>
    </row>
    <row r="14" spans="1:20" x14ac:dyDescent="0.2">
      <c r="A14" s="2">
        <f>[2]ArdiData!A14</f>
        <v>12</v>
      </c>
      <c r="B14" s="42" t="e">
        <f>ROUND(#REF!/10,0)</f>
        <v>#REF!</v>
      </c>
      <c r="C14" s="57" t="e">
        <f t="shared" si="3"/>
        <v>#REF!</v>
      </c>
      <c r="D14" s="6" t="e">
        <f t="shared" si="4"/>
        <v>#REF!</v>
      </c>
      <c r="E14" s="6" t="e">
        <f t="shared" si="5"/>
        <v>#REF!</v>
      </c>
      <c r="F14" s="6" t="e">
        <f>AVERAGE($E$4:E14)</f>
        <v>#REF!</v>
      </c>
      <c r="G14" s="3" t="e">
        <f t="shared" si="6"/>
        <v>#REF!</v>
      </c>
      <c r="H14" s="42" t="e">
        <f t="shared" si="7"/>
        <v>#REF!</v>
      </c>
      <c r="I14" s="42" t="e">
        <f t="shared" si="0"/>
        <v>#REF!</v>
      </c>
      <c r="J14" s="41" t="e">
        <f t="shared" si="1"/>
        <v>#REF!</v>
      </c>
      <c r="K14" s="41" t="e">
        <f t="shared" si="2"/>
        <v>#REF!</v>
      </c>
      <c r="L14" s="39" t="e">
        <f>AVERAGE($K$3:K14)</f>
        <v>#REF!</v>
      </c>
      <c r="M14" s="39" t="e">
        <f>SUM(J$3:J14)/L14</f>
        <v>#REF!</v>
      </c>
      <c r="N14" s="3">
        <v>0.9</v>
      </c>
      <c r="O14" s="3" t="e">
        <v>#REF!</v>
      </c>
    </row>
    <row r="15" spans="1:20" x14ac:dyDescent="0.2">
      <c r="A15" s="2">
        <f>[2]ArdiData!A15</f>
        <v>13</v>
      </c>
      <c r="B15" s="42" t="e">
        <f>ROUND(#REF!/10,0)</f>
        <v>#REF!</v>
      </c>
      <c r="C15" s="57" t="e">
        <f t="shared" si="3"/>
        <v>#REF!</v>
      </c>
      <c r="D15" s="6" t="e">
        <f t="shared" si="4"/>
        <v>#REF!</v>
      </c>
      <c r="E15" s="6" t="e">
        <f t="shared" si="5"/>
        <v>#REF!</v>
      </c>
      <c r="F15" s="6" t="e">
        <f>AVERAGE($E$4:E15)</f>
        <v>#REF!</v>
      </c>
      <c r="G15" s="3" t="e">
        <f t="shared" si="6"/>
        <v>#REF!</v>
      </c>
      <c r="H15" s="42" t="e">
        <f t="shared" si="7"/>
        <v>#REF!</v>
      </c>
      <c r="I15" s="42" t="e">
        <f t="shared" si="0"/>
        <v>#REF!</v>
      </c>
      <c r="J15" s="41" t="e">
        <f t="shared" si="1"/>
        <v>#REF!</v>
      </c>
      <c r="K15" s="41" t="e">
        <f t="shared" si="2"/>
        <v>#REF!</v>
      </c>
      <c r="L15" s="39" t="e">
        <f>AVERAGE($K$3:K15)</f>
        <v>#REF!</v>
      </c>
      <c r="M15" s="39" t="e">
        <f>SUM(J$3:J15)/L15</f>
        <v>#REF!</v>
      </c>
      <c r="N15" s="3">
        <v>1</v>
      </c>
      <c r="O15" s="3" t="e">
        <v>#REF!</v>
      </c>
    </row>
    <row r="16" spans="1:20" x14ac:dyDescent="0.2">
      <c r="A16" s="2">
        <f>[2]ArdiData!A16</f>
        <v>14</v>
      </c>
      <c r="B16" s="42" t="e">
        <f>ROUND(#REF!/10,0)</f>
        <v>#REF!</v>
      </c>
      <c r="C16" s="57" t="e">
        <f t="shared" si="3"/>
        <v>#REF!</v>
      </c>
      <c r="D16" s="6" t="e">
        <f t="shared" si="4"/>
        <v>#REF!</v>
      </c>
      <c r="E16" s="6" t="e">
        <f t="shared" si="5"/>
        <v>#REF!</v>
      </c>
      <c r="F16" s="6" t="e">
        <f>AVERAGE($E$4:E16)</f>
        <v>#REF!</v>
      </c>
      <c r="G16" s="3" t="e">
        <f t="shared" si="6"/>
        <v>#REF!</v>
      </c>
      <c r="H16" s="42" t="e">
        <f t="shared" si="7"/>
        <v>#REF!</v>
      </c>
      <c r="I16" s="42" t="e">
        <f t="shared" si="0"/>
        <v>#REF!</v>
      </c>
      <c r="J16" s="41" t="e">
        <f t="shared" si="1"/>
        <v>#REF!</v>
      </c>
      <c r="K16" s="41" t="e">
        <f t="shared" si="2"/>
        <v>#REF!</v>
      </c>
      <c r="L16" s="39" t="e">
        <f>AVERAGE($K$3:K16)</f>
        <v>#REF!</v>
      </c>
      <c r="M16" s="39" t="e">
        <f>SUM(J$3:J16)/L16</f>
        <v>#REF!</v>
      </c>
      <c r="N16" s="3" t="e">
        <f>MIN(O5:O15)</f>
        <v>#REF!</v>
      </c>
    </row>
    <row r="17" spans="1:26" x14ac:dyDescent="0.2">
      <c r="A17" s="2">
        <f>[2]ArdiData!A17</f>
        <v>15</v>
      </c>
      <c r="B17" s="42" t="e">
        <f>ROUND(#REF!/10,0)</f>
        <v>#REF!</v>
      </c>
      <c r="C17" s="57" t="e">
        <f t="shared" si="3"/>
        <v>#REF!</v>
      </c>
      <c r="D17" s="6" t="e">
        <f t="shared" si="4"/>
        <v>#REF!</v>
      </c>
      <c r="E17" s="6" t="e">
        <f t="shared" si="5"/>
        <v>#REF!</v>
      </c>
      <c r="F17" s="6" t="e">
        <f>AVERAGE($E$4:E17)</f>
        <v>#REF!</v>
      </c>
      <c r="G17" s="3" t="e">
        <f t="shared" si="6"/>
        <v>#REF!</v>
      </c>
      <c r="H17" s="42" t="e">
        <f t="shared" si="7"/>
        <v>#REF!</v>
      </c>
      <c r="I17" s="42" t="e">
        <f t="shared" si="0"/>
        <v>#REF!</v>
      </c>
      <c r="J17" s="41" t="e">
        <f t="shared" si="1"/>
        <v>#REF!</v>
      </c>
      <c r="K17" s="41" t="e">
        <f t="shared" si="2"/>
        <v>#REF!</v>
      </c>
      <c r="L17" s="39" t="e">
        <f>AVERAGE($K$3:K17)</f>
        <v>#REF!</v>
      </c>
      <c r="M17" s="39" t="e">
        <f>SUM(J$3:J17)/L17</f>
        <v>#REF!</v>
      </c>
      <c r="N17" s="50" t="e">
        <f>L23</f>
        <v>#REF!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">
      <c r="A18" s="2">
        <f>[2]ArdiData!A18</f>
        <v>16</v>
      </c>
      <c r="B18" s="42" t="e">
        <f>ROUND(#REF!/10,0)</f>
        <v>#REF!</v>
      </c>
      <c r="C18" s="57" t="e">
        <f t="shared" si="3"/>
        <v>#REF!</v>
      </c>
      <c r="D18" s="6" t="e">
        <f t="shared" si="4"/>
        <v>#REF!</v>
      </c>
      <c r="E18" s="6" t="e">
        <f t="shared" si="5"/>
        <v>#REF!</v>
      </c>
      <c r="F18" s="6" t="e">
        <f>AVERAGE($E$4:E18)</f>
        <v>#REF!</v>
      </c>
      <c r="G18" s="3" t="e">
        <f t="shared" si="6"/>
        <v>#REF!</v>
      </c>
      <c r="H18" s="42" t="e">
        <f t="shared" si="7"/>
        <v>#REF!</v>
      </c>
      <c r="I18" s="42" t="e">
        <f t="shared" si="0"/>
        <v>#REF!</v>
      </c>
      <c r="J18" s="41" t="e">
        <f t="shared" si="1"/>
        <v>#REF!</v>
      </c>
      <c r="K18" s="41" t="e">
        <f t="shared" si="2"/>
        <v>#REF!</v>
      </c>
      <c r="L18" s="39" t="e">
        <f>AVERAGE($K$3:K18)</f>
        <v>#REF!</v>
      </c>
      <c r="M18" s="39" t="e">
        <f>SUM(J$3:J18)/L18</f>
        <v>#REF!</v>
      </c>
      <c r="N18" s="3">
        <v>0</v>
      </c>
      <c r="O18" s="3" t="e">
        <f t="dataTable" ref="O18:Y28" dt2D="1" dtr="1" r1="P2" r2="P1"/>
        <v>#REF!</v>
      </c>
      <c r="P18" s="3" t="e">
        <v>#REF!</v>
      </c>
      <c r="Q18" s="3" t="e">
        <v>#REF!</v>
      </c>
      <c r="R18" s="3" t="e">
        <v>#REF!</v>
      </c>
      <c r="S18" s="3" t="e">
        <v>#REF!</v>
      </c>
      <c r="T18" s="3" t="e">
        <v>#REF!</v>
      </c>
      <c r="U18" s="3" t="e">
        <v>#REF!</v>
      </c>
      <c r="V18" s="3" t="e">
        <v>#REF!</v>
      </c>
      <c r="W18" s="3" t="e">
        <v>#REF!</v>
      </c>
      <c r="X18" s="3" t="e">
        <v>#REF!</v>
      </c>
      <c r="Y18" s="3" t="e">
        <v>#REF!</v>
      </c>
    </row>
    <row r="19" spans="1:26" x14ac:dyDescent="0.2">
      <c r="A19" s="2">
        <f>[2]ArdiData!A19</f>
        <v>17</v>
      </c>
      <c r="B19" s="42" t="e">
        <f>ROUND(#REF!/10,0)</f>
        <v>#REF!</v>
      </c>
      <c r="C19" s="57" t="e">
        <f t="shared" si="3"/>
        <v>#REF!</v>
      </c>
      <c r="D19" s="6" t="e">
        <f t="shared" si="4"/>
        <v>#REF!</v>
      </c>
      <c r="E19" s="6" t="e">
        <f t="shared" si="5"/>
        <v>#REF!</v>
      </c>
      <c r="F19" s="6" t="e">
        <f>AVERAGE($E$4:E19)</f>
        <v>#REF!</v>
      </c>
      <c r="G19" s="3" t="e">
        <f t="shared" si="6"/>
        <v>#REF!</v>
      </c>
      <c r="H19" s="42" t="e">
        <f t="shared" si="7"/>
        <v>#REF!</v>
      </c>
      <c r="I19" s="42" t="e">
        <f t="shared" si="0"/>
        <v>#REF!</v>
      </c>
      <c r="J19" s="41" t="e">
        <f t="shared" si="1"/>
        <v>#REF!</v>
      </c>
      <c r="K19" s="41" t="e">
        <f t="shared" si="2"/>
        <v>#REF!</v>
      </c>
      <c r="L19" s="39" t="e">
        <f>AVERAGE($K$3:K19)</f>
        <v>#REF!</v>
      </c>
      <c r="M19" s="39" t="e">
        <f>SUM(J$3:J19)/L19</f>
        <v>#REF!</v>
      </c>
      <c r="N19" s="3">
        <v>0.1</v>
      </c>
      <c r="O19" s="3" t="e">
        <v>#REF!</v>
      </c>
      <c r="P19" s="3" t="e">
        <v>#REF!</v>
      </c>
      <c r="Q19" s="3" t="e">
        <v>#REF!</v>
      </c>
      <c r="R19" s="3" t="e">
        <v>#REF!</v>
      </c>
      <c r="S19" s="3" t="e">
        <v>#REF!</v>
      </c>
      <c r="T19" s="3" t="e">
        <v>#REF!</v>
      </c>
      <c r="U19" s="3" t="e">
        <v>#REF!</v>
      </c>
      <c r="V19" s="3" t="e">
        <v>#REF!</v>
      </c>
      <c r="W19" s="3" t="e">
        <v>#REF!</v>
      </c>
      <c r="X19" s="3" t="e">
        <v>#REF!</v>
      </c>
      <c r="Y19" s="3" t="e">
        <v>#REF!</v>
      </c>
    </row>
    <row r="20" spans="1:26" x14ac:dyDescent="0.2">
      <c r="A20" s="2">
        <f>[2]ArdiData!A20</f>
        <v>18</v>
      </c>
      <c r="B20" s="42" t="e">
        <f>ROUND(#REF!/10,0)</f>
        <v>#REF!</v>
      </c>
      <c r="C20" s="57" t="e">
        <f t="shared" si="3"/>
        <v>#REF!</v>
      </c>
      <c r="D20" s="6" t="e">
        <f t="shared" si="4"/>
        <v>#REF!</v>
      </c>
      <c r="E20" s="6" t="e">
        <f t="shared" si="5"/>
        <v>#REF!</v>
      </c>
      <c r="F20" s="6" t="e">
        <f>AVERAGE($E$4:E20)</f>
        <v>#REF!</v>
      </c>
      <c r="G20" s="3" t="e">
        <f t="shared" si="6"/>
        <v>#REF!</v>
      </c>
      <c r="H20" s="42" t="e">
        <f t="shared" si="7"/>
        <v>#REF!</v>
      </c>
      <c r="I20" s="42" t="e">
        <f t="shared" si="0"/>
        <v>#REF!</v>
      </c>
      <c r="J20" s="41" t="e">
        <f t="shared" si="1"/>
        <v>#REF!</v>
      </c>
      <c r="K20" s="41" t="e">
        <f t="shared" si="2"/>
        <v>#REF!</v>
      </c>
      <c r="L20" s="39" t="e">
        <f>AVERAGE($K$3:K20)</f>
        <v>#REF!</v>
      </c>
      <c r="M20" s="39" t="e">
        <f>SUM(J$3:J20)/L20</f>
        <v>#REF!</v>
      </c>
      <c r="N20" s="3">
        <v>0.2</v>
      </c>
      <c r="O20" s="3" t="e">
        <v>#REF!</v>
      </c>
      <c r="P20" s="3" t="e">
        <v>#REF!</v>
      </c>
      <c r="Q20" s="3" t="e">
        <v>#REF!</v>
      </c>
      <c r="R20" s="3" t="e">
        <v>#REF!</v>
      </c>
      <c r="S20" s="3" t="e">
        <v>#REF!</v>
      </c>
      <c r="T20" s="3" t="e">
        <v>#REF!</v>
      </c>
      <c r="U20" s="3" t="e">
        <v>#REF!</v>
      </c>
      <c r="V20" s="3" t="e">
        <v>#REF!</v>
      </c>
      <c r="W20" s="3" t="e">
        <v>#REF!</v>
      </c>
      <c r="X20" s="3" t="e">
        <v>#REF!</v>
      </c>
      <c r="Y20" s="3" t="e">
        <v>#REF!</v>
      </c>
    </row>
    <row r="21" spans="1:26" x14ac:dyDescent="0.2">
      <c r="A21" s="2">
        <f>[2]ArdiData!A21</f>
        <v>19</v>
      </c>
      <c r="B21" s="42" t="e">
        <f>ROUND(#REF!/10,0)</f>
        <v>#REF!</v>
      </c>
      <c r="C21" s="57" t="e">
        <f t="shared" si="3"/>
        <v>#REF!</v>
      </c>
      <c r="D21" s="6" t="e">
        <f t="shared" si="4"/>
        <v>#REF!</v>
      </c>
      <c r="E21" s="6" t="e">
        <f t="shared" si="5"/>
        <v>#REF!</v>
      </c>
      <c r="F21" s="6" t="e">
        <f>AVERAGE($E$4:E21)</f>
        <v>#REF!</v>
      </c>
      <c r="G21" s="3" t="e">
        <f t="shared" si="6"/>
        <v>#REF!</v>
      </c>
      <c r="H21" s="42" t="e">
        <f t="shared" si="7"/>
        <v>#REF!</v>
      </c>
      <c r="I21" s="42" t="e">
        <f t="shared" si="0"/>
        <v>#REF!</v>
      </c>
      <c r="J21" s="41" t="e">
        <f t="shared" si="1"/>
        <v>#REF!</v>
      </c>
      <c r="K21" s="41" t="e">
        <f t="shared" si="2"/>
        <v>#REF!</v>
      </c>
      <c r="L21" s="39" t="e">
        <f>AVERAGE($K$3:K21)</f>
        <v>#REF!</v>
      </c>
      <c r="M21" s="39" t="e">
        <f>SUM(J$3:J21)/L21</f>
        <v>#REF!</v>
      </c>
      <c r="N21" s="3">
        <v>0.3</v>
      </c>
      <c r="O21" s="3" t="e">
        <v>#REF!</v>
      </c>
      <c r="P21" s="3" t="e">
        <v>#REF!</v>
      </c>
      <c r="Q21" s="3" t="e">
        <v>#REF!</v>
      </c>
      <c r="R21" s="3" t="e">
        <v>#REF!</v>
      </c>
      <c r="S21" s="3" t="e">
        <v>#REF!</v>
      </c>
      <c r="T21" s="3" t="e">
        <v>#REF!</v>
      </c>
      <c r="U21" s="3" t="e">
        <v>#REF!</v>
      </c>
      <c r="V21" s="3" t="e">
        <v>#REF!</v>
      </c>
      <c r="W21" s="3" t="e">
        <v>#REF!</v>
      </c>
      <c r="X21" s="3" t="e">
        <v>#REF!</v>
      </c>
      <c r="Y21" s="3" t="e">
        <v>#REF!</v>
      </c>
    </row>
    <row r="22" spans="1:26" x14ac:dyDescent="0.2">
      <c r="A22" s="2">
        <f>[2]ArdiData!A22</f>
        <v>20</v>
      </c>
      <c r="B22" s="42" t="e">
        <f>ROUND(#REF!/10,0)</f>
        <v>#REF!</v>
      </c>
      <c r="C22" s="57" t="e">
        <f t="shared" si="3"/>
        <v>#REF!</v>
      </c>
      <c r="D22" s="6" t="e">
        <f t="shared" si="4"/>
        <v>#REF!</v>
      </c>
      <c r="E22" s="6" t="e">
        <f t="shared" si="5"/>
        <v>#REF!</v>
      </c>
      <c r="F22" s="6" t="e">
        <f>AVERAGE($E$4:E22)</f>
        <v>#REF!</v>
      </c>
      <c r="G22" s="3" t="e">
        <f t="shared" si="6"/>
        <v>#REF!</v>
      </c>
      <c r="H22" s="42" t="e">
        <f t="shared" si="7"/>
        <v>#REF!</v>
      </c>
      <c r="I22" s="42" t="e">
        <f t="shared" si="0"/>
        <v>#REF!</v>
      </c>
      <c r="J22" s="41" t="e">
        <f t="shared" si="1"/>
        <v>#REF!</v>
      </c>
      <c r="K22" s="41" t="e">
        <f t="shared" si="2"/>
        <v>#REF!</v>
      </c>
      <c r="L22" s="39" t="e">
        <f>AVERAGE($K$3:K22)</f>
        <v>#REF!</v>
      </c>
      <c r="M22" s="39" t="e">
        <f>SUM(J$3:J22)/L22</f>
        <v>#REF!</v>
      </c>
      <c r="N22" s="3">
        <v>0.4</v>
      </c>
      <c r="O22" s="3" t="e">
        <v>#REF!</v>
      </c>
      <c r="P22" s="3" t="e">
        <v>#REF!</v>
      </c>
      <c r="Q22" s="3" t="e">
        <v>#REF!</v>
      </c>
      <c r="R22" s="3" t="e">
        <v>#REF!</v>
      </c>
      <c r="S22" s="3" t="e">
        <v>#REF!</v>
      </c>
      <c r="T22" s="3" t="e">
        <v>#REF!</v>
      </c>
      <c r="U22" s="3" t="e">
        <v>#REF!</v>
      </c>
      <c r="V22" s="3" t="e">
        <v>#REF!</v>
      </c>
      <c r="W22" s="3" t="e">
        <v>#REF!</v>
      </c>
      <c r="X22" s="3" t="e">
        <v>#REF!</v>
      </c>
      <c r="Y22" s="3" t="e">
        <v>#REF!</v>
      </c>
    </row>
    <row r="23" spans="1:26" x14ac:dyDescent="0.2">
      <c r="A23" s="2">
        <f>[2]ArdiData!A23</f>
        <v>21</v>
      </c>
      <c r="B23" s="42" t="e">
        <f>ROUND(#REF!/10,0)</f>
        <v>#REF!</v>
      </c>
      <c r="C23" s="57" t="e">
        <f t="shared" si="3"/>
        <v>#REF!</v>
      </c>
      <c r="D23" s="6" t="e">
        <f t="shared" si="4"/>
        <v>#REF!</v>
      </c>
      <c r="E23" s="6" t="e">
        <f t="shared" si="5"/>
        <v>#REF!</v>
      </c>
      <c r="F23" s="56" t="e">
        <f>AVERAGE($E$4:E23)</f>
        <v>#REF!</v>
      </c>
      <c r="G23" s="3" t="e">
        <f t="shared" si="6"/>
        <v>#REF!</v>
      </c>
      <c r="H23" s="42" t="e">
        <f t="shared" si="7"/>
        <v>#REF!</v>
      </c>
      <c r="I23" s="42" t="e">
        <f t="shared" si="0"/>
        <v>#REF!</v>
      </c>
      <c r="J23" s="41" t="e">
        <f t="shared" si="1"/>
        <v>#REF!</v>
      </c>
      <c r="K23" s="41" t="e">
        <f t="shared" si="2"/>
        <v>#REF!</v>
      </c>
      <c r="L23" s="39" t="e">
        <f>AVERAGE($K$3:K23)</f>
        <v>#REF!</v>
      </c>
      <c r="M23" s="39" t="e">
        <f>SUM(J$3:J23)/L23</f>
        <v>#REF!</v>
      </c>
      <c r="N23" s="3">
        <v>0.5</v>
      </c>
      <c r="O23" s="3" t="e">
        <v>#REF!</v>
      </c>
      <c r="P23" s="3" t="e">
        <v>#REF!</v>
      </c>
      <c r="Q23" s="3" t="e">
        <v>#REF!</v>
      </c>
      <c r="R23" s="3" t="e">
        <v>#REF!</v>
      </c>
      <c r="S23" s="3" t="e">
        <v>#REF!</v>
      </c>
      <c r="T23" s="3" t="e">
        <v>#REF!</v>
      </c>
      <c r="U23" s="3" t="e">
        <v>#REF!</v>
      </c>
      <c r="V23" s="3" t="e">
        <v>#REF!</v>
      </c>
      <c r="W23" s="3" t="e">
        <v>#REF!</v>
      </c>
      <c r="X23" s="3" t="e">
        <v>#REF!</v>
      </c>
      <c r="Y23" s="3" t="e">
        <v>#REF!</v>
      </c>
    </row>
    <row r="24" spans="1:26" x14ac:dyDescent="0.2">
      <c r="N24" s="3">
        <v>0.6</v>
      </c>
      <c r="O24" s="3" t="e">
        <v>#REF!</v>
      </c>
      <c r="P24" s="3" t="e">
        <v>#REF!</v>
      </c>
      <c r="Q24" s="3" t="e">
        <v>#REF!</v>
      </c>
      <c r="R24" s="3" t="e">
        <v>#REF!</v>
      </c>
      <c r="S24" s="3" t="e">
        <v>#REF!</v>
      </c>
      <c r="T24" s="3" t="e">
        <v>#REF!</v>
      </c>
      <c r="U24" s="3" t="e">
        <v>#REF!</v>
      </c>
      <c r="V24" s="3" t="e">
        <v>#REF!</v>
      </c>
      <c r="W24" s="3" t="e">
        <v>#REF!</v>
      </c>
      <c r="X24" s="3" t="e">
        <v>#REF!</v>
      </c>
      <c r="Y24" s="3" t="e">
        <v>#REF!</v>
      </c>
    </row>
    <row r="25" spans="1:26" x14ac:dyDescent="0.2">
      <c r="N25" s="3">
        <v>0.7</v>
      </c>
      <c r="O25" s="3" t="e">
        <v>#REF!</v>
      </c>
      <c r="P25" s="3" t="e">
        <v>#REF!</v>
      </c>
      <c r="Q25" s="3" t="e">
        <v>#REF!</v>
      </c>
      <c r="R25" s="3" t="e">
        <v>#REF!</v>
      </c>
      <c r="S25" s="3" t="e">
        <v>#REF!</v>
      </c>
      <c r="T25" s="3" t="e">
        <v>#REF!</v>
      </c>
      <c r="U25" s="3" t="e">
        <v>#REF!</v>
      </c>
      <c r="V25" s="3" t="e">
        <v>#REF!</v>
      </c>
      <c r="W25" s="3" t="e">
        <v>#REF!</v>
      </c>
      <c r="X25" s="3" t="e">
        <v>#REF!</v>
      </c>
      <c r="Y25" s="3" t="e">
        <v>#REF!</v>
      </c>
    </row>
    <row r="26" spans="1:26" x14ac:dyDescent="0.2">
      <c r="N26" s="3">
        <v>0.8</v>
      </c>
      <c r="O26" s="3" t="e">
        <v>#REF!</v>
      </c>
      <c r="P26" s="3" t="e">
        <v>#REF!</v>
      </c>
      <c r="Q26" s="3" t="e">
        <v>#REF!</v>
      </c>
      <c r="R26" s="3" t="e">
        <v>#REF!</v>
      </c>
      <c r="S26" s="3" t="e">
        <v>#REF!</v>
      </c>
      <c r="T26" s="3" t="e">
        <v>#REF!</v>
      </c>
      <c r="U26" s="3" t="e">
        <v>#REF!</v>
      </c>
      <c r="V26" s="3" t="e">
        <v>#REF!</v>
      </c>
      <c r="W26" s="3" t="e">
        <v>#REF!</v>
      </c>
      <c r="X26" s="3" t="e">
        <v>#REF!</v>
      </c>
      <c r="Y26" s="3" t="e">
        <v>#REF!</v>
      </c>
    </row>
    <row r="27" spans="1:26" x14ac:dyDescent="0.2">
      <c r="N27" s="3">
        <v>0.9</v>
      </c>
      <c r="O27" s="3" t="e">
        <v>#REF!</v>
      </c>
      <c r="P27" s="3" t="e">
        <v>#REF!</v>
      </c>
      <c r="Q27" s="3" t="e">
        <v>#REF!</v>
      </c>
      <c r="R27" s="3" t="e">
        <v>#REF!</v>
      </c>
      <c r="S27" s="3" t="e">
        <v>#REF!</v>
      </c>
      <c r="T27" s="3" t="e">
        <v>#REF!</v>
      </c>
      <c r="U27" s="3" t="e">
        <v>#REF!</v>
      </c>
      <c r="V27" s="3" t="e">
        <v>#REF!</v>
      </c>
      <c r="W27" s="3" t="e">
        <v>#REF!</v>
      </c>
      <c r="X27" s="3" t="e">
        <v>#REF!</v>
      </c>
      <c r="Y27" s="3" t="e">
        <v>#REF!</v>
      </c>
    </row>
    <row r="28" spans="1:26" x14ac:dyDescent="0.2">
      <c r="C28" s="8" t="s">
        <v>71</v>
      </c>
      <c r="N28" s="3">
        <v>1</v>
      </c>
      <c r="O28" s="3" t="e">
        <v>#REF!</v>
      </c>
      <c r="P28" s="3" t="e">
        <v>#REF!</v>
      </c>
      <c r="Q28" s="3" t="e">
        <v>#REF!</v>
      </c>
      <c r="R28" s="3" t="e">
        <v>#REF!</v>
      </c>
      <c r="S28" s="3" t="e">
        <v>#REF!</v>
      </c>
      <c r="T28" s="3" t="e">
        <v>#REF!</v>
      </c>
      <c r="U28" s="3" t="e">
        <v>#REF!</v>
      </c>
      <c r="V28" s="3" t="e">
        <v>#REF!</v>
      </c>
      <c r="W28" s="3" t="e">
        <v>#REF!</v>
      </c>
      <c r="X28" s="3" t="e">
        <v>#REF!</v>
      </c>
      <c r="Y28" s="3" t="e">
        <v>#REF!</v>
      </c>
    </row>
    <row r="29" spans="1:26" x14ac:dyDescent="0.2">
      <c r="Z29" s="55" t="e">
        <f>MIN(O18:Y28)</f>
        <v>#REF!</v>
      </c>
    </row>
    <row r="30" spans="1:26" x14ac:dyDescent="0.2">
      <c r="G30" s="8" t="s">
        <v>70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sqref="A1:H13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74" t="s">
        <v>86</v>
      </c>
      <c r="B1" s="4">
        <v>1</v>
      </c>
      <c r="C1" s="73">
        <v>8000</v>
      </c>
    </row>
    <row r="2" spans="1:7" x14ac:dyDescent="0.25">
      <c r="A2" s="62" t="s">
        <v>85</v>
      </c>
      <c r="B2" s="5">
        <v>2</v>
      </c>
      <c r="C2" s="65">
        <v>13000</v>
      </c>
    </row>
    <row r="3" spans="1:7" x14ac:dyDescent="0.25">
      <c r="A3" s="62" t="s">
        <v>84</v>
      </c>
      <c r="B3" s="5">
        <v>3</v>
      </c>
      <c r="C3" s="65">
        <v>23000</v>
      </c>
      <c r="D3">
        <f t="shared" ref="D3:D10" si="0">(C1+2*(C2+C3+C4)+C5)/8</f>
        <v>19750</v>
      </c>
      <c r="E3" s="64">
        <f t="shared" ref="E3:E10" si="1">C3/D3</f>
        <v>1.1645569620253164</v>
      </c>
      <c r="F3" s="69">
        <f t="shared" ref="F3:F10" si="2">C3/D3</f>
        <v>1.1645569620253164</v>
      </c>
    </row>
    <row r="4" spans="1:7" x14ac:dyDescent="0.25">
      <c r="A4" s="62" t="s">
        <v>83</v>
      </c>
      <c r="B4" s="5">
        <v>4</v>
      </c>
      <c r="C4" s="65">
        <v>34000</v>
      </c>
      <c r="D4">
        <f t="shared" si="0"/>
        <v>20625</v>
      </c>
      <c r="E4" s="64">
        <f t="shared" si="1"/>
        <v>1.6484848484848484</v>
      </c>
      <c r="F4" s="67">
        <f t="shared" si="2"/>
        <v>1.6484848484848484</v>
      </c>
      <c r="G4" s="72">
        <f>(F4+F8)/2</f>
        <v>1.682999486389317</v>
      </c>
    </row>
    <row r="5" spans="1:7" x14ac:dyDescent="0.25">
      <c r="A5" s="62" t="s">
        <v>82</v>
      </c>
      <c r="B5" s="5">
        <v>5</v>
      </c>
      <c r="C5" s="65">
        <v>10000</v>
      </c>
      <c r="D5">
        <f t="shared" si="0"/>
        <v>21250</v>
      </c>
      <c r="E5" s="64">
        <f t="shared" si="1"/>
        <v>0.47058823529411764</v>
      </c>
      <c r="F5" s="66">
        <f t="shared" si="2"/>
        <v>0.47058823529411764</v>
      </c>
      <c r="G5" s="71">
        <f>(F5+F9)/2</f>
        <v>0.50048748781280472</v>
      </c>
    </row>
    <row r="6" spans="1:7" x14ac:dyDescent="0.25">
      <c r="A6" s="62" t="s">
        <v>81</v>
      </c>
      <c r="B6" s="5">
        <v>6</v>
      </c>
      <c r="C6" s="65">
        <v>18000</v>
      </c>
      <c r="D6">
        <f t="shared" si="0"/>
        <v>21750</v>
      </c>
      <c r="E6" s="64">
        <f t="shared" si="1"/>
        <v>0.82758620689655171</v>
      </c>
      <c r="F6" s="63">
        <f t="shared" si="2"/>
        <v>0.82758620689655171</v>
      </c>
      <c r="G6" s="70">
        <f>(F6+F10)/2</f>
        <v>0.68322315526174737</v>
      </c>
    </row>
    <row r="7" spans="1:7" x14ac:dyDescent="0.25">
      <c r="A7" s="62" t="s">
        <v>80</v>
      </c>
      <c r="B7" s="5">
        <v>7</v>
      </c>
      <c r="C7" s="65">
        <v>23000</v>
      </c>
      <c r="D7">
        <f t="shared" si="0"/>
        <v>22500</v>
      </c>
      <c r="E7" s="64">
        <f t="shared" si="1"/>
        <v>1.0222222222222221</v>
      </c>
      <c r="F7" s="69">
        <f t="shared" si="2"/>
        <v>1.0222222222222221</v>
      </c>
      <c r="G7" s="68">
        <f>(F7+F3)/2</f>
        <v>1.0933895921237693</v>
      </c>
    </row>
    <row r="8" spans="1:7" x14ac:dyDescent="0.25">
      <c r="A8" s="62" t="s">
        <v>79</v>
      </c>
      <c r="B8" s="5">
        <v>8</v>
      </c>
      <c r="C8" s="65">
        <v>38000</v>
      </c>
      <c r="D8">
        <f t="shared" si="0"/>
        <v>22125</v>
      </c>
      <c r="E8" s="64">
        <f t="shared" si="1"/>
        <v>1.7175141242937852</v>
      </c>
      <c r="F8" s="67">
        <f t="shared" si="2"/>
        <v>1.7175141242937852</v>
      </c>
    </row>
    <row r="9" spans="1:7" x14ac:dyDescent="0.25">
      <c r="A9" s="62" t="s">
        <v>78</v>
      </c>
      <c r="B9" s="5">
        <v>9</v>
      </c>
      <c r="C9" s="65">
        <v>12000</v>
      </c>
      <c r="D9">
        <f t="shared" si="0"/>
        <v>22625</v>
      </c>
      <c r="E9" s="64">
        <f t="shared" si="1"/>
        <v>0.53038674033149169</v>
      </c>
      <c r="F9" s="66">
        <f t="shared" si="2"/>
        <v>0.53038674033149169</v>
      </c>
    </row>
    <row r="10" spans="1:7" x14ac:dyDescent="0.25">
      <c r="A10" s="62" t="s">
        <v>77</v>
      </c>
      <c r="B10" s="5">
        <v>10</v>
      </c>
      <c r="C10" s="65">
        <v>13000</v>
      </c>
      <c r="D10">
        <f t="shared" si="0"/>
        <v>24125</v>
      </c>
      <c r="E10" s="64">
        <f t="shared" si="1"/>
        <v>0.53886010362694303</v>
      </c>
      <c r="F10" s="63">
        <f t="shared" si="2"/>
        <v>0.53886010362694303</v>
      </c>
    </row>
    <row r="11" spans="1:7" x14ac:dyDescent="0.25">
      <c r="A11" s="62" t="s">
        <v>76</v>
      </c>
      <c r="B11" s="5">
        <v>11</v>
      </c>
      <c r="C11" s="61">
        <v>32000</v>
      </c>
    </row>
    <row r="12" spans="1:7" ht="15.75" thickBot="1" x14ac:dyDescent="0.3">
      <c r="A12" s="60" t="s">
        <v>75</v>
      </c>
      <c r="B12" s="7">
        <v>12</v>
      </c>
      <c r="C12" s="59">
        <v>41000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0.ArdiData28Fixed</vt:lpstr>
      <vt:lpstr>Stationary</vt:lpstr>
      <vt:lpstr>Trend</vt:lpstr>
      <vt:lpstr>TrendAdj</vt:lpstr>
      <vt:lpstr>TrendAndSeas</vt:lpstr>
      <vt:lpstr>1.Trend&amp;Season</vt:lpstr>
      <vt:lpstr>0.Regression</vt:lpstr>
      <vt:lpstr>TrAdES</vt:lpstr>
      <vt:lpstr>TrAdES2</vt:lpstr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2021-02-03T14:07:28Z</dcterms:modified>
</cp:coreProperties>
</file>