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ink/ink1.xml" ContentType="application/inkml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Slides\"/>
    </mc:Choice>
  </mc:AlternateContent>
  <bookViews>
    <workbookView xWindow="0" yWindow="0" windowWidth="14715" windowHeight="5190"/>
  </bookViews>
  <sheets>
    <sheet name="1.Trend&amp;Season" sheetId="17" r:id="rId1"/>
    <sheet name="0.ArdiData" sheetId="9" r:id="rId2"/>
    <sheet name="0.Regression" sheetId="11" r:id="rId3"/>
    <sheet name="TrAdES" sheetId="14" r:id="rId4"/>
    <sheet name="TrAdES2" sheetId="15" r:id="rId5"/>
    <sheet name="Sheet1" sheetId="18" r:id="rId6"/>
  </sheets>
  <externalReferences>
    <externalReference r:id="rId7"/>
    <externalReference r:id="rId8"/>
  </externalReferences>
  <definedNames>
    <definedName name="solver_adj" localSheetId="2" hidden="1">'0.Regression'!$M$20:$M$21</definedName>
    <definedName name="solver_adj" localSheetId="3" hidden="1">TrAdES!$N$1:$N$2</definedName>
    <definedName name="solver_adj" localSheetId="4" hidden="1">TrAdES2!$P$1:$P$2</definedName>
    <definedName name="solver_cvg" localSheetId="2" hidden="1">0.0001</definedName>
    <definedName name="solver_cvg" localSheetId="3" hidden="1">0.0001</definedName>
    <definedName name="solver_cvg" localSheetId="4" hidden="1">0.0001</definedName>
    <definedName name="solver_drv" localSheetId="2" hidden="1">2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3" hidden="1">1</definedName>
    <definedName name="solver_eng" localSheetId="4" hidden="1">1</definedName>
    <definedName name="solver_est" localSheetId="2" hidden="1">1</definedName>
    <definedName name="solver_est" localSheetId="3" hidden="1">1</definedName>
    <definedName name="solver_est" localSheetId="4" hidden="1">1</definedName>
    <definedName name="solver_itr" localSheetId="2" hidden="1">2147483647</definedName>
    <definedName name="solver_itr" localSheetId="3" hidden="1">2147483647</definedName>
    <definedName name="solver_itr" localSheetId="4" hidden="1">2147483647</definedName>
    <definedName name="solver_lhs1" localSheetId="3" hidden="1">TrAdES!$N$1</definedName>
    <definedName name="solver_lhs1" localSheetId="4" hidden="1">TrAdES2!$P$1</definedName>
    <definedName name="solver_lhs2" localSheetId="3" hidden="1">TrAdES!$N$1</definedName>
    <definedName name="solver_lhs2" localSheetId="4" hidden="1">TrAdES2!$P$1</definedName>
    <definedName name="solver_mip" localSheetId="2" hidden="1">2147483647</definedName>
    <definedName name="solver_mip" localSheetId="3" hidden="1">2147483647</definedName>
    <definedName name="solver_mip" localSheetId="4" hidden="1">2147483647</definedName>
    <definedName name="solver_mni" localSheetId="2" hidden="1">30</definedName>
    <definedName name="solver_mni" localSheetId="3" hidden="1">30</definedName>
    <definedName name="solver_mni" localSheetId="4" hidden="1">30</definedName>
    <definedName name="solver_mrt" localSheetId="2" hidden="1">0.075</definedName>
    <definedName name="solver_mrt" localSheetId="3" hidden="1">0.075</definedName>
    <definedName name="solver_mrt" localSheetId="4" hidden="1">0.075</definedName>
    <definedName name="solver_msl" localSheetId="2" hidden="1">2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3" hidden="1">1</definedName>
    <definedName name="solver_neg" localSheetId="4" hidden="1">1</definedName>
    <definedName name="solver_nod" localSheetId="2" hidden="1">2147483647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wt" localSheetId="2" hidden="1">1</definedName>
    <definedName name="solver_nwt" localSheetId="3" hidden="1">1</definedName>
    <definedName name="solver_nwt" localSheetId="4" hidden="1">1</definedName>
    <definedName name="solver_opt" localSheetId="2" hidden="1">'0.Regression'!$M$22</definedName>
    <definedName name="solver_opt" localSheetId="3" hidden="1">TrAdES!$M$5</definedName>
    <definedName name="solver_opt" localSheetId="4" hidden="1">TrAdES2!$O$4</definedName>
    <definedName name="solver_pre" localSheetId="2" hidden="1">0.000001</definedName>
    <definedName name="solver_pre" localSheetId="3" hidden="1">0.000001</definedName>
    <definedName name="solver_pre" localSheetId="4" hidden="1">0.000001</definedName>
    <definedName name="solver_rbv" localSheetId="2" hidden="1">2</definedName>
    <definedName name="solver_rbv" localSheetId="3" hidden="1">1</definedName>
    <definedName name="solver_rbv" localSheetId="4" hidden="1">1</definedName>
    <definedName name="solver_rel1" localSheetId="3" hidden="1">1</definedName>
    <definedName name="solver_rel1" localSheetId="4" hidden="1">1</definedName>
    <definedName name="solver_rel2" localSheetId="3" hidden="1">3</definedName>
    <definedName name="solver_rel2" localSheetId="4" hidden="1">3</definedName>
    <definedName name="solver_rhs1" localSheetId="3" hidden="1">1</definedName>
    <definedName name="solver_rhs1" localSheetId="4" hidden="1">1</definedName>
    <definedName name="solver_rhs2" localSheetId="3" hidden="1">0</definedName>
    <definedName name="solver_rhs2" localSheetId="4" hidden="1">0</definedName>
    <definedName name="solver_rlx" localSheetId="2" hidden="1">2</definedName>
    <definedName name="solver_rlx" localSheetId="3" hidden="1">2</definedName>
    <definedName name="solver_rlx" localSheetId="4" hidden="1">2</definedName>
    <definedName name="solver_rsd" localSheetId="2" hidden="1">0</definedName>
    <definedName name="solver_rsd" localSheetId="3" hidden="1">0</definedName>
    <definedName name="solver_rsd" localSheetId="4" hidden="1">0</definedName>
    <definedName name="solver_scl" localSheetId="2" hidden="1">2</definedName>
    <definedName name="solver_scl" localSheetId="3" hidden="1">1</definedName>
    <definedName name="solver_scl" localSheetId="4" hidden="1">1</definedName>
    <definedName name="solver_sho" localSheetId="2" hidden="1">2</definedName>
    <definedName name="solver_sho" localSheetId="3" hidden="1">2</definedName>
    <definedName name="solver_sho" localSheetId="4" hidden="1">2</definedName>
    <definedName name="solver_ssz" localSheetId="2" hidden="1">100</definedName>
    <definedName name="solver_ssz" localSheetId="3" hidden="1">100</definedName>
    <definedName name="solver_ssz" localSheetId="4" hidden="1">100</definedName>
    <definedName name="solver_tim" localSheetId="2" hidden="1">2147483647</definedName>
    <definedName name="solver_tim" localSheetId="3" hidden="1">2147483647</definedName>
    <definedName name="solver_tim" localSheetId="4" hidden="1">2147483647</definedName>
    <definedName name="solver_tol" localSheetId="2" hidden="1">0.01</definedName>
    <definedName name="solver_tol" localSheetId="3" hidden="1">0.01</definedName>
    <definedName name="solver_tol" localSheetId="4" hidden="1">0.01</definedName>
    <definedName name="solver_typ" localSheetId="1" hidden="1">2</definedName>
    <definedName name="solver_typ" localSheetId="2" hidden="1">2</definedName>
    <definedName name="solver_typ" localSheetId="0" hidden="1">2</definedName>
    <definedName name="solver_typ" localSheetId="3" hidden="1">2</definedName>
    <definedName name="solver_typ" localSheetId="4" hidden="1">2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er" localSheetId="1" hidden="1">17</definedName>
    <definedName name="solver_ver" localSheetId="2" hidden="1">3</definedName>
    <definedName name="solver_ver" localSheetId="0" hidden="1">17</definedName>
    <definedName name="solver_ver" localSheetId="3" hidden="1">3</definedName>
    <definedName name="solver_ver" localSheetId="4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7" l="1"/>
  <c r="C6" i="17"/>
  <c r="C7" i="17"/>
  <c r="C8" i="17"/>
  <c r="C9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4" i="17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F34" i="9"/>
  <c r="AF35" i="9"/>
  <c r="AF36" i="9"/>
  <c r="AF37" i="9"/>
  <c r="AF38" i="9"/>
  <c r="AF39" i="9"/>
  <c r="AF40" i="9"/>
  <c r="AF41" i="9"/>
  <c r="AF42" i="9"/>
  <c r="AF43" i="9"/>
  <c r="AF44" i="9"/>
  <c r="AF45" i="9"/>
  <c r="AF46" i="9"/>
  <c r="AF47" i="9"/>
  <c r="AF48" i="9"/>
  <c r="AF49" i="9"/>
  <c r="AF50" i="9"/>
  <c r="AF51" i="9"/>
  <c r="AF52" i="9"/>
  <c r="AF53" i="9"/>
  <c r="AF54" i="9"/>
  <c r="AF55" i="9"/>
  <c r="AF56" i="9"/>
  <c r="AF57" i="9"/>
  <c r="AF58" i="9"/>
  <c r="AF59" i="9"/>
  <c r="AF60" i="9"/>
  <c r="AF61" i="9"/>
  <c r="AF62" i="9"/>
  <c r="AF63" i="9"/>
  <c r="AF64" i="9"/>
  <c r="AF65" i="9"/>
  <c r="AF66" i="9"/>
  <c r="AF67" i="9"/>
  <c r="AF68" i="9"/>
  <c r="AF69" i="9"/>
  <c r="AF70" i="9"/>
  <c r="AF71" i="9"/>
  <c r="AF72" i="9"/>
  <c r="AF73" i="9"/>
  <c r="AF74" i="9"/>
  <c r="AF75" i="9"/>
  <c r="AF76" i="9"/>
  <c r="AF77" i="9"/>
  <c r="AF3" i="9"/>
  <c r="G4" i="17" l="1"/>
  <c r="AH1" i="9" l="1"/>
  <c r="AI1" i="9"/>
  <c r="G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A78" i="17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3" i="11"/>
  <c r="M5" i="11"/>
  <c r="M6" i="11"/>
  <c r="F3" i="11"/>
  <c r="E3" i="11"/>
  <c r="N1" i="14"/>
  <c r="D3" i="18"/>
  <c r="E3" i="18"/>
  <c r="D4" i="18"/>
  <c r="E4" i="18"/>
  <c r="D5" i="18"/>
  <c r="E5" i="18"/>
  <c r="D6" i="18"/>
  <c r="E6" i="18"/>
  <c r="D7" i="18"/>
  <c r="E7" i="18"/>
  <c r="D8" i="18"/>
  <c r="E8" i="18"/>
  <c r="D9" i="18"/>
  <c r="F9" i="18"/>
  <c r="E9" i="18"/>
  <c r="D10" i="18"/>
  <c r="E10" i="18"/>
  <c r="F10" i="18"/>
  <c r="A3" i="17"/>
  <c r="C3" i="17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F3" i="18"/>
  <c r="F8" i="18"/>
  <c r="F7" i="18"/>
  <c r="G7" i="18"/>
  <c r="F6" i="18"/>
  <c r="G6" i="18"/>
  <c r="F5" i="18"/>
  <c r="G5" i="18"/>
  <c r="F4" i="18"/>
  <c r="G4" i="18"/>
  <c r="A1" i="15"/>
  <c r="Q1" i="15"/>
  <c r="A3" i="15"/>
  <c r="A4" i="15"/>
  <c r="A5" i="15"/>
  <c r="N5" i="15"/>
  <c r="A6" i="15"/>
  <c r="A7" i="15"/>
  <c r="A8" i="15"/>
  <c r="A9" i="15"/>
  <c r="A10" i="15"/>
  <c r="A11" i="15"/>
  <c r="A12" i="15"/>
  <c r="A13" i="15"/>
  <c r="A14" i="15"/>
  <c r="A15" i="15"/>
  <c r="A16" i="15"/>
  <c r="N16" i="15"/>
  <c r="A17" i="15"/>
  <c r="A18" i="15"/>
  <c r="A19" i="15"/>
  <c r="A20" i="15"/>
  <c r="A21" i="15"/>
  <c r="A22" i="15"/>
  <c r="A23" i="15"/>
  <c r="Z29" i="15"/>
  <c r="A1" i="14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X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D2" i="14"/>
  <c r="E2" i="14"/>
  <c r="F3" i="14"/>
  <c r="G3" i="14"/>
  <c r="F4" i="11"/>
  <c r="F5" i="11"/>
  <c r="F8" i="11"/>
  <c r="F9" i="11"/>
  <c r="F12" i="11"/>
  <c r="F13" i="11"/>
  <c r="F16" i="11"/>
  <c r="F17" i="11"/>
  <c r="F20" i="11"/>
  <c r="F21" i="11"/>
  <c r="F24" i="11"/>
  <c r="F25" i="11"/>
  <c r="F28" i="11"/>
  <c r="F29" i="11"/>
  <c r="F32" i="11"/>
  <c r="F33" i="11"/>
  <c r="F36" i="11"/>
  <c r="F37" i="11"/>
  <c r="F40" i="11"/>
  <c r="F41" i="11"/>
  <c r="F44" i="11"/>
  <c r="F45" i="11"/>
  <c r="F48" i="11"/>
  <c r="F49" i="11"/>
  <c r="F52" i="11"/>
  <c r="G2" i="11"/>
  <c r="F6" i="11"/>
  <c r="D3" i="14"/>
  <c r="E3" i="14"/>
  <c r="F4" i="14"/>
  <c r="F51" i="11"/>
  <c r="F47" i="11"/>
  <c r="F43" i="11"/>
  <c r="F39" i="11"/>
  <c r="F35" i="11"/>
  <c r="F31" i="11"/>
  <c r="F27" i="11"/>
  <c r="F23" i="11"/>
  <c r="F19" i="11"/>
  <c r="F15" i="11"/>
  <c r="F11" i="11"/>
  <c r="F7" i="11"/>
  <c r="I2" i="11"/>
  <c r="F50" i="11"/>
  <c r="F46" i="11"/>
  <c r="F42" i="11"/>
  <c r="F38" i="11"/>
  <c r="F34" i="11"/>
  <c r="F30" i="11"/>
  <c r="F26" i="11"/>
  <c r="F22" i="11"/>
  <c r="F18" i="11"/>
  <c r="F14" i="11"/>
  <c r="F10" i="11"/>
  <c r="H3" i="14"/>
  <c r="G4" i="14"/>
  <c r="D4" i="14"/>
  <c r="I3" i="14"/>
  <c r="J3" i="14"/>
  <c r="E4" i="14"/>
  <c r="F5" i="14"/>
  <c r="H4" i="14"/>
  <c r="D5" i="14"/>
  <c r="G5" i="14"/>
  <c r="I4" i="14"/>
  <c r="J4" i="14"/>
  <c r="H5" i="14"/>
  <c r="E5" i="14"/>
  <c r="F6" i="14"/>
  <c r="D6" i="14"/>
  <c r="G6" i="14"/>
  <c r="I5" i="14"/>
  <c r="J5" i="14"/>
  <c r="H6" i="14"/>
  <c r="E6" i="14"/>
  <c r="F7" i="14"/>
  <c r="AB77" i="9"/>
  <c r="AB76" i="9"/>
  <c r="AB75" i="9"/>
  <c r="AB74" i="9"/>
  <c r="AB73" i="9"/>
  <c r="AB72" i="9"/>
  <c r="AB71" i="9"/>
  <c r="AB70" i="9"/>
  <c r="AB69" i="9"/>
  <c r="AB68" i="9"/>
  <c r="AB67" i="9"/>
  <c r="AB66" i="9"/>
  <c r="AB65" i="9"/>
  <c r="AB64" i="9"/>
  <c r="AB63" i="9"/>
  <c r="AB62" i="9"/>
  <c r="AB61" i="9"/>
  <c r="AB60" i="9"/>
  <c r="AB59" i="9"/>
  <c r="AB58" i="9"/>
  <c r="AB57" i="9"/>
  <c r="AB56" i="9"/>
  <c r="AB55" i="9"/>
  <c r="AB54" i="9"/>
  <c r="AB53" i="9"/>
  <c r="AB52" i="9"/>
  <c r="AB51" i="9"/>
  <c r="AB50" i="9"/>
  <c r="AB49" i="9"/>
  <c r="AB48" i="9"/>
  <c r="AB47" i="9"/>
  <c r="AB46" i="9"/>
  <c r="AB45" i="9"/>
  <c r="AB44" i="9"/>
  <c r="AB43" i="9"/>
  <c r="AB42" i="9"/>
  <c r="AB41" i="9"/>
  <c r="AB40" i="9"/>
  <c r="AB39" i="9"/>
  <c r="AB38" i="9"/>
  <c r="AB37" i="9"/>
  <c r="AB36" i="9"/>
  <c r="AB35" i="9"/>
  <c r="AB34" i="9"/>
  <c r="AB33" i="9"/>
  <c r="AB32" i="9"/>
  <c r="AB31" i="9"/>
  <c r="AB30" i="9"/>
  <c r="AB29" i="9"/>
  <c r="AB28" i="9"/>
  <c r="AB27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AB3" i="9"/>
  <c r="G7" i="14"/>
  <c r="D7" i="14"/>
  <c r="I6" i="14"/>
  <c r="J6" i="14"/>
  <c r="E7" i="14"/>
  <c r="F8" i="14"/>
  <c r="H7" i="14"/>
  <c r="G8" i="14"/>
  <c r="D8" i="14"/>
  <c r="I7" i="14"/>
  <c r="J7" i="14"/>
  <c r="E8" i="14"/>
  <c r="F9" i="14"/>
  <c r="H8" i="14"/>
  <c r="I8" i="14"/>
  <c r="J8" i="14"/>
  <c r="G9" i="14"/>
  <c r="D9" i="14"/>
  <c r="E9" i="14"/>
  <c r="F10" i="14"/>
  <c r="H9" i="14"/>
  <c r="I9" i="14"/>
  <c r="J9" i="14"/>
  <c r="G10" i="14"/>
  <c r="D10" i="14"/>
  <c r="E10" i="14"/>
  <c r="F11" i="14"/>
  <c r="H10" i="14"/>
  <c r="I10" i="14"/>
  <c r="J10" i="14"/>
  <c r="D11" i="14"/>
  <c r="G11" i="14"/>
  <c r="H11" i="14"/>
  <c r="I11" i="14"/>
  <c r="J11" i="14"/>
  <c r="E11" i="14"/>
  <c r="F12" i="14"/>
  <c r="L20" i="11"/>
  <c r="M9" i="11"/>
  <c r="L21" i="11"/>
  <c r="G12" i="14"/>
  <c r="D12" i="14"/>
  <c r="E51" i="11"/>
  <c r="E35" i="11"/>
  <c r="E17" i="11"/>
  <c r="E5" i="11"/>
  <c r="E48" i="11"/>
  <c r="E32" i="11"/>
  <c r="E14" i="11"/>
  <c r="E49" i="11"/>
  <c r="E38" i="11"/>
  <c r="E22" i="11"/>
  <c r="E12" i="11"/>
  <c r="E29" i="11"/>
  <c r="E11" i="11"/>
  <c r="E47" i="11"/>
  <c r="E31" i="11"/>
  <c r="E13" i="11"/>
  <c r="E37" i="11"/>
  <c r="E44" i="11"/>
  <c r="E28" i="11"/>
  <c r="E10" i="11"/>
  <c r="E50" i="11"/>
  <c r="E34" i="11"/>
  <c r="E21" i="11"/>
  <c r="E4" i="11"/>
  <c r="E25" i="11"/>
  <c r="E43" i="11"/>
  <c r="E27" i="11"/>
  <c r="E7" i="11"/>
  <c r="E33" i="11"/>
  <c r="E40" i="11"/>
  <c r="E24" i="11"/>
  <c r="E9" i="11"/>
  <c r="E46" i="11"/>
  <c r="E30" i="11"/>
  <c r="E20" i="11"/>
  <c r="E45" i="11"/>
  <c r="E15" i="11"/>
  <c r="E39" i="11"/>
  <c r="E23" i="11"/>
  <c r="E6" i="11"/>
  <c r="E52" i="11"/>
  <c r="E36" i="11"/>
  <c r="E18" i="11"/>
  <c r="E8" i="11"/>
  <c r="E42" i="11"/>
  <c r="E26" i="11"/>
  <c r="E16" i="11"/>
  <c r="E41" i="11"/>
  <c r="E19" i="11"/>
  <c r="M8" i="11"/>
  <c r="H2" i="11"/>
  <c r="N6" i="11"/>
  <c r="E12" i="14"/>
  <c r="F13" i="14"/>
  <c r="H12" i="14"/>
  <c r="I12" i="14"/>
  <c r="J12" i="14"/>
  <c r="J2" i="11"/>
  <c r="M22" i="11"/>
  <c r="J53" i="11"/>
  <c r="G13" i="14"/>
  <c r="D13" i="14"/>
  <c r="E13" i="14"/>
  <c r="F14" i="14"/>
  <c r="H13" i="14"/>
  <c r="I13" i="14"/>
  <c r="J13" i="14"/>
  <c r="G14" i="14"/>
  <c r="D14" i="14"/>
  <c r="E14" i="14"/>
  <c r="F15" i="14"/>
  <c r="H14" i="14"/>
  <c r="I14" i="14"/>
  <c r="J14" i="14"/>
  <c r="D15" i="14"/>
  <c r="G15" i="14"/>
  <c r="H15" i="14"/>
  <c r="I15" i="14"/>
  <c r="J15" i="14"/>
  <c r="E15" i="14"/>
  <c r="F16" i="14"/>
  <c r="G16" i="14"/>
  <c r="D16" i="14"/>
  <c r="E16" i="14"/>
  <c r="F17" i="14"/>
  <c r="H16" i="14"/>
  <c r="I16" i="14"/>
  <c r="J16" i="14"/>
  <c r="G17" i="14"/>
  <c r="D17" i="14"/>
  <c r="E17" i="14"/>
  <c r="F18" i="14"/>
  <c r="H17" i="14"/>
  <c r="I17" i="14"/>
  <c r="J17" i="14"/>
  <c r="G18" i="14"/>
  <c r="D18" i="14"/>
  <c r="E18" i="14"/>
  <c r="F19" i="14"/>
  <c r="H18" i="14"/>
  <c r="I18" i="14"/>
  <c r="J18" i="14"/>
  <c r="G19" i="14"/>
  <c r="D19" i="14"/>
  <c r="E19" i="14"/>
  <c r="F20" i="14"/>
  <c r="H19" i="14"/>
  <c r="I19" i="14"/>
  <c r="J19" i="14"/>
  <c r="D20" i="14"/>
  <c r="G20" i="14"/>
  <c r="H20" i="14"/>
  <c r="I20" i="14"/>
  <c r="J20" i="14"/>
  <c r="E20" i="14"/>
  <c r="F21" i="14"/>
  <c r="G21" i="14"/>
  <c r="D21" i="14"/>
  <c r="E21" i="14"/>
  <c r="F22" i="14"/>
  <c r="H21" i="14"/>
  <c r="I21" i="14"/>
  <c r="J21" i="14"/>
  <c r="G22" i="14"/>
  <c r="D22" i="14"/>
  <c r="E22" i="14"/>
  <c r="F23" i="14"/>
  <c r="H22" i="14"/>
  <c r="I22" i="14"/>
  <c r="J22" i="14"/>
  <c r="D23" i="14"/>
  <c r="G23" i="14"/>
  <c r="H23" i="14"/>
  <c r="I23" i="14"/>
  <c r="J23" i="14"/>
  <c r="E23" i="14"/>
  <c r="F24" i="14"/>
  <c r="D24" i="14"/>
  <c r="G24" i="14"/>
  <c r="H24" i="14"/>
  <c r="I24" i="14"/>
  <c r="J24" i="14"/>
  <c r="E24" i="14"/>
  <c r="F25" i="14"/>
  <c r="G25" i="14"/>
  <c r="D25" i="14"/>
  <c r="E25" i="14"/>
  <c r="F26" i="14"/>
  <c r="H25" i="14"/>
  <c r="I25" i="14"/>
  <c r="J25" i="14"/>
  <c r="G26" i="14"/>
  <c r="D26" i="14"/>
  <c r="E26" i="14"/>
  <c r="F27" i="14"/>
  <c r="H26" i="14"/>
  <c r="I26" i="14"/>
  <c r="J26" i="14"/>
  <c r="D27" i="14"/>
  <c r="G27" i="14"/>
  <c r="H27" i="14"/>
  <c r="I27" i="14"/>
  <c r="J27" i="14"/>
  <c r="E27" i="14"/>
  <c r="F28" i="14"/>
  <c r="D28" i="14"/>
  <c r="G28" i="14"/>
  <c r="H28" i="14"/>
  <c r="I28" i="14"/>
  <c r="J28" i="14"/>
  <c r="E28" i="14"/>
  <c r="F29" i="14"/>
  <c r="G29" i="14"/>
  <c r="D29" i="14"/>
  <c r="E29" i="14"/>
  <c r="F30" i="14"/>
  <c r="H29" i="14"/>
  <c r="I29" i="14"/>
  <c r="J29" i="14"/>
  <c r="G30" i="14"/>
  <c r="D30" i="14"/>
  <c r="E30" i="14"/>
  <c r="F31" i="14"/>
  <c r="H30" i="14"/>
  <c r="I30" i="14"/>
  <c r="J30" i="14"/>
  <c r="D31" i="14"/>
  <c r="G31" i="14"/>
  <c r="H31" i="14"/>
  <c r="I31" i="14"/>
  <c r="J31" i="14"/>
  <c r="E31" i="14"/>
  <c r="F32" i="14"/>
  <c r="D32" i="14"/>
  <c r="G32" i="14"/>
  <c r="H32" i="14"/>
  <c r="I32" i="14"/>
  <c r="J32" i="14"/>
  <c r="E32" i="14"/>
  <c r="F33" i="14"/>
  <c r="D33" i="14"/>
  <c r="G33" i="14"/>
  <c r="H33" i="14"/>
  <c r="I33" i="14"/>
  <c r="J33" i="14"/>
  <c r="E33" i="14"/>
  <c r="F34" i="14"/>
  <c r="G34" i="14"/>
  <c r="D34" i="14"/>
  <c r="E34" i="14"/>
  <c r="F35" i="14"/>
  <c r="H34" i="14"/>
  <c r="I34" i="14"/>
  <c r="J34" i="14"/>
  <c r="G35" i="14"/>
  <c r="D35" i="14"/>
  <c r="E35" i="14"/>
  <c r="F36" i="14"/>
  <c r="H35" i="14"/>
  <c r="I35" i="14"/>
  <c r="J35" i="14"/>
  <c r="G36" i="14"/>
  <c r="D36" i="14"/>
  <c r="E36" i="14"/>
  <c r="F37" i="14"/>
  <c r="H36" i="14"/>
  <c r="I36" i="14"/>
  <c r="J36" i="14"/>
  <c r="D37" i="14"/>
  <c r="G37" i="14"/>
  <c r="H37" i="14"/>
  <c r="I37" i="14"/>
  <c r="J37" i="14"/>
  <c r="E37" i="14"/>
  <c r="F38" i="14"/>
  <c r="G38" i="14"/>
  <c r="D38" i="14"/>
  <c r="E38" i="14"/>
  <c r="F39" i="14"/>
  <c r="H38" i="14"/>
  <c r="I38" i="14"/>
  <c r="J38" i="14"/>
  <c r="G39" i="14"/>
  <c r="D39" i="14"/>
  <c r="E39" i="14"/>
  <c r="F40" i="14"/>
  <c r="H39" i="14"/>
  <c r="I39" i="14"/>
  <c r="J39" i="14"/>
  <c r="D40" i="14"/>
  <c r="G40" i="14"/>
  <c r="H40" i="14"/>
  <c r="I40" i="14"/>
  <c r="J40" i="14"/>
  <c r="E40" i="14"/>
  <c r="F41" i="14"/>
  <c r="D41" i="14"/>
  <c r="G41" i="14"/>
  <c r="H41" i="14"/>
  <c r="I41" i="14"/>
  <c r="J41" i="14"/>
  <c r="E41" i="14"/>
  <c r="F42" i="14"/>
  <c r="G42" i="14"/>
  <c r="D42" i="14"/>
  <c r="E42" i="14"/>
  <c r="F43" i="14"/>
  <c r="H42" i="14"/>
  <c r="I42" i="14"/>
  <c r="J42" i="14"/>
  <c r="G43" i="14"/>
  <c r="D43" i="14"/>
  <c r="E43" i="14"/>
  <c r="F44" i="14"/>
  <c r="H43" i="14"/>
  <c r="I43" i="14"/>
  <c r="J43" i="14"/>
  <c r="D44" i="14"/>
  <c r="G44" i="14"/>
  <c r="H44" i="14"/>
  <c r="I44" i="14"/>
  <c r="J44" i="14"/>
  <c r="E44" i="14"/>
  <c r="F45" i="14"/>
  <c r="D45" i="14"/>
  <c r="G45" i="14"/>
  <c r="H45" i="14"/>
  <c r="I45" i="14"/>
  <c r="J45" i="14"/>
  <c r="E45" i="14"/>
  <c r="F46" i="14"/>
  <c r="G46" i="14"/>
  <c r="D46" i="14"/>
  <c r="E46" i="14"/>
  <c r="F47" i="14"/>
  <c r="H46" i="14"/>
  <c r="I46" i="14"/>
  <c r="J46" i="14"/>
  <c r="G47" i="14"/>
  <c r="D47" i="14"/>
  <c r="E47" i="14"/>
  <c r="F48" i="14"/>
  <c r="H47" i="14"/>
  <c r="I47" i="14"/>
  <c r="J47" i="14"/>
  <c r="D48" i="14"/>
  <c r="G48" i="14"/>
  <c r="H48" i="14"/>
  <c r="I48" i="14"/>
  <c r="J48" i="14"/>
  <c r="E48" i="14"/>
  <c r="F49" i="14"/>
  <c r="D49" i="14"/>
  <c r="G49" i="14"/>
  <c r="H49" i="14"/>
  <c r="I49" i="14"/>
  <c r="J49" i="14"/>
  <c r="E49" i="14"/>
  <c r="F50" i="14"/>
  <c r="G50" i="14"/>
  <c r="D50" i="14"/>
  <c r="E50" i="14"/>
  <c r="F51" i="14"/>
  <c r="H50" i="14"/>
  <c r="I50" i="14"/>
  <c r="J50" i="14"/>
  <c r="D51" i="14"/>
  <c r="G51" i="14"/>
  <c r="H51" i="14"/>
  <c r="I51" i="14"/>
  <c r="J51" i="14"/>
  <c r="E51" i="14"/>
  <c r="F52" i="14"/>
  <c r="D52" i="14"/>
  <c r="G52" i="14"/>
  <c r="H52" i="14"/>
  <c r="I52" i="14"/>
  <c r="J52" i="14"/>
  <c r="E52" i="14"/>
  <c r="F53" i="14"/>
  <c r="G53" i="14"/>
  <c r="D53" i="14"/>
  <c r="H53" i="14"/>
  <c r="I53" i="14"/>
  <c r="J53" i="14"/>
  <c r="E53" i="14"/>
  <c r="F54" i="14"/>
  <c r="D54" i="14"/>
  <c r="G54" i="14"/>
  <c r="H54" i="14"/>
  <c r="I54" i="14"/>
  <c r="J54" i="14"/>
  <c r="E54" i="14"/>
  <c r="F55" i="14"/>
  <c r="G55" i="14"/>
  <c r="D55" i="14"/>
  <c r="E55" i="14"/>
  <c r="F56" i="14"/>
  <c r="H55" i="14"/>
  <c r="I55" i="14"/>
  <c r="J55" i="14"/>
  <c r="G56" i="14"/>
  <c r="D56" i="14"/>
  <c r="E56" i="14"/>
  <c r="F57" i="14"/>
  <c r="H56" i="14"/>
  <c r="I56" i="14"/>
  <c r="J56" i="14"/>
  <c r="D57" i="14"/>
  <c r="G57" i="14"/>
  <c r="H57" i="14"/>
  <c r="I57" i="14"/>
  <c r="J57" i="14"/>
  <c r="E57" i="14"/>
  <c r="F58" i="14"/>
  <c r="D58" i="14"/>
  <c r="G58" i="14"/>
  <c r="H58" i="14"/>
  <c r="I58" i="14"/>
  <c r="J58" i="14"/>
  <c r="E58" i="14"/>
  <c r="F59" i="14"/>
  <c r="G59" i="14"/>
  <c r="D59" i="14"/>
  <c r="E59" i="14"/>
  <c r="F60" i="14"/>
  <c r="H59" i="14"/>
  <c r="I59" i="14"/>
  <c r="J59" i="14"/>
  <c r="G60" i="14"/>
  <c r="D60" i="14"/>
  <c r="E60" i="14"/>
  <c r="F61" i="14"/>
  <c r="H60" i="14"/>
  <c r="I60" i="14"/>
  <c r="J60" i="14"/>
  <c r="D61" i="14"/>
  <c r="G61" i="14"/>
  <c r="H61" i="14"/>
  <c r="I61" i="14"/>
  <c r="J61" i="14"/>
  <c r="E61" i="14"/>
  <c r="F62" i="14"/>
  <c r="D62" i="14"/>
  <c r="G62" i="14"/>
  <c r="H62" i="14"/>
  <c r="I62" i="14"/>
  <c r="J62" i="14"/>
  <c r="E62" i="14"/>
  <c r="F63" i="14"/>
  <c r="G63" i="14"/>
  <c r="D63" i="14"/>
  <c r="E63" i="14"/>
  <c r="F64" i="14"/>
  <c r="H63" i="14"/>
  <c r="I63" i="14"/>
  <c r="J63" i="14"/>
  <c r="G64" i="14"/>
  <c r="D64" i="14"/>
  <c r="E64" i="14"/>
  <c r="F65" i="14"/>
  <c r="H64" i="14"/>
  <c r="I64" i="14"/>
  <c r="J64" i="14"/>
  <c r="D65" i="14"/>
  <c r="G65" i="14"/>
  <c r="H65" i="14"/>
  <c r="I65" i="14"/>
  <c r="J65" i="14"/>
  <c r="E65" i="14"/>
  <c r="F66" i="14"/>
  <c r="D66" i="14"/>
  <c r="G66" i="14"/>
  <c r="H66" i="14"/>
  <c r="I66" i="14"/>
  <c r="J66" i="14"/>
  <c r="E66" i="14"/>
  <c r="F67" i="14"/>
  <c r="G67" i="14"/>
  <c r="D67" i="14"/>
  <c r="E67" i="14"/>
  <c r="F68" i="14"/>
  <c r="H67" i="14"/>
  <c r="I67" i="14"/>
  <c r="J67" i="14"/>
  <c r="G68" i="14"/>
  <c r="D68" i="14"/>
  <c r="E68" i="14"/>
  <c r="F69" i="14"/>
  <c r="H68" i="14"/>
  <c r="I68" i="14"/>
  <c r="J68" i="14"/>
  <c r="D69" i="14"/>
  <c r="G69" i="14"/>
  <c r="H69" i="14"/>
  <c r="I69" i="14"/>
  <c r="J69" i="14"/>
  <c r="E69" i="14"/>
  <c r="F70" i="14"/>
  <c r="D70" i="14"/>
  <c r="G70" i="14"/>
  <c r="H70" i="14"/>
  <c r="I70" i="14"/>
  <c r="J70" i="14"/>
  <c r="E70" i="14"/>
  <c r="F71" i="14"/>
  <c r="G71" i="14"/>
  <c r="D71" i="14"/>
  <c r="E71" i="14"/>
  <c r="F72" i="14"/>
  <c r="H71" i="14"/>
  <c r="I71" i="14"/>
  <c r="J71" i="14"/>
  <c r="G72" i="14"/>
  <c r="D72" i="14"/>
  <c r="E72" i="14"/>
  <c r="F73" i="14"/>
  <c r="H72" i="14"/>
  <c r="I72" i="14"/>
  <c r="J72" i="14"/>
  <c r="D73" i="14"/>
  <c r="G73" i="14"/>
  <c r="H73" i="14"/>
  <c r="I73" i="14"/>
  <c r="J73" i="14"/>
  <c r="E73" i="14"/>
  <c r="F74" i="14"/>
  <c r="G74" i="14"/>
  <c r="D74" i="14"/>
  <c r="E74" i="14"/>
  <c r="F75" i="14"/>
  <c r="H74" i="14"/>
  <c r="I74" i="14"/>
  <c r="J74" i="14"/>
  <c r="G75" i="14"/>
  <c r="D75" i="14"/>
  <c r="E75" i="14"/>
  <c r="F76" i="14"/>
  <c r="H75" i="14"/>
  <c r="I75" i="14"/>
  <c r="J75" i="14"/>
  <c r="D76" i="14"/>
  <c r="G76" i="14"/>
  <c r="H76" i="14"/>
  <c r="I76" i="14"/>
  <c r="J76" i="14"/>
  <c r="E76" i="14"/>
  <c r="F77" i="14"/>
  <c r="G77" i="14"/>
  <c r="D77" i="14"/>
  <c r="E77" i="14"/>
  <c r="F78" i="14"/>
  <c r="H77" i="14"/>
  <c r="I77" i="14"/>
  <c r="G78" i="14"/>
  <c r="K77" i="14"/>
  <c r="O1" i="14"/>
  <c r="M5" i="14"/>
  <c r="J77" i="14"/>
  <c r="I78" i="14"/>
  <c r="H78" i="14"/>
  <c r="K3" i="14"/>
  <c r="K4" i="14"/>
  <c r="K5" i="14"/>
  <c r="K6" i="14"/>
  <c r="K7" i="14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75" i="14"/>
  <c r="K76" i="14"/>
  <c r="L4" i="14"/>
  <c r="L9" i="14"/>
  <c r="L7" i="14"/>
  <c r="L8" i="14"/>
  <c r="L11" i="14"/>
  <c r="L15" i="14"/>
  <c r="L3" i="14"/>
  <c r="L10" i="14"/>
  <c r="L14" i="14"/>
  <c r="L19" i="14"/>
  <c r="L23" i="14"/>
  <c r="L27" i="14"/>
  <c r="L31" i="14"/>
  <c r="L5" i="14"/>
  <c r="L13" i="14"/>
  <c r="L18" i="14"/>
  <c r="L22" i="14"/>
  <c r="L26" i="14"/>
  <c r="L30" i="14"/>
  <c r="L17" i="14"/>
  <c r="L33" i="14"/>
  <c r="L37" i="14"/>
  <c r="L6" i="14"/>
  <c r="L12" i="14"/>
  <c r="L20" i="14"/>
  <c r="L24" i="14"/>
  <c r="L28" i="14"/>
  <c r="L36" i="14"/>
  <c r="L40" i="14"/>
  <c r="L44" i="14"/>
  <c r="L48" i="14"/>
  <c r="L32" i="14"/>
  <c r="L35" i="14"/>
  <c r="L39" i="14"/>
  <c r="L43" i="14"/>
  <c r="L47" i="14"/>
  <c r="L51" i="14"/>
  <c r="L21" i="14"/>
  <c r="L53" i="14"/>
  <c r="L57" i="14"/>
  <c r="L61" i="14"/>
  <c r="L65" i="14"/>
  <c r="L69" i="14"/>
  <c r="L73" i="14"/>
  <c r="L16" i="14"/>
  <c r="L25" i="14"/>
  <c r="L41" i="14"/>
  <c r="L45" i="14"/>
  <c r="L56" i="14"/>
  <c r="L60" i="14"/>
  <c r="L64" i="14"/>
  <c r="L68" i="14"/>
  <c r="L34" i="14"/>
  <c r="L38" i="14"/>
  <c r="L42" i="14"/>
  <c r="L46" i="14"/>
  <c r="L52" i="14"/>
  <c r="L54" i="14"/>
  <c r="L58" i="14"/>
  <c r="L29" i="14"/>
  <c r="L49" i="14"/>
  <c r="L55" i="14"/>
  <c r="L74" i="14"/>
  <c r="L76" i="14"/>
  <c r="L62" i="14"/>
  <c r="L66" i="14"/>
  <c r="L70" i="14"/>
  <c r="L75" i="14"/>
  <c r="L63" i="14"/>
  <c r="L59" i="14"/>
  <c r="L50" i="14"/>
  <c r="L67" i="14"/>
  <c r="L71" i="14"/>
  <c r="L72" i="14"/>
  <c r="L77" i="14"/>
  <c r="AE44" i="9" l="1"/>
  <c r="AG44" i="9" s="1"/>
  <c r="D44" i="9" s="1"/>
  <c r="B45" i="17" s="1"/>
  <c r="AE66" i="9"/>
  <c r="AG66" i="9" s="1"/>
  <c r="D66" i="9" s="1"/>
  <c r="B67" i="17" s="1"/>
  <c r="AE64" i="9"/>
  <c r="AG64" i="9" s="1"/>
  <c r="D64" i="9" s="1"/>
  <c r="B65" i="17" s="1"/>
  <c r="AE58" i="9"/>
  <c r="AG58" i="9" s="1"/>
  <c r="D58" i="9" s="1"/>
  <c r="B59" i="17" s="1"/>
  <c r="AE34" i="9"/>
  <c r="AG34" i="9" s="1"/>
  <c r="AE62" i="9"/>
  <c r="AG62" i="9" s="1"/>
  <c r="D62" i="9" s="1"/>
  <c r="B63" i="17" s="1"/>
  <c r="AE56" i="9"/>
  <c r="AG56" i="9" s="1"/>
  <c r="D56" i="9" s="1"/>
  <c r="B57" i="17" s="1"/>
  <c r="AE72" i="9"/>
  <c r="AG72" i="9" s="1"/>
  <c r="D72" i="9" s="1"/>
  <c r="B73" i="17" s="1"/>
  <c r="AE28" i="9"/>
  <c r="AG28" i="9" s="1"/>
  <c r="D28" i="9" s="1"/>
  <c r="B29" i="17" s="1"/>
  <c r="AE70" i="9"/>
  <c r="AG70" i="9" s="1"/>
  <c r="D70" i="9" s="1"/>
  <c r="B71" i="17" s="1"/>
  <c r="AE46" i="9"/>
  <c r="AG46" i="9" s="1"/>
  <c r="D46" i="9" s="1"/>
  <c r="B47" i="17" s="1"/>
  <c r="AE74" i="9"/>
  <c r="AG74" i="9" s="1"/>
  <c r="AE68" i="9"/>
  <c r="AG68" i="9" s="1"/>
  <c r="D68" i="9" s="1"/>
  <c r="B69" i="17" s="1"/>
  <c r="AE50" i="9"/>
  <c r="AG50" i="9" s="1"/>
  <c r="D50" i="9" s="1"/>
  <c r="B51" i="17" s="1"/>
  <c r="AE48" i="9"/>
  <c r="AG48" i="9" s="1"/>
  <c r="D48" i="9" s="1"/>
  <c r="B49" i="17" s="1"/>
  <c r="AE12" i="9"/>
  <c r="AG12" i="9" s="1"/>
  <c r="D12" i="9" s="1"/>
  <c r="B13" i="17" s="1"/>
  <c r="AE36" i="9"/>
  <c r="AG36" i="9" s="1"/>
  <c r="D36" i="9" s="1"/>
  <c r="B37" i="17" s="1"/>
  <c r="AE30" i="9"/>
  <c r="AG30" i="9" s="1"/>
  <c r="D30" i="9" s="1"/>
  <c r="B31" i="17" s="1"/>
  <c r="AE54" i="9"/>
  <c r="AG54" i="9" s="1"/>
  <c r="D54" i="9" s="1"/>
  <c r="B55" i="17" s="1"/>
  <c r="AE5" i="9"/>
  <c r="AG5" i="9" s="1"/>
  <c r="D5" i="9" s="1"/>
  <c r="B6" i="17" s="1"/>
  <c r="AE32" i="9"/>
  <c r="AG32" i="9" s="1"/>
  <c r="D32" i="9" s="1"/>
  <c r="B33" i="17" s="1"/>
  <c r="AE10" i="9"/>
  <c r="AG10" i="9" s="1"/>
  <c r="D10" i="9" s="1"/>
  <c r="B11" i="17" s="1"/>
  <c r="AE14" i="9"/>
  <c r="AG14" i="9" s="1"/>
  <c r="D14" i="9" s="1"/>
  <c r="B15" i="17" s="1"/>
  <c r="AE60" i="9"/>
  <c r="AG60" i="9" s="1"/>
  <c r="D60" i="9" s="1"/>
  <c r="B61" i="17" s="1"/>
  <c r="AE42" i="9"/>
  <c r="AG42" i="9" s="1"/>
  <c r="D42" i="9" s="1"/>
  <c r="B43" i="17" s="1"/>
  <c r="AE38" i="9"/>
  <c r="AG38" i="9" s="1"/>
  <c r="D38" i="9" s="1"/>
  <c r="B39" i="17" s="1"/>
  <c r="AE26" i="9"/>
  <c r="AG26" i="9" s="1"/>
  <c r="D26" i="9" s="1"/>
  <c r="B27" i="17" s="1"/>
  <c r="AE8" i="9"/>
  <c r="AG8" i="9" s="1"/>
  <c r="D8" i="9" s="1"/>
  <c r="B9" i="17" s="1"/>
  <c r="AE7" i="9"/>
  <c r="AG7" i="9" s="1"/>
  <c r="D7" i="9" s="1"/>
  <c r="B8" i="17" s="1"/>
  <c r="AE16" i="9"/>
  <c r="AG16" i="9" s="1"/>
  <c r="D16" i="9" s="1"/>
  <c r="B17" i="17" s="1"/>
  <c r="AE24" i="9"/>
  <c r="AG24" i="9" s="1"/>
  <c r="D24" i="9" s="1"/>
  <c r="B25" i="17" s="1"/>
  <c r="AE76" i="9"/>
  <c r="AG76" i="9" s="1"/>
  <c r="D76" i="9" s="1"/>
  <c r="B77" i="17" s="1"/>
  <c r="AE40" i="9"/>
  <c r="AG40" i="9" s="1"/>
  <c r="D40" i="9" s="1"/>
  <c r="B41" i="17" s="1"/>
  <c r="AE20" i="9"/>
  <c r="AG20" i="9" s="1"/>
  <c r="D20" i="9" s="1"/>
  <c r="B21" i="17" s="1"/>
  <c r="AE52" i="9"/>
  <c r="AG52" i="9" s="1"/>
  <c r="D52" i="9" s="1"/>
  <c r="B53" i="17" s="1"/>
  <c r="AE22" i="9"/>
  <c r="AG22" i="9" s="1"/>
  <c r="D22" i="9" s="1"/>
  <c r="B23" i="17" s="1"/>
  <c r="AE18" i="9"/>
  <c r="AG18" i="9" s="1"/>
  <c r="D18" i="9" s="1"/>
  <c r="B19" i="17" s="1"/>
  <c r="AE4" i="9"/>
  <c r="AG4" i="9" s="1"/>
  <c r="D4" i="9" s="1"/>
  <c r="B5" i="17" s="1"/>
  <c r="AE3" i="9"/>
  <c r="AG3" i="9" s="1"/>
  <c r="AE9" i="9"/>
  <c r="AG9" i="9" s="1"/>
  <c r="D9" i="9" s="1"/>
  <c r="B10" i="17" s="1"/>
  <c r="AE13" i="9"/>
  <c r="AG13" i="9" s="1"/>
  <c r="D13" i="9" s="1"/>
  <c r="B14" i="17" s="1"/>
  <c r="AE17" i="9"/>
  <c r="AG17" i="9" s="1"/>
  <c r="D17" i="9" s="1"/>
  <c r="B18" i="17" s="1"/>
  <c r="AE21" i="9"/>
  <c r="AG21" i="9" s="1"/>
  <c r="D21" i="9" s="1"/>
  <c r="B22" i="17" s="1"/>
  <c r="AE25" i="9"/>
  <c r="AG25" i="9" s="1"/>
  <c r="D25" i="9" s="1"/>
  <c r="B26" i="17" s="1"/>
  <c r="AE29" i="9"/>
  <c r="AG29" i="9" s="1"/>
  <c r="D29" i="9" s="1"/>
  <c r="B30" i="17" s="1"/>
  <c r="AE33" i="9"/>
  <c r="AG33" i="9" s="1"/>
  <c r="D33" i="9" s="1"/>
  <c r="B34" i="17" s="1"/>
  <c r="AE37" i="9"/>
  <c r="AG37" i="9" s="1"/>
  <c r="D37" i="9" s="1"/>
  <c r="B38" i="17" s="1"/>
  <c r="AE41" i="9"/>
  <c r="AG41" i="9" s="1"/>
  <c r="D41" i="9" s="1"/>
  <c r="B42" i="17" s="1"/>
  <c r="AE45" i="9"/>
  <c r="AG45" i="9" s="1"/>
  <c r="D45" i="9" s="1"/>
  <c r="B46" i="17" s="1"/>
  <c r="AE49" i="9"/>
  <c r="AG49" i="9" s="1"/>
  <c r="D49" i="9" s="1"/>
  <c r="B50" i="17" s="1"/>
  <c r="AE53" i="9"/>
  <c r="AG53" i="9" s="1"/>
  <c r="D53" i="9" s="1"/>
  <c r="B54" i="17" s="1"/>
  <c r="AE57" i="9"/>
  <c r="AG57" i="9" s="1"/>
  <c r="D57" i="9" s="1"/>
  <c r="B58" i="17" s="1"/>
  <c r="AE61" i="9"/>
  <c r="AG61" i="9" s="1"/>
  <c r="D61" i="9" s="1"/>
  <c r="B62" i="17" s="1"/>
  <c r="AE65" i="9"/>
  <c r="AG65" i="9" s="1"/>
  <c r="D65" i="9" s="1"/>
  <c r="B66" i="17" s="1"/>
  <c r="AE69" i="9"/>
  <c r="AG69" i="9" s="1"/>
  <c r="D69" i="9" s="1"/>
  <c r="B70" i="17" s="1"/>
  <c r="AE73" i="9"/>
  <c r="AG73" i="9" s="1"/>
  <c r="D73" i="9" s="1"/>
  <c r="B74" i="17" s="1"/>
  <c r="AE77" i="9"/>
  <c r="AG77" i="9" s="1"/>
  <c r="D77" i="9" s="1"/>
  <c r="B78" i="17" s="1"/>
  <c r="AE6" i="9"/>
  <c r="AG6" i="9" s="1"/>
  <c r="D6" i="9" s="1"/>
  <c r="B7" i="17" s="1"/>
  <c r="AE11" i="9"/>
  <c r="AG11" i="9" s="1"/>
  <c r="D11" i="9" s="1"/>
  <c r="B12" i="17" s="1"/>
  <c r="AE15" i="9"/>
  <c r="AG15" i="9" s="1"/>
  <c r="D15" i="9" s="1"/>
  <c r="B16" i="17" s="1"/>
  <c r="AE19" i="9"/>
  <c r="AG19" i="9" s="1"/>
  <c r="D19" i="9" s="1"/>
  <c r="B20" i="17" s="1"/>
  <c r="AE23" i="9"/>
  <c r="AG23" i="9" s="1"/>
  <c r="D23" i="9" s="1"/>
  <c r="B24" i="17" s="1"/>
  <c r="AE27" i="9"/>
  <c r="AG27" i="9" s="1"/>
  <c r="D27" i="9" s="1"/>
  <c r="B28" i="17" s="1"/>
  <c r="AE31" i="9"/>
  <c r="AG31" i="9" s="1"/>
  <c r="D31" i="9" s="1"/>
  <c r="B32" i="17" s="1"/>
  <c r="AE35" i="9"/>
  <c r="AG35" i="9" s="1"/>
  <c r="D35" i="9" s="1"/>
  <c r="B36" i="17" s="1"/>
  <c r="AE39" i="9"/>
  <c r="AG39" i="9" s="1"/>
  <c r="D39" i="9" s="1"/>
  <c r="B40" i="17" s="1"/>
  <c r="AE43" i="9"/>
  <c r="AG43" i="9" s="1"/>
  <c r="D43" i="9" s="1"/>
  <c r="B44" i="17" s="1"/>
  <c r="AE47" i="9"/>
  <c r="AG47" i="9" s="1"/>
  <c r="AE51" i="9"/>
  <c r="AG51" i="9" s="1"/>
  <c r="D51" i="9" s="1"/>
  <c r="B52" i="17" s="1"/>
  <c r="AE55" i="9"/>
  <c r="AG55" i="9" s="1"/>
  <c r="D55" i="9" s="1"/>
  <c r="B56" i="17" s="1"/>
  <c r="AE59" i="9"/>
  <c r="AG59" i="9" s="1"/>
  <c r="D59" i="9" s="1"/>
  <c r="B60" i="17" s="1"/>
  <c r="AE63" i="9"/>
  <c r="AG63" i="9" s="1"/>
  <c r="D63" i="9" s="1"/>
  <c r="B64" i="17" s="1"/>
  <c r="AE67" i="9"/>
  <c r="AG67" i="9" s="1"/>
  <c r="D67" i="9" s="1"/>
  <c r="B68" i="17" s="1"/>
  <c r="AE71" i="9"/>
  <c r="AG71" i="9" s="1"/>
  <c r="D71" i="9" s="1"/>
  <c r="B72" i="17" s="1"/>
  <c r="AE75" i="9"/>
  <c r="AG75" i="9" s="1"/>
  <c r="D75" i="9" s="1"/>
  <c r="B76" i="17" s="1"/>
  <c r="B7" i="9" l="1"/>
  <c r="D34" i="9"/>
  <c r="B35" i="17" s="1"/>
  <c r="B31" i="9"/>
  <c r="B3" i="9"/>
  <c r="B29" i="9"/>
  <c r="B72" i="9"/>
  <c r="B47" i="9"/>
  <c r="D51" i="17"/>
  <c r="B39" i="9"/>
  <c r="B48" i="9"/>
  <c r="D17" i="17"/>
  <c r="D15" i="17"/>
  <c r="B76" i="9"/>
  <c r="B58" i="9"/>
  <c r="B73" i="9"/>
  <c r="B34" i="9"/>
  <c r="B24" i="9"/>
  <c r="B21" i="9"/>
  <c r="D59" i="17"/>
  <c r="B38" i="9"/>
  <c r="B22" i="9"/>
  <c r="B25" i="9"/>
  <c r="D41" i="17"/>
  <c r="D8" i="17"/>
  <c r="B19" i="9"/>
  <c r="B32" i="9"/>
  <c r="D21" i="17"/>
  <c r="D43" i="17"/>
  <c r="D11" i="17"/>
  <c r="B30" i="9"/>
  <c r="B66" i="9"/>
  <c r="B36" i="9"/>
  <c r="B49" i="9"/>
  <c r="B4" i="9"/>
  <c r="B37" i="9"/>
  <c r="B44" i="9"/>
  <c r="D57" i="17"/>
  <c r="D65" i="17"/>
  <c r="B64" i="9"/>
  <c r="B70" i="9"/>
  <c r="B8" i="9"/>
  <c r="B74" i="9"/>
  <c r="B45" i="9"/>
  <c r="B57" i="9"/>
  <c r="B28" i="9"/>
  <c r="B20" i="9"/>
  <c r="B51" i="9"/>
  <c r="B35" i="9"/>
  <c r="B59" i="9"/>
  <c r="B18" i="9"/>
  <c r="B53" i="9"/>
  <c r="B54" i="9"/>
  <c r="B52" i="9"/>
  <c r="B10" i="9"/>
  <c r="B15" i="9"/>
  <c r="D71" i="17"/>
  <c r="B43" i="9"/>
  <c r="B75" i="9"/>
  <c r="B55" i="9"/>
  <c r="B17" i="9"/>
  <c r="D64" i="17"/>
  <c r="D26" i="17"/>
  <c r="D22" i="17"/>
  <c r="D18" i="17"/>
  <c r="D74" i="9"/>
  <c r="B75" i="17" s="1"/>
  <c r="B60" i="9"/>
  <c r="D45" i="17"/>
  <c r="D14" i="17"/>
  <c r="D56" i="17"/>
  <c r="D55" i="17"/>
  <c r="D24" i="17"/>
  <c r="D23" i="17"/>
  <c r="B41" i="9"/>
  <c r="D25" i="17"/>
  <c r="B65" i="9"/>
  <c r="B69" i="9"/>
  <c r="B33" i="9"/>
  <c r="B13" i="9"/>
  <c r="B56" i="9"/>
  <c r="B50" i="9"/>
  <c r="B71" i="9"/>
  <c r="D68" i="17"/>
  <c r="D47" i="9"/>
  <c r="B48" i="17" s="1"/>
  <c r="B67" i="9"/>
  <c r="D28" i="17"/>
  <c r="D53" i="17"/>
  <c r="D42" i="17"/>
  <c r="D9" i="17"/>
  <c r="D52" i="17"/>
  <c r="D20" i="17"/>
  <c r="B27" i="9"/>
  <c r="B11" i="9"/>
  <c r="B63" i="9"/>
  <c r="B9" i="9"/>
  <c r="B42" i="9"/>
  <c r="D32" i="17"/>
  <c r="D16" i="17"/>
  <c r="B77" i="9"/>
  <c r="D10" i="17"/>
  <c r="D63" i="17"/>
  <c r="B40" i="9"/>
  <c r="B68" i="9"/>
  <c r="B23" i="9"/>
  <c r="D27" i="17"/>
  <c r="D7" i="17"/>
  <c r="B16" i="9"/>
  <c r="D60" i="17"/>
  <c r="D70" i="17"/>
  <c r="D66" i="17"/>
  <c r="D44" i="17"/>
  <c r="D12" i="17"/>
  <c r="B62" i="9"/>
  <c r="B5" i="9"/>
  <c r="D67" i="17"/>
  <c r="B26" i="9"/>
  <c r="D19" i="17"/>
  <c r="D31" i="17"/>
  <c r="D58" i="17"/>
  <c r="D69" i="17"/>
  <c r="D54" i="17"/>
  <c r="D38" i="17"/>
  <c r="D62" i="17"/>
  <c r="D61" i="17"/>
  <c r="D30" i="17"/>
  <c r="D29" i="17"/>
  <c r="D72" i="17"/>
  <c r="D40" i="17"/>
  <c r="D39" i="17"/>
  <c r="C73" i="9"/>
  <c r="B73" i="14" s="1"/>
  <c r="C68" i="9"/>
  <c r="B68" i="14" s="1"/>
  <c r="C57" i="9"/>
  <c r="B57" i="14" s="1"/>
  <c r="C23" i="9"/>
  <c r="C48" i="9"/>
  <c r="C47" i="9"/>
  <c r="C5" i="9"/>
  <c r="C45" i="9"/>
  <c r="C63" i="9"/>
  <c r="B63" i="14" s="1"/>
  <c r="D3" i="9"/>
  <c r="C3" i="9"/>
  <c r="C30" i="9"/>
  <c r="C53" i="9"/>
  <c r="B53" i="14" s="1"/>
  <c r="C14" i="9"/>
  <c r="C19" i="9"/>
  <c r="C25" i="9"/>
  <c r="C13" i="9"/>
  <c r="C40" i="9"/>
  <c r="C8" i="9"/>
  <c r="C27" i="9"/>
  <c r="C17" i="9"/>
  <c r="C54" i="9"/>
  <c r="B54" i="14" s="1"/>
  <c r="C49" i="9"/>
  <c r="C11" i="9"/>
  <c r="C38" i="9"/>
  <c r="C18" i="9"/>
  <c r="C76" i="9"/>
  <c r="B76" i="14" s="1"/>
  <c r="C35" i="9"/>
  <c r="C64" i="9"/>
  <c r="B64" i="14" s="1"/>
  <c r="C4" i="9"/>
  <c r="C37" i="9"/>
  <c r="C51" i="9"/>
  <c r="C28" i="9"/>
  <c r="C46" i="9"/>
  <c r="C58" i="9"/>
  <c r="B58" i="14" s="1"/>
  <c r="C59" i="9"/>
  <c r="B59" i="14" s="1"/>
  <c r="C36" i="9"/>
  <c r="C21" i="9"/>
  <c r="C77" i="9"/>
  <c r="B77" i="14" s="1"/>
  <c r="C7" i="9"/>
  <c r="C10" i="9"/>
  <c r="C29" i="9"/>
  <c r="C15" i="9"/>
  <c r="C39" i="9"/>
  <c r="C31" i="9"/>
  <c r="C50" i="9"/>
  <c r="C71" i="9"/>
  <c r="B71" i="14" s="1"/>
  <c r="C22" i="9"/>
  <c r="C61" i="9"/>
  <c r="B61" i="14" s="1"/>
  <c r="C33" i="9"/>
  <c r="C41" i="9"/>
  <c r="C74" i="9"/>
  <c r="B74" i="14" s="1"/>
  <c r="C42" i="9"/>
  <c r="C44" i="9"/>
  <c r="C12" i="9"/>
  <c r="C60" i="9"/>
  <c r="B60" i="14" s="1"/>
  <c r="C72" i="9"/>
  <c r="B72" i="14" s="1"/>
  <c r="C6" i="9"/>
  <c r="C52" i="9"/>
  <c r="C32" i="9"/>
  <c r="C55" i="9"/>
  <c r="B55" i="14" s="1"/>
  <c r="C20" i="9"/>
  <c r="C24" i="9"/>
  <c r="C16" i="9"/>
  <c r="C75" i="9"/>
  <c r="B75" i="14" s="1"/>
  <c r="C26" i="9"/>
  <c r="C69" i="9"/>
  <c r="B69" i="14" s="1"/>
  <c r="C34" i="9"/>
  <c r="C9" i="9"/>
  <c r="C62" i="9"/>
  <c r="B62" i="14" s="1"/>
  <c r="C43" i="9"/>
  <c r="C67" i="9"/>
  <c r="B67" i="14" s="1"/>
  <c r="C70" i="9"/>
  <c r="B70" i="14" s="1"/>
  <c r="C65" i="9"/>
  <c r="B65" i="14" s="1"/>
  <c r="C66" i="9"/>
  <c r="B66" i="14" s="1"/>
  <c r="C56" i="9"/>
  <c r="B56" i="14" s="1"/>
  <c r="B61" i="9"/>
  <c r="B12" i="9"/>
  <c r="B6" i="9"/>
  <c r="D13" i="17"/>
  <c r="B14" i="9"/>
  <c r="B46" i="9"/>
  <c r="D48" i="17" l="1"/>
  <c r="D34" i="17"/>
  <c r="D75" i="17"/>
  <c r="B4" i="14"/>
  <c r="B4" i="15"/>
  <c r="A4" i="11"/>
  <c r="B44" i="14"/>
  <c r="A44" i="11"/>
  <c r="B14" i="15"/>
  <c r="B14" i="14"/>
  <c r="A14" i="11"/>
  <c r="A21" i="11"/>
  <c r="B21" i="14"/>
  <c r="B21" i="15"/>
  <c r="A20" i="11"/>
  <c r="B20" i="15"/>
  <c r="B20" i="14"/>
  <c r="B50" i="14"/>
  <c r="A50" i="11"/>
  <c r="B47" i="14"/>
  <c r="A47" i="11"/>
  <c r="O4" i="9"/>
  <c r="O2" i="9"/>
  <c r="O3" i="9"/>
  <c r="O7" i="9"/>
  <c r="O5" i="9"/>
  <c r="B43" i="14"/>
  <c r="A43" i="11"/>
  <c r="B24" i="14"/>
  <c r="A24" i="11"/>
  <c r="B12" i="14"/>
  <c r="A12" i="11"/>
  <c r="B12" i="15"/>
  <c r="A37" i="11"/>
  <c r="B37" i="14"/>
  <c r="B49" i="14"/>
  <c r="A49" i="11"/>
  <c r="B19" i="14"/>
  <c r="B19" i="15"/>
  <c r="A19" i="11"/>
  <c r="B5" i="15"/>
  <c r="A5" i="11"/>
  <c r="B5" i="14"/>
  <c r="B9" i="15"/>
  <c r="B9" i="14"/>
  <c r="A9" i="11"/>
  <c r="A42" i="11"/>
  <c r="B42" i="14"/>
  <c r="B31" i="14"/>
  <c r="A31" i="11"/>
  <c r="A36" i="11"/>
  <c r="B36" i="14"/>
  <c r="B17" i="14"/>
  <c r="B17" i="15"/>
  <c r="A17" i="11"/>
  <c r="A48" i="11"/>
  <c r="B48" i="14"/>
  <c r="A34" i="11"/>
  <c r="B34" i="14"/>
  <c r="B32" i="14"/>
  <c r="A32" i="11"/>
  <c r="A39" i="11"/>
  <c r="B39" i="14"/>
  <c r="A35" i="11"/>
  <c r="B35" i="14"/>
  <c r="A27" i="11"/>
  <c r="B27" i="14"/>
  <c r="A30" i="11"/>
  <c r="B30" i="14"/>
  <c r="B23" i="15"/>
  <c r="A23" i="11"/>
  <c r="B23" i="14"/>
  <c r="A52" i="11"/>
  <c r="B52" i="14"/>
  <c r="B41" i="14"/>
  <c r="A41" i="11"/>
  <c r="B15" i="14"/>
  <c r="B15" i="15"/>
  <c r="A15" i="11"/>
  <c r="B8" i="15"/>
  <c r="B8" i="14"/>
  <c r="A8" i="11"/>
  <c r="P3" i="9"/>
  <c r="P5" i="9"/>
  <c r="A3" i="11"/>
  <c r="P7" i="9"/>
  <c r="P2" i="9"/>
  <c r="B3" i="14"/>
  <c r="B3" i="15"/>
  <c r="P4" i="9"/>
  <c r="A26" i="11"/>
  <c r="B26" i="14"/>
  <c r="B6" i="14"/>
  <c r="B6" i="15"/>
  <c r="A6" i="11"/>
  <c r="B33" i="14"/>
  <c r="A33" i="11"/>
  <c r="B29" i="14"/>
  <c r="A29" i="11"/>
  <c r="A46" i="11"/>
  <c r="B46" i="14"/>
  <c r="A18" i="11"/>
  <c r="B18" i="14"/>
  <c r="B18" i="15"/>
  <c r="B40" i="14"/>
  <c r="A40" i="11"/>
  <c r="B4" i="17"/>
  <c r="D6" i="17" s="1"/>
  <c r="Q5" i="9"/>
  <c r="Q4" i="9"/>
  <c r="Q2" i="9"/>
  <c r="Q7" i="9"/>
  <c r="Q3" i="9"/>
  <c r="B28" i="14"/>
  <c r="A28" i="11"/>
  <c r="B38" i="14"/>
  <c r="A38" i="11"/>
  <c r="B13" i="14"/>
  <c r="A13" i="11"/>
  <c r="B13" i="15"/>
  <c r="B10" i="14"/>
  <c r="B10" i="15"/>
  <c r="A10" i="11"/>
  <c r="B16" i="15"/>
  <c r="B16" i="14"/>
  <c r="A16" i="11"/>
  <c r="A22" i="11"/>
  <c r="B22" i="14"/>
  <c r="B22" i="15"/>
  <c r="B7" i="15"/>
  <c r="A7" i="11"/>
  <c r="B7" i="14"/>
  <c r="B51" i="14"/>
  <c r="A51" i="11"/>
  <c r="B11" i="14"/>
  <c r="A11" i="11"/>
  <c r="B11" i="15"/>
  <c r="B25" i="14"/>
  <c r="A25" i="11"/>
  <c r="B45" i="14"/>
  <c r="A45" i="11"/>
  <c r="D35" i="17" l="1"/>
  <c r="D36" i="17"/>
  <c r="D76" i="17"/>
  <c r="D74" i="17"/>
  <c r="D73" i="17"/>
  <c r="D37" i="17"/>
  <c r="D33" i="17"/>
  <c r="D46" i="17"/>
  <c r="D47" i="17"/>
  <c r="D50" i="17"/>
  <c r="D49" i="17"/>
  <c r="P8" i="9"/>
  <c r="O8" i="9"/>
  <c r="P6" i="9"/>
  <c r="P10" i="9" s="1"/>
  <c r="C3" i="15"/>
  <c r="C4" i="15" s="1"/>
  <c r="C5" i="15" s="1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C22" i="15" s="1"/>
  <c r="C23" i="15" s="1"/>
  <c r="D23" i="15" s="1"/>
  <c r="E23" i="15" s="1"/>
  <c r="H3" i="15"/>
  <c r="H4" i="15" s="1"/>
  <c r="H5" i="15" s="1"/>
  <c r="H6" i="15" s="1"/>
  <c r="H7" i="15" s="1"/>
  <c r="H8" i="15" s="1"/>
  <c r="H9" i="15" s="1"/>
  <c r="H10" i="15" s="1"/>
  <c r="H11" i="15" s="1"/>
  <c r="H12" i="15" s="1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G3" i="15"/>
  <c r="O9" i="9"/>
  <c r="O6" i="9"/>
  <c r="Q8" i="9"/>
  <c r="P9" i="9"/>
  <c r="Q9" i="9"/>
  <c r="Q6" i="9"/>
  <c r="Q10" i="9" s="1"/>
  <c r="H2" i="17" l="1"/>
  <c r="D11" i="15"/>
  <c r="E11" i="15" s="1"/>
  <c r="D4" i="15"/>
  <c r="E4" i="15" s="1"/>
  <c r="D13" i="15"/>
  <c r="E13" i="15" s="1"/>
  <c r="D16" i="15"/>
  <c r="E16" i="15" s="1"/>
  <c r="D9" i="15"/>
  <c r="E9" i="15" s="1"/>
  <c r="D8" i="15"/>
  <c r="E8" i="15" s="1"/>
  <c r="D18" i="15"/>
  <c r="E18" i="15" s="1"/>
  <c r="D10" i="15"/>
  <c r="E10" i="15" s="1"/>
  <c r="D14" i="15"/>
  <c r="E14" i="15" s="1"/>
  <c r="Y2" i="9"/>
  <c r="Y3" i="9" s="1"/>
  <c r="O10" i="9"/>
  <c r="D17" i="15"/>
  <c r="E17" i="15" s="1"/>
  <c r="D20" i="15"/>
  <c r="E20" i="15" s="1"/>
  <c r="D6" i="15"/>
  <c r="E6" i="15" s="1"/>
  <c r="D21" i="15"/>
  <c r="E21" i="15" s="1"/>
  <c r="D19" i="15"/>
  <c r="E19" i="15" s="1"/>
  <c r="D7" i="15"/>
  <c r="E7" i="15" s="1"/>
  <c r="D15" i="15"/>
  <c r="E15" i="15" s="1"/>
  <c r="D22" i="15"/>
  <c r="E22" i="15" s="1"/>
  <c r="I3" i="15"/>
  <c r="D12" i="15"/>
  <c r="E12" i="15" s="1"/>
  <c r="E2" i="17"/>
  <c r="F2" i="17"/>
  <c r="G2" i="17"/>
  <c r="D5" i="15"/>
  <c r="E5" i="15" s="1"/>
  <c r="E5" i="17" l="1"/>
  <c r="E4" i="17"/>
  <c r="E9" i="17"/>
  <c r="E14" i="17"/>
  <c r="E19" i="17"/>
  <c r="E24" i="17"/>
  <c r="E28" i="17"/>
  <c r="E32" i="17"/>
  <c r="E36" i="17"/>
  <c r="E40" i="17"/>
  <c r="E44" i="17"/>
  <c r="E48" i="17"/>
  <c r="E52" i="17"/>
  <c r="E56" i="17"/>
  <c r="E60" i="17"/>
  <c r="E64" i="17"/>
  <c r="E68" i="17"/>
  <c r="E72" i="17"/>
  <c r="E76" i="17"/>
  <c r="E10" i="17"/>
  <c r="E6" i="17"/>
  <c r="E11" i="17"/>
  <c r="E16" i="17"/>
  <c r="E21" i="17"/>
  <c r="E25" i="17"/>
  <c r="E29" i="17"/>
  <c r="E33" i="17"/>
  <c r="E37" i="17"/>
  <c r="E41" i="17"/>
  <c r="E45" i="17"/>
  <c r="E49" i="17"/>
  <c r="E53" i="17"/>
  <c r="E57" i="17"/>
  <c r="E61" i="17"/>
  <c r="E65" i="17"/>
  <c r="E69" i="17"/>
  <c r="E73" i="17"/>
  <c r="E77" i="17"/>
  <c r="E20" i="17"/>
  <c r="E30" i="17"/>
  <c r="E39" i="17"/>
  <c r="E62" i="17"/>
  <c r="E71" i="17"/>
  <c r="E78" i="17"/>
  <c r="E7" i="17"/>
  <c r="E18" i="17"/>
  <c r="E42" i="17"/>
  <c r="E51" i="17"/>
  <c r="E74" i="17"/>
  <c r="E23" i="17"/>
  <c r="E38" i="17"/>
  <c r="E59" i="17"/>
  <c r="E22" i="17"/>
  <c r="E31" i="17"/>
  <c r="E54" i="17"/>
  <c r="E63" i="17"/>
  <c r="E8" i="17"/>
  <c r="E34" i="17"/>
  <c r="E66" i="17"/>
  <c r="E46" i="17"/>
  <c r="E35" i="17"/>
  <c r="E67" i="17"/>
  <c r="E15" i="17"/>
  <c r="E17" i="17"/>
  <c r="E43" i="17"/>
  <c r="E75" i="17"/>
  <c r="E12" i="17"/>
  <c r="E55" i="17"/>
  <c r="E26" i="17"/>
  <c r="E58" i="17"/>
  <c r="E70" i="17"/>
  <c r="E13" i="17"/>
  <c r="E47" i="17"/>
  <c r="E27" i="17"/>
  <c r="E50" i="17"/>
  <c r="G4" i="15"/>
  <c r="I4" i="15" s="1"/>
  <c r="J3" i="15"/>
  <c r="K3" i="15" s="1"/>
  <c r="Y4" i="9"/>
  <c r="G2" i="9" s="1"/>
  <c r="Y5" i="9"/>
  <c r="Y6" i="9" s="1"/>
  <c r="F8" i="15"/>
  <c r="F21" i="15"/>
  <c r="F4" i="15"/>
  <c r="F12" i="15"/>
  <c r="F6" i="15"/>
  <c r="F16" i="15"/>
  <c r="F10" i="15"/>
  <c r="F18" i="15"/>
  <c r="F9" i="15"/>
  <c r="F14" i="15"/>
  <c r="F22" i="15"/>
  <c r="F17" i="15"/>
  <c r="F13" i="15"/>
  <c r="F20" i="15"/>
  <c r="F23" i="15"/>
  <c r="O4" i="15" s="1"/>
  <c r="F5" i="15"/>
  <c r="F11" i="15"/>
  <c r="F7" i="15"/>
  <c r="F19" i="15"/>
  <c r="F15" i="15"/>
  <c r="F43" i="17" l="1"/>
  <c r="F8" i="17"/>
  <c r="F74" i="17"/>
  <c r="F39" i="17"/>
  <c r="F57" i="17"/>
  <c r="F25" i="17"/>
  <c r="F68" i="17"/>
  <c r="F36" i="17"/>
  <c r="F5" i="17"/>
  <c r="F13" i="17"/>
  <c r="F17" i="17"/>
  <c r="F63" i="17"/>
  <c r="F51" i="17"/>
  <c r="F30" i="17"/>
  <c r="F53" i="17"/>
  <c r="F21" i="17"/>
  <c r="F64" i="17"/>
  <c r="F32" i="17"/>
  <c r="F15" i="17"/>
  <c r="F20" i="17"/>
  <c r="F28" i="17"/>
  <c r="F54" i="17"/>
  <c r="F16" i="17"/>
  <c r="F67" i="17"/>
  <c r="F18" i="17"/>
  <c r="F56" i="17"/>
  <c r="F26" i="17"/>
  <c r="F35" i="17"/>
  <c r="F22" i="17"/>
  <c r="F7" i="17"/>
  <c r="F73" i="17"/>
  <c r="F41" i="17"/>
  <c r="F6" i="17"/>
  <c r="F52" i="17"/>
  <c r="F19" i="17"/>
  <c r="F55" i="17"/>
  <c r="F46" i="17"/>
  <c r="F59" i="17"/>
  <c r="F78" i="17"/>
  <c r="F69" i="17"/>
  <c r="F37" i="17"/>
  <c r="F10" i="17"/>
  <c r="F48" i="17"/>
  <c r="F14" i="17"/>
  <c r="F70" i="17"/>
  <c r="F42" i="17"/>
  <c r="F49" i="17"/>
  <c r="F60" i="17"/>
  <c r="F58" i="17"/>
  <c r="F31" i="17"/>
  <c r="F77" i="17"/>
  <c r="F45" i="17"/>
  <c r="F11" i="17"/>
  <c r="F24" i="17"/>
  <c r="F50" i="17"/>
  <c r="F12" i="17"/>
  <c r="F66" i="17"/>
  <c r="F38" i="17"/>
  <c r="F71" i="17"/>
  <c r="F65" i="17"/>
  <c r="F33" i="17"/>
  <c r="F76" i="17"/>
  <c r="F44" i="17"/>
  <c r="F9" i="17"/>
  <c r="F27" i="17"/>
  <c r="F75" i="17"/>
  <c r="F34" i="17"/>
  <c r="F23" i="17"/>
  <c r="F62" i="17"/>
  <c r="F61" i="17"/>
  <c r="F29" i="17"/>
  <c r="F72" i="17"/>
  <c r="F40" i="17"/>
  <c r="F47" i="17"/>
  <c r="F4" i="17"/>
  <c r="H2" i="9"/>
  <c r="F2" i="9" s="1"/>
  <c r="L3" i="15"/>
  <c r="M3" i="15" s="1"/>
  <c r="G5" i="15"/>
  <c r="I5" i="15" s="1"/>
  <c r="J4" i="15"/>
  <c r="K4" i="15" s="1"/>
  <c r="K6" i="17" l="1"/>
  <c r="K7" i="17"/>
  <c r="K5" i="17"/>
  <c r="K4" i="17"/>
  <c r="K3" i="17"/>
  <c r="G6" i="15"/>
  <c r="I6" i="15" s="1"/>
  <c r="J5" i="15"/>
  <c r="K5" i="15" s="1"/>
  <c r="L5" i="15" s="1"/>
  <c r="M5" i="15" s="1"/>
  <c r="I2" i="9"/>
  <c r="G3" i="9"/>
  <c r="L4" i="15"/>
  <c r="M4" i="15" s="1"/>
  <c r="K8" i="17" l="1"/>
  <c r="L4" i="17" s="1"/>
  <c r="H10" i="17" s="1"/>
  <c r="H3" i="9"/>
  <c r="F3" i="9" s="1"/>
  <c r="J2" i="9"/>
  <c r="G7" i="15"/>
  <c r="I7" i="15" s="1"/>
  <c r="J6" i="15"/>
  <c r="K6" i="15" s="1"/>
  <c r="L6" i="17" l="1"/>
  <c r="H47" i="17" s="1"/>
  <c r="H5" i="17"/>
  <c r="L3" i="17"/>
  <c r="H24" i="17" s="1"/>
  <c r="H45" i="17"/>
  <c r="H20" i="17"/>
  <c r="H50" i="17"/>
  <c r="H55" i="17"/>
  <c r="H75" i="17"/>
  <c r="L5" i="17"/>
  <c r="H51" i="17" s="1"/>
  <c r="H70" i="17"/>
  <c r="H40" i="17"/>
  <c r="H65" i="17"/>
  <c r="H30" i="17"/>
  <c r="H25" i="17"/>
  <c r="H60" i="17"/>
  <c r="H15" i="17"/>
  <c r="L7" i="17"/>
  <c r="H48" i="17" s="1"/>
  <c r="H35" i="17"/>
  <c r="L6" i="15"/>
  <c r="M6" i="15" s="1"/>
  <c r="G8" i="15"/>
  <c r="I8" i="15" s="1"/>
  <c r="J7" i="15"/>
  <c r="K7" i="15" s="1"/>
  <c r="L7" i="15" s="1"/>
  <c r="M7" i="15" s="1"/>
  <c r="I3" i="9"/>
  <c r="G4" i="9"/>
  <c r="H4" i="17" l="1"/>
  <c r="H33" i="17"/>
  <c r="H22" i="17"/>
  <c r="H66" i="17"/>
  <c r="H68" i="17"/>
  <c r="H21" i="17"/>
  <c r="H42" i="17"/>
  <c r="H26" i="17"/>
  <c r="H23" i="17"/>
  <c r="H32" i="17"/>
  <c r="H78" i="17"/>
  <c r="H37" i="17"/>
  <c r="H28" i="17"/>
  <c r="H41" i="17"/>
  <c r="H16" i="17"/>
  <c r="H27" i="17"/>
  <c r="H53" i="17"/>
  <c r="H11" i="17"/>
  <c r="H57" i="17"/>
  <c r="H17" i="17"/>
  <c r="H13" i="17"/>
  <c r="H76" i="17"/>
  <c r="H72" i="17"/>
  <c r="H14" i="17"/>
  <c r="H58" i="17"/>
  <c r="H56" i="17"/>
  <c r="H67" i="17"/>
  <c r="H49" i="17"/>
  <c r="H73" i="17"/>
  <c r="H71" i="17"/>
  <c r="H52" i="17"/>
  <c r="H63" i="17"/>
  <c r="H46" i="17"/>
  <c r="H6" i="17"/>
  <c r="H12" i="17"/>
  <c r="H77" i="17"/>
  <c r="H18" i="17"/>
  <c r="H61" i="17"/>
  <c r="H62" i="17"/>
  <c r="H7" i="17"/>
  <c r="H54" i="17"/>
  <c r="H9" i="17"/>
  <c r="H59" i="17"/>
  <c r="H69" i="17"/>
  <c r="H29" i="17"/>
  <c r="H39" i="17"/>
  <c r="H44" i="17"/>
  <c r="H34" i="17"/>
  <c r="H74" i="17"/>
  <c r="H8" i="17"/>
  <c r="H19" i="17"/>
  <c r="L8" i="17"/>
  <c r="H64" i="17"/>
  <c r="H38" i="17"/>
  <c r="H31" i="17"/>
  <c r="H43" i="17"/>
  <c r="H36" i="17"/>
  <c r="G9" i="15"/>
  <c r="I9" i="15" s="1"/>
  <c r="J8" i="15"/>
  <c r="K8" i="15" s="1"/>
  <c r="L8" i="15" s="1"/>
  <c r="M8" i="15" s="1"/>
  <c r="H4" i="9"/>
  <c r="F4" i="9" s="1"/>
  <c r="J3" i="9"/>
  <c r="G10" i="15" l="1"/>
  <c r="I10" i="15" s="1"/>
  <c r="J9" i="15"/>
  <c r="K9" i="15" s="1"/>
  <c r="L9" i="15" s="1"/>
  <c r="M9" i="15" s="1"/>
  <c r="G5" i="9"/>
  <c r="I4" i="9"/>
  <c r="H5" i="9" l="1"/>
  <c r="F5" i="9" s="1"/>
  <c r="J4" i="9"/>
  <c r="G11" i="15"/>
  <c r="I11" i="15" s="1"/>
  <c r="J10" i="15"/>
  <c r="K10" i="15" s="1"/>
  <c r="L10" i="15" l="1"/>
  <c r="M10" i="15" s="1"/>
  <c r="G12" i="15"/>
  <c r="I12" i="15" s="1"/>
  <c r="J11" i="15"/>
  <c r="K11" i="15" s="1"/>
  <c r="L11" i="15" s="1"/>
  <c r="M11" i="15" s="1"/>
  <c r="I5" i="9"/>
  <c r="G6" i="9"/>
  <c r="J5" i="9" l="1"/>
  <c r="G13" i="15"/>
  <c r="I13" i="15" s="1"/>
  <c r="J12" i="15"/>
  <c r="K12" i="15" s="1"/>
  <c r="L12" i="15" s="1"/>
  <c r="M12" i="15" s="1"/>
  <c r="H6" i="9"/>
  <c r="F6" i="9" s="1"/>
  <c r="G7" i="9" l="1"/>
  <c r="I6" i="9"/>
  <c r="G14" i="15"/>
  <c r="I14" i="15" s="1"/>
  <c r="J13" i="15"/>
  <c r="K13" i="15" s="1"/>
  <c r="L13" i="15" s="1"/>
  <c r="M13" i="15" s="1"/>
  <c r="G15" i="15" l="1"/>
  <c r="I15" i="15" s="1"/>
  <c r="J14" i="15"/>
  <c r="K14" i="15" s="1"/>
  <c r="L14" i="15" s="1"/>
  <c r="M14" i="15" s="1"/>
  <c r="J6" i="9"/>
  <c r="H7" i="9"/>
  <c r="F7" i="9" s="1"/>
  <c r="G16" i="15" l="1"/>
  <c r="I16" i="15" s="1"/>
  <c r="J15" i="15"/>
  <c r="K15" i="15" s="1"/>
  <c r="L15" i="15" s="1"/>
  <c r="M15" i="15" s="1"/>
  <c r="I7" i="9"/>
  <c r="G8" i="9"/>
  <c r="G17" i="15" l="1"/>
  <c r="I17" i="15" s="1"/>
  <c r="J16" i="15"/>
  <c r="K16" i="15" s="1"/>
  <c r="L16" i="15" s="1"/>
  <c r="M16" i="15" s="1"/>
  <c r="J7" i="9"/>
  <c r="H8" i="9"/>
  <c r="F8" i="9" s="1"/>
  <c r="G18" i="15" l="1"/>
  <c r="I18" i="15" s="1"/>
  <c r="J17" i="15"/>
  <c r="K17" i="15" s="1"/>
  <c r="L17" i="15" s="1"/>
  <c r="M17" i="15" s="1"/>
  <c r="G9" i="9"/>
  <c r="I8" i="9"/>
  <c r="J8" i="9" l="1"/>
  <c r="H9" i="9"/>
  <c r="F9" i="9" s="1"/>
  <c r="G19" i="15"/>
  <c r="I19" i="15" s="1"/>
  <c r="J18" i="15"/>
  <c r="K18" i="15" s="1"/>
  <c r="L18" i="15" s="1"/>
  <c r="M18" i="15" s="1"/>
  <c r="G20" i="15" l="1"/>
  <c r="I20" i="15" s="1"/>
  <c r="J19" i="15"/>
  <c r="K19" i="15" s="1"/>
  <c r="L19" i="15" s="1"/>
  <c r="M19" i="15" s="1"/>
  <c r="I9" i="9"/>
  <c r="G10" i="9"/>
  <c r="G21" i="15" l="1"/>
  <c r="I21" i="15" s="1"/>
  <c r="J20" i="15"/>
  <c r="K20" i="15" s="1"/>
  <c r="L20" i="15" s="1"/>
  <c r="M20" i="15" s="1"/>
  <c r="H10" i="9"/>
  <c r="F10" i="9" s="1"/>
  <c r="J9" i="9"/>
  <c r="G22" i="15" l="1"/>
  <c r="I22" i="15" s="1"/>
  <c r="J21" i="15"/>
  <c r="K21" i="15" s="1"/>
  <c r="L21" i="15" s="1"/>
  <c r="M21" i="15" s="1"/>
  <c r="G11" i="9"/>
  <c r="I10" i="9"/>
  <c r="J10" i="9" l="1"/>
  <c r="G23" i="15"/>
  <c r="I23" i="15" s="1"/>
  <c r="J23" i="15" s="1"/>
  <c r="K23" i="15" s="1"/>
  <c r="J22" i="15"/>
  <c r="K22" i="15" s="1"/>
  <c r="L22" i="15" s="1"/>
  <c r="M22" i="15" s="1"/>
  <c r="H11" i="9"/>
  <c r="F11" i="9" s="1"/>
  <c r="I11" i="9" l="1"/>
  <c r="G12" i="9"/>
  <c r="L23" i="15"/>
  <c r="J11" i="9" l="1"/>
  <c r="M23" i="15"/>
  <c r="N17" i="15"/>
  <c r="H12" i="9"/>
  <c r="F12" i="9" s="1"/>
  <c r="G13" i="9" l="1"/>
  <c r="I12" i="9"/>
  <c r="J12" i="9" l="1"/>
  <c r="H13" i="9"/>
  <c r="I13" i="9" l="1"/>
  <c r="G14" i="9"/>
  <c r="F13" i="9"/>
  <c r="H14" i="9" l="1"/>
  <c r="I14" i="9" s="1"/>
  <c r="J13" i="9"/>
  <c r="J14" i="9" l="1"/>
  <c r="F14" i="9"/>
  <c r="J15" i="9" l="1"/>
  <c r="K14" i="9" s="1"/>
  <c r="L2" i="9" l="1"/>
  <c r="K2" i="9"/>
  <c r="L3" i="9"/>
  <c r="K3" i="9"/>
  <c r="L4" i="9"/>
  <c r="K4" i="9"/>
  <c r="L5" i="9"/>
  <c r="K5" i="9"/>
  <c r="L6" i="9"/>
  <c r="K6" i="9"/>
  <c r="L7" i="9"/>
  <c r="K7" i="9"/>
  <c r="L8" i="9"/>
  <c r="K8" i="9"/>
  <c r="L9" i="9"/>
  <c r="K9" i="9"/>
  <c r="L10" i="9"/>
  <c r="K10" i="9"/>
  <c r="L11" i="9"/>
  <c r="K11" i="9"/>
  <c r="L12" i="9"/>
  <c r="K12" i="9"/>
  <c r="L13" i="9"/>
  <c r="K13" i="9"/>
  <c r="L14" i="9"/>
  <c r="K15" i="9" l="1"/>
</calcChain>
</file>

<file path=xl/comments1.xml><?xml version="1.0" encoding="utf-8"?>
<comments xmlns="http://schemas.openxmlformats.org/spreadsheetml/2006/main">
  <authors>
    <author>aa2035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aa2035: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<sst xmlns="http://schemas.openxmlformats.org/spreadsheetml/2006/main" count="132" uniqueCount="112">
  <si>
    <t>At</t>
  </si>
  <si>
    <t>MAD</t>
  </si>
  <si>
    <t>|E|</t>
  </si>
  <si>
    <t>E</t>
  </si>
  <si>
    <t>Per.</t>
  </si>
  <si>
    <t>Range</t>
  </si>
  <si>
    <t>LB</t>
  </si>
  <si>
    <t>UB</t>
  </si>
  <si>
    <t>CumCount</t>
  </si>
  <si>
    <t>Count</t>
  </si>
  <si>
    <t>Freq</t>
  </si>
  <si>
    <t>CumFreq</t>
  </si>
  <si>
    <t>Mean</t>
  </si>
  <si>
    <t>Max</t>
  </si>
  <si>
    <t>Min</t>
  </si>
  <si>
    <t>StdDev</t>
  </si>
  <si>
    <t>CV</t>
  </si>
  <si>
    <t>These data were generated using the procedure in columns AB to AI</t>
  </si>
  <si>
    <t>Do Not Write on these four columns A-D</t>
  </si>
  <si>
    <t>Trend</t>
  </si>
  <si>
    <t>Seas</t>
  </si>
  <si>
    <t>T&amp;RanS</t>
  </si>
  <si>
    <t>Actual</t>
  </si>
  <si>
    <t>Trend&amp;Seas</t>
  </si>
  <si>
    <t>=RANDBETWEEN(INT((ROWS($AC$3:AC15)/($AA$2)))*$AA$2,(INT((ROWS($AC$3:AC15)/($AA$2))+1)*$AA$2-1))</t>
  </si>
  <si>
    <t>TrendForSEason</t>
  </si>
  <si>
    <t xml:space="preserve">No Trend </t>
  </si>
  <si>
    <t>TS</t>
  </si>
  <si>
    <t>Day</t>
  </si>
  <si>
    <t>Yhat (Reg)</t>
  </si>
  <si>
    <t>SE</t>
  </si>
  <si>
    <t>SUMMARY OUTPUT</t>
  </si>
  <si>
    <t>Regression Statistics</t>
  </si>
  <si>
    <t>Correlation</t>
  </si>
  <si>
    <t>Multiple R</t>
  </si>
  <si>
    <t>Coefficient of Determination</t>
  </si>
  <si>
    <t>R Square</t>
  </si>
  <si>
    <t>Adjusted R Square</t>
  </si>
  <si>
    <t>Standard Error</t>
  </si>
  <si>
    <t>Observations</t>
  </si>
  <si>
    <t>ANOVA</t>
  </si>
  <si>
    <t>df</t>
  </si>
  <si>
    <t>SS</t>
  </si>
  <si>
    <t>MS</t>
  </si>
  <si>
    <t>F</t>
  </si>
  <si>
    <t>Significance F</t>
  </si>
  <si>
    <t>Regression</t>
  </si>
  <si>
    <t>Residual</t>
  </si>
  <si>
    <t>Total</t>
  </si>
  <si>
    <t>Coefficients</t>
  </si>
  <si>
    <t>t Stat</t>
  </si>
  <si>
    <t>P-value</t>
  </si>
  <si>
    <t>Lower 95%</t>
  </si>
  <si>
    <t>Upper 95%</t>
  </si>
  <si>
    <t>b0</t>
  </si>
  <si>
    <t>Intercept</t>
  </si>
  <si>
    <t>b1</t>
  </si>
  <si>
    <t>X Variable 1</t>
  </si>
  <si>
    <t>Rand-TR</t>
  </si>
  <si>
    <t>ST</t>
  </si>
  <si>
    <t>Ybar</t>
  </si>
  <si>
    <t>SSE</t>
  </si>
  <si>
    <t>SST</t>
  </si>
  <si>
    <t>SSR</t>
  </si>
  <si>
    <t>Std.S</t>
  </si>
  <si>
    <t>(E-MeanE)^2</t>
  </si>
  <si>
    <t>Random</t>
  </si>
  <si>
    <t>Beta=</t>
  </si>
  <si>
    <t>alpha=</t>
  </si>
  <si>
    <t>Tracking Signal</t>
  </si>
  <si>
    <t>ES-Forc</t>
  </si>
  <si>
    <t>Trens</t>
  </si>
  <si>
    <t>ES-Level</t>
  </si>
  <si>
    <t>.8,.8</t>
  </si>
  <si>
    <t>B3/10</t>
  </si>
  <si>
    <t>TAES</t>
  </si>
  <si>
    <t>Level</t>
  </si>
  <si>
    <t>ES</t>
  </si>
  <si>
    <t>Q41</t>
  </si>
  <si>
    <t>Q34</t>
  </si>
  <si>
    <t>Q33</t>
  </si>
  <si>
    <t>Q32</t>
  </si>
  <si>
    <t>Q31</t>
  </si>
  <si>
    <t>Q24</t>
  </si>
  <si>
    <t>Q23</t>
  </si>
  <si>
    <t>Q22</t>
  </si>
  <si>
    <t>Q21</t>
  </si>
  <si>
    <t>Q14</t>
  </si>
  <si>
    <t>Q13</t>
  </si>
  <si>
    <t>Q12</t>
  </si>
  <si>
    <t>Statistics</t>
  </si>
  <si>
    <t>Set 1</t>
  </si>
  <si>
    <t>Set 2</t>
  </si>
  <si>
    <t>Set 3</t>
  </si>
  <si>
    <t>Range/Mean</t>
  </si>
  <si>
    <t>Centered-MA</t>
  </si>
  <si>
    <t>R2</t>
  </si>
  <si>
    <t>Reg-Cen-MA</t>
  </si>
  <si>
    <t>Index</t>
  </si>
  <si>
    <t>Season</t>
  </si>
  <si>
    <t>Normlized Index</t>
  </si>
  <si>
    <t>Forecast</t>
  </si>
  <si>
    <t>Median</t>
  </si>
  <si>
    <t>Mean/Median</t>
  </si>
  <si>
    <t>Max How Many Width</t>
  </si>
  <si>
    <t>Width (Range/10)</t>
  </si>
  <si>
    <t>Width (Round)</t>
  </si>
  <si>
    <t xml:space="preserve">Min (Round) </t>
  </si>
  <si>
    <t>Max (Round)</t>
  </si>
  <si>
    <t>Periodicity</t>
  </si>
  <si>
    <t xml:space="preserve">The Lectre </t>
  </si>
  <si>
    <t>https://www.youtube.com/watch?v=VxYX8t5OZNc&amp;t=2s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</si>
</sst>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"/>
    <numFmt numFmtId="166" formatCode="0.0000"/>
    <numFmt numFmtId="167" formatCode="0.000000"/>
    <numFmt numFmtId="168" formatCode="0.000000000"/>
  </numFmts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Book Antiqua"/>
      <family val="1"/>
    </font>
    <font>
      <b/>
      <sz val="11"/>
      <color theme="4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color rgb="FFFF0000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1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0"/>
      <name val="Book Antiqua"/>
      <family val="1"/>
    </font>
    <font>
      <b/>
      <sz val="14"/>
      <color theme="0"/>
      <name val="Book Antiqua"/>
      <family val="1"/>
    </font>
  </fonts>
  <fills count="1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4472C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4" fillId="0" borderId="0"/>
    <xf numFmtId="0" fontId="3" fillId="0" borderId="0"/>
  </cellStyleXfs>
  <cellXfs count="159">
    <xf numFmtId="0" fontId="0" fillId="0" borderId="0" xfId="0"/>
    <xf numFmtId="0" fontId="0" fillId="0" borderId="0" xfId="0" applyAlignment="1">
      <alignment horizontal="center"/>
    </xf>
    <xf numFmtId="0" fontId="4" fillId="0" borderId="0" xfId="2" applyFont="1" applyAlignment="1">
      <alignment horizontal="left"/>
    </xf>
    <xf numFmtId="0" fontId="4" fillId="0" borderId="0" xfId="2"/>
    <xf numFmtId="0" fontId="4" fillId="0" borderId="2" xfId="2" applyBorder="1" applyAlignment="1">
      <alignment horizontal="center"/>
    </xf>
    <xf numFmtId="0" fontId="4" fillId="0" borderId="4" xfId="2" applyBorder="1" applyAlignment="1">
      <alignment horizontal="center"/>
    </xf>
    <xf numFmtId="1" fontId="4" fillId="0" borderId="0" xfId="2" applyNumberFormat="1" applyBorder="1" applyAlignment="1">
      <alignment horizontal="center"/>
    </xf>
    <xf numFmtId="0" fontId="4" fillId="0" borderId="6" xfId="2" applyBorder="1" applyAlignment="1">
      <alignment horizontal="center"/>
    </xf>
    <xf numFmtId="0" fontId="4" fillId="0" borderId="0" xfId="2" applyFont="1"/>
    <xf numFmtId="0" fontId="6" fillId="0" borderId="0" xfId="1" applyFont="1" applyAlignment="1">
      <alignment horizontal="left"/>
    </xf>
    <xf numFmtId="0" fontId="1" fillId="2" borderId="10" xfId="0" applyFont="1" applyFill="1" applyBorder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9" fillId="0" borderId="16" xfId="0" applyFont="1" applyFill="1" applyBorder="1" applyAlignment="1">
      <alignment horizontal="centerContinuous"/>
    </xf>
    <xf numFmtId="0" fontId="10" fillId="0" borderId="0" xfId="0" applyFont="1" applyAlignment="1">
      <alignment horizontal="right"/>
    </xf>
    <xf numFmtId="0" fontId="10" fillId="0" borderId="0" xfId="0" applyFont="1" applyFill="1" applyBorder="1" applyAlignment="1"/>
    <xf numFmtId="2" fontId="10" fillId="0" borderId="0" xfId="0" applyNumberFormat="1" applyFont="1" applyFill="1" applyBorder="1" applyAlignment="1"/>
    <xf numFmtId="0" fontId="2" fillId="0" borderId="0" xfId="0" applyFont="1"/>
    <xf numFmtId="0" fontId="0" fillId="0" borderId="0" xfId="0" applyFill="1" applyBorder="1" applyAlignment="1"/>
    <xf numFmtId="2" fontId="0" fillId="0" borderId="0" xfId="0" applyNumberFormat="1" applyFill="1" applyBorder="1" applyAlignment="1"/>
    <xf numFmtId="0" fontId="10" fillId="0" borderId="14" xfId="0" applyFont="1" applyFill="1" applyBorder="1" applyAlignment="1"/>
    <xf numFmtId="0" fontId="9" fillId="0" borderId="16" xfId="0" applyFont="1" applyFill="1" applyBorder="1" applyAlignment="1">
      <alignment horizontal="center"/>
    </xf>
    <xf numFmtId="0" fontId="0" fillId="0" borderId="14" xfId="0" applyFill="1" applyBorder="1" applyAlignment="1"/>
    <xf numFmtId="2" fontId="0" fillId="0" borderId="14" xfId="0" applyNumberFormat="1" applyFill="1" applyBorder="1" applyAlignment="1"/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164" fontId="0" fillId="5" borderId="5" xfId="0" applyNumberForma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64" fontId="0" fillId="5" borderId="7" xfId="0" applyNumberFormat="1" applyFill="1" applyBorder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4" fillId="0" borderId="0" xfId="2" applyNumberFormat="1" applyAlignment="1">
      <alignment horizontal="center"/>
    </xf>
    <xf numFmtId="164" fontId="4" fillId="10" borderId="0" xfId="2" applyNumberFormat="1" applyFill="1" applyAlignment="1">
      <alignment horizontal="left"/>
    </xf>
    <xf numFmtId="1" fontId="4" fillId="0" borderId="0" xfId="2" applyNumberFormat="1" applyAlignment="1">
      <alignment horizontal="left"/>
    </xf>
    <xf numFmtId="164" fontId="4" fillId="0" borderId="0" xfId="2" applyNumberFormat="1" applyAlignment="1">
      <alignment horizontal="left"/>
    </xf>
    <xf numFmtId="1" fontId="4" fillId="0" borderId="0" xfId="2" applyNumberForma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164" fontId="11" fillId="8" borderId="0" xfId="2" applyNumberFormat="1" applyFont="1" applyFill="1"/>
    <xf numFmtId="166" fontId="11" fillId="8" borderId="0" xfId="2" applyNumberFormat="1" applyFont="1" applyFill="1"/>
    <xf numFmtId="0" fontId="4" fillId="0" borderId="0" xfId="2" applyFont="1" applyAlignment="1">
      <alignment horizontal="center"/>
    </xf>
    <xf numFmtId="0" fontId="4" fillId="10" borderId="0" xfId="2" applyFont="1" applyFill="1" applyAlignment="1">
      <alignment horizontal="center"/>
    </xf>
    <xf numFmtId="0" fontId="4" fillId="11" borderId="0" xfId="2" applyFont="1" applyFill="1" applyAlignment="1">
      <alignment horizontal="center"/>
    </xf>
    <xf numFmtId="1" fontId="5" fillId="0" borderId="13" xfId="2" applyNumberFormat="1" applyFont="1" applyBorder="1" applyAlignment="1">
      <alignment horizontal="center"/>
    </xf>
    <xf numFmtId="164" fontId="4" fillId="0" borderId="0" xfId="2" applyNumberFormat="1"/>
    <xf numFmtId="1" fontId="4" fillId="0" borderId="0" xfId="2" applyNumberFormat="1"/>
    <xf numFmtId="0" fontId="4" fillId="0" borderId="0" xfId="2" applyFont="1" applyAlignment="1">
      <alignment horizontal="right"/>
    </xf>
    <xf numFmtId="1" fontId="5" fillId="0" borderId="0" xfId="2" applyNumberFormat="1" applyFont="1" applyBorder="1" applyAlignment="1">
      <alignment horizontal="center"/>
    </xf>
    <xf numFmtId="1" fontId="4" fillId="0" borderId="0" xfId="2" applyNumberFormat="1" applyFont="1" applyBorder="1" applyAlignment="1">
      <alignment horizontal="center"/>
    </xf>
    <xf numFmtId="165" fontId="4" fillId="0" borderId="0" xfId="2" applyNumberFormat="1"/>
    <xf numFmtId="1" fontId="11" fillId="2" borderId="0" xfId="2" applyNumberFormat="1" applyFont="1" applyFill="1" applyBorder="1" applyAlignment="1">
      <alignment horizontal="center"/>
    </xf>
    <xf numFmtId="164" fontId="4" fillId="0" borderId="0" xfId="2" applyNumberFormat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4" fillId="0" borderId="15" xfId="2" applyBorder="1" applyAlignment="1">
      <alignment horizontal="center"/>
    </xf>
    <xf numFmtId="0" fontId="0" fillId="0" borderId="6" xfId="0" applyBorder="1"/>
    <xf numFmtId="0" fontId="4" fillId="0" borderId="9" xfId="2" applyBorder="1" applyAlignment="1">
      <alignment horizontal="center"/>
    </xf>
    <xf numFmtId="0" fontId="0" fillId="0" borderId="4" xfId="0" applyBorder="1"/>
    <xf numFmtId="2" fontId="0" fillId="6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4" fillId="0" borderId="9" xfId="2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2" fontId="0" fillId="12" borderId="0" xfId="0" applyNumberFormat="1" applyFill="1" applyAlignment="1">
      <alignment horizontal="center"/>
    </xf>
    <xf numFmtId="165" fontId="0" fillId="13" borderId="0" xfId="0" applyNumberFormat="1" applyFill="1" applyAlignment="1">
      <alignment horizontal="center"/>
    </xf>
    <xf numFmtId="2" fontId="0" fillId="7" borderId="0" xfId="0" applyNumberFormat="1" applyFill="1" applyAlignment="1">
      <alignment horizontal="center"/>
    </xf>
    <xf numFmtId="165" fontId="0" fillId="10" borderId="0" xfId="0" applyNumberFormat="1" applyFill="1" applyAlignment="1">
      <alignment horizontal="center"/>
    </xf>
    <xf numFmtId="165" fontId="0" fillId="11" borderId="0" xfId="0" applyNumberFormat="1" applyFill="1" applyAlignment="1">
      <alignment horizontal="center"/>
    </xf>
    <xf numFmtId="165" fontId="0" fillId="8" borderId="0" xfId="0" applyNumberFormat="1" applyFill="1" applyAlignment="1">
      <alignment horizontal="center"/>
    </xf>
    <xf numFmtId="0" fontId="4" fillId="0" borderId="8" xfId="2" applyFill="1" applyBorder="1" applyAlignment="1">
      <alignment horizontal="center"/>
    </xf>
    <xf numFmtId="0" fontId="0" fillId="0" borderId="2" xfId="0" applyBorder="1"/>
    <xf numFmtId="0" fontId="6" fillId="0" borderId="0" xfId="0" applyFont="1"/>
    <xf numFmtId="0" fontId="7" fillId="9" borderId="4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164" fontId="8" fillId="6" borderId="9" xfId="0" applyNumberFormat="1" applyFont="1" applyFill="1" applyBorder="1" applyAlignment="1">
      <alignment horizontal="center"/>
    </xf>
    <xf numFmtId="164" fontId="0" fillId="5" borderId="9" xfId="0" applyNumberFormat="1" applyFill="1" applyBorder="1" applyAlignment="1">
      <alignment horizontal="center"/>
    </xf>
    <xf numFmtId="164" fontId="0" fillId="5" borderId="15" xfId="0" applyNumberForma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168" fontId="2" fillId="0" borderId="0" xfId="0" applyNumberFormat="1" applyFont="1"/>
    <xf numFmtId="2" fontId="10" fillId="0" borderId="14" xfId="0" applyNumberFormat="1" applyFont="1" applyFill="1" applyBorder="1" applyAlignment="1">
      <alignment horizontal="center"/>
    </xf>
    <xf numFmtId="0" fontId="6" fillId="0" borderId="0" xfId="1" applyFont="1"/>
    <xf numFmtId="0" fontId="15" fillId="0" borderId="0" xfId="3" applyFont="1"/>
    <xf numFmtId="0" fontId="14" fillId="4" borderId="0" xfId="1" applyFont="1" applyFill="1"/>
    <xf numFmtId="0" fontId="6" fillId="4" borderId="0" xfId="1" applyFont="1" applyFill="1" applyAlignment="1">
      <alignment horizontal="right"/>
    </xf>
    <xf numFmtId="0" fontId="6" fillId="4" borderId="0" xfId="1" applyFont="1" applyFill="1" applyAlignment="1">
      <alignment horizontal="left"/>
    </xf>
    <xf numFmtId="0" fontId="6" fillId="0" borderId="11" xfId="1" applyFont="1" applyFill="1" applyBorder="1" applyAlignment="1">
      <alignment horizontal="center"/>
    </xf>
    <xf numFmtId="0" fontId="16" fillId="0" borderId="2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0" borderId="0" xfId="2" applyFont="1" applyAlignment="1">
      <alignment horizontal="center"/>
    </xf>
    <xf numFmtId="0" fontId="15" fillId="0" borderId="0" xfId="2" applyFont="1"/>
    <xf numFmtId="0" fontId="15" fillId="0" borderId="0" xfId="2" quotePrefix="1" applyFont="1"/>
    <xf numFmtId="0" fontId="17" fillId="0" borderId="0" xfId="1" applyFont="1"/>
    <xf numFmtId="0" fontId="6" fillId="5" borderId="0" xfId="1" applyFont="1" applyFill="1"/>
    <xf numFmtId="0" fontId="6" fillId="0" borderId="10" xfId="1" applyFont="1" applyBorder="1" applyAlignment="1">
      <alignment horizontal="left"/>
    </xf>
    <xf numFmtId="0" fontId="6" fillId="3" borderId="12" xfId="1" applyFont="1" applyFill="1" applyBorder="1" applyAlignment="1">
      <alignment horizontal="center"/>
    </xf>
    <xf numFmtId="0" fontId="6" fillId="6" borderId="12" xfId="1" applyFont="1" applyFill="1" applyBorder="1" applyAlignment="1">
      <alignment horizontal="center"/>
    </xf>
    <xf numFmtId="0" fontId="6" fillId="7" borderId="11" xfId="1" applyFont="1" applyFill="1" applyBorder="1" applyAlignment="1">
      <alignment horizontal="center"/>
    </xf>
    <xf numFmtId="0" fontId="15" fillId="0" borderId="0" xfId="2" applyFont="1" applyFill="1"/>
    <xf numFmtId="0" fontId="15" fillId="0" borderId="2" xfId="2" applyFont="1" applyBorder="1" applyAlignment="1">
      <alignment horizontal="center"/>
    </xf>
    <xf numFmtId="1" fontId="15" fillId="0" borderId="2" xfId="2" applyNumberFormat="1" applyFont="1" applyFill="1" applyBorder="1" applyAlignment="1">
      <alignment horizontal="center"/>
    </xf>
    <xf numFmtId="1" fontId="15" fillId="0" borderId="3" xfId="2" applyNumberFormat="1" applyFont="1" applyBorder="1" applyAlignment="1">
      <alignment horizontal="center"/>
    </xf>
    <xf numFmtId="1" fontId="15" fillId="0" borderId="13" xfId="2" applyNumberFormat="1" applyFont="1" applyBorder="1" applyAlignment="1">
      <alignment horizontal="center"/>
    </xf>
    <xf numFmtId="2" fontId="15" fillId="0" borderId="13" xfId="2" applyNumberFormat="1" applyFont="1" applyBorder="1" applyAlignment="1">
      <alignment horizontal="center"/>
    </xf>
    <xf numFmtId="2" fontId="15" fillId="0" borderId="3" xfId="2" applyNumberFormat="1" applyFont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0" fontId="6" fillId="7" borderId="0" xfId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0" fontId="15" fillId="0" borderId="4" xfId="2" applyFont="1" applyBorder="1" applyAlignment="1">
      <alignment horizontal="center"/>
    </xf>
    <xf numFmtId="1" fontId="15" fillId="0" borderId="4" xfId="2" applyNumberFormat="1" applyFont="1" applyBorder="1" applyAlignment="1">
      <alignment horizontal="center"/>
    </xf>
    <xf numFmtId="1" fontId="15" fillId="0" borderId="5" xfId="2" applyNumberFormat="1" applyFont="1" applyBorder="1" applyAlignment="1">
      <alignment horizontal="center"/>
    </xf>
    <xf numFmtId="1" fontId="15" fillId="0" borderId="0" xfId="2" applyNumberFormat="1" applyFont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2" fontId="15" fillId="0" borderId="5" xfId="2" applyNumberFormat="1" applyFont="1" applyBorder="1" applyAlignment="1">
      <alignment horizontal="center"/>
    </xf>
    <xf numFmtId="0" fontId="6" fillId="0" borderId="0" xfId="4" applyFont="1"/>
    <xf numFmtId="0" fontId="15" fillId="0" borderId="6" xfId="2" applyFont="1" applyBorder="1" applyAlignment="1">
      <alignment horizontal="center"/>
    </xf>
    <xf numFmtId="1" fontId="15" fillId="0" borderId="6" xfId="2" applyNumberFormat="1" applyFont="1" applyBorder="1" applyAlignment="1">
      <alignment horizontal="center"/>
    </xf>
    <xf numFmtId="1" fontId="15" fillId="0" borderId="7" xfId="2" applyNumberFormat="1" applyFont="1" applyBorder="1" applyAlignment="1">
      <alignment horizontal="center"/>
    </xf>
    <xf numFmtId="1" fontId="15" fillId="0" borderId="14" xfId="2" applyNumberFormat="1" applyFont="1" applyBorder="1" applyAlignment="1">
      <alignment horizontal="center"/>
    </xf>
    <xf numFmtId="2" fontId="15" fillId="0" borderId="14" xfId="2" applyNumberFormat="1" applyFont="1" applyBorder="1" applyAlignment="1">
      <alignment horizontal="center"/>
    </xf>
    <xf numFmtId="2" fontId="15" fillId="0" borderId="7" xfId="2" applyNumberFormat="1" applyFont="1" applyBorder="1" applyAlignment="1">
      <alignment horizontal="center"/>
    </xf>
    <xf numFmtId="0" fontId="15" fillId="0" borderId="0" xfId="2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8" fillId="0" borderId="8" xfId="2" applyFont="1" applyFill="1" applyBorder="1"/>
    <xf numFmtId="0" fontId="18" fillId="0" borderId="9" xfId="2" applyFont="1" applyFill="1" applyBorder="1"/>
    <xf numFmtId="0" fontId="18" fillId="0" borderId="15" xfId="2" applyFont="1" applyFill="1" applyBorder="1"/>
    <xf numFmtId="166" fontId="18" fillId="0" borderId="8" xfId="2" applyNumberFormat="1" applyFont="1" applyFill="1" applyBorder="1"/>
    <xf numFmtId="166" fontId="18" fillId="0" borderId="9" xfId="2" applyNumberFormat="1" applyFont="1" applyFill="1" applyBorder="1"/>
    <xf numFmtId="166" fontId="18" fillId="0" borderId="15" xfId="2" applyNumberFormat="1" applyFont="1" applyFill="1" applyBorder="1"/>
    <xf numFmtId="0" fontId="15" fillId="0" borderId="10" xfId="2" applyFont="1" applyBorder="1"/>
    <xf numFmtId="0" fontId="15" fillId="0" borderId="11" xfId="2" applyFont="1" applyBorder="1"/>
    <xf numFmtId="0" fontId="15" fillId="0" borderId="1" xfId="2" applyFont="1" applyBorder="1"/>
    <xf numFmtId="0" fontId="6" fillId="14" borderId="0" xfId="1" applyFont="1" applyFill="1" applyAlignment="1">
      <alignment horizontal="center"/>
    </xf>
    <xf numFmtId="0" fontId="15" fillId="14" borderId="0" xfId="2" applyFont="1" applyFill="1"/>
    <xf numFmtId="0" fontId="19" fillId="18" borderId="0" xfId="2" applyFont="1" applyFill="1" applyAlignment="1">
      <alignment horizontal="center" vertical="center"/>
    </xf>
    <xf numFmtId="164" fontId="19" fillId="18" borderId="0" xfId="2" applyNumberFormat="1" applyFont="1" applyFill="1" applyAlignment="1">
      <alignment horizontal="center" vertical="center"/>
    </xf>
    <xf numFmtId="165" fontId="19" fillId="18" borderId="0" xfId="2" applyNumberFormat="1" applyFont="1" applyFill="1" applyAlignment="1">
      <alignment horizontal="center" vertical="center"/>
    </xf>
    <xf numFmtId="0" fontId="15" fillId="0" borderId="0" xfId="2" applyFont="1" applyAlignment="1">
      <alignment horizontal="left"/>
    </xf>
    <xf numFmtId="165" fontId="15" fillId="0" borderId="0" xfId="2" applyNumberFormat="1" applyFont="1" applyAlignment="1">
      <alignment horizontal="center"/>
    </xf>
    <xf numFmtId="0" fontId="15" fillId="17" borderId="0" xfId="2" applyFont="1" applyFill="1" applyAlignment="1">
      <alignment horizontal="left"/>
    </xf>
    <xf numFmtId="1" fontId="19" fillId="16" borderId="0" xfId="2" applyNumberFormat="1" applyFont="1" applyFill="1" applyBorder="1" applyAlignment="1">
      <alignment horizontal="center"/>
    </xf>
    <xf numFmtId="164" fontId="19" fillId="12" borderId="0" xfId="2" applyNumberFormat="1" applyFont="1" applyFill="1" applyAlignment="1">
      <alignment horizontal="center"/>
    </xf>
    <xf numFmtId="2" fontId="15" fillId="0" borderId="0" xfId="2" applyNumberFormat="1" applyFont="1" applyAlignment="1">
      <alignment horizontal="center"/>
    </xf>
    <xf numFmtId="1" fontId="19" fillId="15" borderId="0" xfId="2" applyNumberFormat="1" applyFont="1" applyFill="1" applyAlignment="1">
      <alignment horizontal="center"/>
    </xf>
    <xf numFmtId="167" fontId="15" fillId="0" borderId="0" xfId="2" applyNumberFormat="1" applyFont="1" applyAlignment="1">
      <alignment horizontal="center"/>
    </xf>
    <xf numFmtId="2" fontId="16" fillId="2" borderId="0" xfId="2" applyNumberFormat="1" applyFont="1" applyFill="1" applyAlignment="1">
      <alignment horizontal="center"/>
    </xf>
    <xf numFmtId="0" fontId="15" fillId="0" borderId="0" xfId="2" applyFont="1" applyFill="1" applyBorder="1"/>
    <xf numFmtId="0" fontId="15" fillId="0" borderId="0" xfId="2" applyFont="1" applyFill="1" applyAlignment="1">
      <alignment horizontal="center"/>
    </xf>
    <xf numFmtId="0" fontId="15" fillId="0" borderId="9" xfId="2" applyFont="1" applyBorder="1"/>
    <xf numFmtId="167" fontId="15" fillId="0" borderId="9" xfId="2" applyNumberFormat="1" applyFont="1" applyBorder="1"/>
    <xf numFmtId="0" fontId="15" fillId="2" borderId="0" xfId="2" applyFont="1" applyFill="1"/>
    <xf numFmtId="0" fontId="20" fillId="2" borderId="0" xfId="2" applyFont="1" applyFill="1"/>
    <xf numFmtId="0" fontId="20" fillId="0" borderId="0" xfId="2" applyFont="1" applyFill="1"/>
  </cellXfs>
  <cellStyles count="5">
    <cellStyle name="Normal" xfId="0" builtinId="0"/>
    <cellStyle name="Normal 2" xfId="2"/>
    <cellStyle name="Normal 2 2" xfId="1"/>
    <cellStyle name="Normal 3 2" xfId="4"/>
    <cellStyle name="Normal 4" xfId="3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B-4B2B-8C2E-46AAA498B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'1.Trend&amp;Season'!$D$3</c:f>
          <c:strCache>
            <c:ptCount val="1"/>
            <c:pt idx="0">
              <c:v>Centered-MA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'1.Trend&amp;Season'!$D$4:$D$78</c:f>
              <c:numCache>
                <c:formatCode>General</c:formatCode>
                <c:ptCount val="75"/>
                <c:pt idx="2" formatCode="0">
                  <c:v>1470.8</c:v>
                </c:pt>
                <c:pt idx="3" formatCode="0">
                  <c:v>1547.8</c:v>
                </c:pt>
                <c:pt idx="4" formatCode="0">
                  <c:v>1620.2</c:v>
                </c:pt>
                <c:pt idx="5" formatCode="0">
                  <c:v>1684.6</c:v>
                </c:pt>
                <c:pt idx="6" formatCode="0">
                  <c:v>1755.2</c:v>
                </c:pt>
                <c:pt idx="7" formatCode="0">
                  <c:v>1838.8</c:v>
                </c:pt>
                <c:pt idx="8" formatCode="0">
                  <c:v>1911</c:v>
                </c:pt>
                <c:pt idx="9" formatCode="0">
                  <c:v>1962.2</c:v>
                </c:pt>
                <c:pt idx="10" formatCode="0">
                  <c:v>2149.4</c:v>
                </c:pt>
                <c:pt idx="11" formatCode="0">
                  <c:v>2200.4</c:v>
                </c:pt>
                <c:pt idx="12" formatCode="0">
                  <c:v>2253</c:v>
                </c:pt>
                <c:pt idx="13" formatCode="0">
                  <c:v>2301.4</c:v>
                </c:pt>
                <c:pt idx="14" formatCode="0">
                  <c:v>2383.1999999999998</c:v>
                </c:pt>
                <c:pt idx="15" formatCode="0">
                  <c:v>2423</c:v>
                </c:pt>
                <c:pt idx="16" formatCode="0">
                  <c:v>2469.4</c:v>
                </c:pt>
                <c:pt idx="17" formatCode="0">
                  <c:v>2555.6</c:v>
                </c:pt>
                <c:pt idx="18" formatCode="0">
                  <c:v>2653.2</c:v>
                </c:pt>
                <c:pt idx="19" formatCode="0">
                  <c:v>2763.4</c:v>
                </c:pt>
                <c:pt idx="20" formatCode="0">
                  <c:v>2863</c:v>
                </c:pt>
                <c:pt idx="21" formatCode="0">
                  <c:v>3054.4</c:v>
                </c:pt>
                <c:pt idx="22" formatCode="0">
                  <c:v>3142.4</c:v>
                </c:pt>
                <c:pt idx="23" formatCode="0">
                  <c:v>3167.8</c:v>
                </c:pt>
                <c:pt idx="24" formatCode="0">
                  <c:v>3248</c:v>
                </c:pt>
                <c:pt idx="25" formatCode="0">
                  <c:v>3330.2</c:v>
                </c:pt>
                <c:pt idx="26" formatCode="0">
                  <c:v>3354</c:v>
                </c:pt>
                <c:pt idx="27" formatCode="0">
                  <c:v>3382.6</c:v>
                </c:pt>
                <c:pt idx="28" formatCode="0">
                  <c:v>3468.4</c:v>
                </c:pt>
                <c:pt idx="29" formatCode="0">
                  <c:v>3608</c:v>
                </c:pt>
                <c:pt idx="30" formatCode="0">
                  <c:v>3704.8</c:v>
                </c:pt>
                <c:pt idx="31" formatCode="0">
                  <c:v>3758.2</c:v>
                </c:pt>
                <c:pt idx="32" formatCode="0">
                  <c:v>3836</c:v>
                </c:pt>
                <c:pt idx="33" formatCode="0">
                  <c:v>3879.8</c:v>
                </c:pt>
                <c:pt idx="34" formatCode="0">
                  <c:v>3841.8</c:v>
                </c:pt>
                <c:pt idx="35" formatCode="0">
                  <c:v>3914.4</c:v>
                </c:pt>
                <c:pt idx="36" formatCode="0">
                  <c:v>4047.6</c:v>
                </c:pt>
                <c:pt idx="37" formatCode="0">
                  <c:v>4123.3999999999996</c:v>
                </c:pt>
                <c:pt idx="38" formatCode="0">
                  <c:v>4199.6000000000004</c:v>
                </c:pt>
                <c:pt idx="39" formatCode="0">
                  <c:v>4346.8</c:v>
                </c:pt>
                <c:pt idx="40" formatCode="0">
                  <c:v>4453.2</c:v>
                </c:pt>
                <c:pt idx="41" formatCode="0">
                  <c:v>4507.6000000000004</c:v>
                </c:pt>
                <c:pt idx="42" formatCode="0">
                  <c:v>4592.8</c:v>
                </c:pt>
                <c:pt idx="43" formatCode="0">
                  <c:v>4684.2</c:v>
                </c:pt>
                <c:pt idx="44" formatCode="0">
                  <c:v>4740</c:v>
                </c:pt>
                <c:pt idx="45" formatCode="0">
                  <c:v>4915.2</c:v>
                </c:pt>
                <c:pt idx="46" formatCode="0">
                  <c:v>5088.2</c:v>
                </c:pt>
                <c:pt idx="47" formatCode="0">
                  <c:v>5134.6000000000004</c:v>
                </c:pt>
                <c:pt idx="48" formatCode="0">
                  <c:v>5252.4</c:v>
                </c:pt>
                <c:pt idx="49" formatCode="0">
                  <c:v>5355.6</c:v>
                </c:pt>
                <c:pt idx="50" formatCode="0">
                  <c:v>5210.8</c:v>
                </c:pt>
                <c:pt idx="51" formatCode="0">
                  <c:v>5227.6000000000004</c:v>
                </c:pt>
                <c:pt idx="52" formatCode="0">
                  <c:v>5279</c:v>
                </c:pt>
                <c:pt idx="53" formatCode="0">
                  <c:v>5357.2</c:v>
                </c:pt>
                <c:pt idx="54" formatCode="0">
                  <c:v>5538</c:v>
                </c:pt>
                <c:pt idx="55" formatCode="0">
                  <c:v>5909.4</c:v>
                </c:pt>
                <c:pt idx="56" formatCode="0">
                  <c:v>5979</c:v>
                </c:pt>
                <c:pt idx="57" formatCode="0">
                  <c:v>6089.8</c:v>
                </c:pt>
                <c:pt idx="58" formatCode="0">
                  <c:v>6069.4</c:v>
                </c:pt>
                <c:pt idx="59" formatCode="0">
                  <c:v>6152.8</c:v>
                </c:pt>
                <c:pt idx="60" formatCode="0">
                  <c:v>5965</c:v>
                </c:pt>
                <c:pt idx="61" formatCode="0">
                  <c:v>6084.6</c:v>
                </c:pt>
                <c:pt idx="62" formatCode="0">
                  <c:v>6172.6</c:v>
                </c:pt>
                <c:pt idx="63" formatCode="0">
                  <c:v>6230</c:v>
                </c:pt>
                <c:pt idx="64" formatCode="0">
                  <c:v>6226</c:v>
                </c:pt>
                <c:pt idx="65" formatCode="0">
                  <c:v>6319</c:v>
                </c:pt>
                <c:pt idx="66" formatCode="0">
                  <c:v>6324.4</c:v>
                </c:pt>
                <c:pt idx="67" formatCode="0">
                  <c:v>6406.4</c:v>
                </c:pt>
                <c:pt idx="68" formatCode="0">
                  <c:v>6503.4</c:v>
                </c:pt>
                <c:pt idx="69" formatCode="0">
                  <c:v>6617.6</c:v>
                </c:pt>
                <c:pt idx="70" formatCode="0">
                  <c:v>6984</c:v>
                </c:pt>
                <c:pt idx="71" formatCode="0">
                  <c:v>7118.2</c:v>
                </c:pt>
                <c:pt idx="72" formatCode="0">
                  <c:v>7165.8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30-476E-8EDD-D223B7303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'1.Trend&amp;Season'!$E$3</c:f>
          <c:strCache>
            <c:ptCount val="1"/>
            <c:pt idx="0">
              <c:v>Reg-Cen-MA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D7D31"/>
              </a:solidFill>
              <a:ln w="9525">
                <a:solidFill>
                  <a:srgbClr val="ED7D31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'1.Trend&amp;Season'!$E$4:$E$78</c:f>
              <c:numCache>
                <c:formatCode>0.0</c:formatCode>
                <c:ptCount val="75"/>
                <c:pt idx="0">
                  <c:v>1282.398021462107</c:v>
                </c:pt>
                <c:pt idx="1">
                  <c:v>1361.8869215291759</c:v>
                </c:pt>
                <c:pt idx="2">
                  <c:v>1441.375821596245</c:v>
                </c:pt>
                <c:pt idx="3">
                  <c:v>1520.8647216633142</c:v>
                </c:pt>
                <c:pt idx="4">
                  <c:v>1600.3536217303831</c:v>
                </c:pt>
                <c:pt idx="5">
                  <c:v>1679.8425217974523</c:v>
                </c:pt>
                <c:pt idx="6">
                  <c:v>1759.3314218645214</c:v>
                </c:pt>
                <c:pt idx="7">
                  <c:v>1838.8203219315906</c:v>
                </c:pt>
                <c:pt idx="8">
                  <c:v>1918.3092219986595</c:v>
                </c:pt>
                <c:pt idx="9">
                  <c:v>1997.7981220657286</c:v>
                </c:pt>
                <c:pt idx="10">
                  <c:v>2077.2870221327976</c:v>
                </c:pt>
                <c:pt idx="11">
                  <c:v>2156.7759221998667</c:v>
                </c:pt>
                <c:pt idx="12">
                  <c:v>2236.2648222669359</c:v>
                </c:pt>
                <c:pt idx="13">
                  <c:v>2315.753722334005</c:v>
                </c:pt>
                <c:pt idx="14">
                  <c:v>2395.2426224010742</c:v>
                </c:pt>
                <c:pt idx="15">
                  <c:v>2474.7315224681433</c:v>
                </c:pt>
                <c:pt idx="16">
                  <c:v>2554.2204225352125</c:v>
                </c:pt>
                <c:pt idx="17">
                  <c:v>2633.7093226022812</c:v>
                </c:pt>
                <c:pt idx="18">
                  <c:v>2713.1982226693503</c:v>
                </c:pt>
                <c:pt idx="19">
                  <c:v>2792.6871227364195</c:v>
                </c:pt>
                <c:pt idx="20">
                  <c:v>2872.1760228034882</c:v>
                </c:pt>
                <c:pt idx="21">
                  <c:v>2951.6649228705573</c:v>
                </c:pt>
                <c:pt idx="22">
                  <c:v>3031.1538229376265</c:v>
                </c:pt>
                <c:pt idx="23">
                  <c:v>3110.6427230046957</c:v>
                </c:pt>
                <c:pt idx="24">
                  <c:v>3190.1316230717648</c:v>
                </c:pt>
                <c:pt idx="25">
                  <c:v>3269.620523138834</c:v>
                </c:pt>
                <c:pt idx="26">
                  <c:v>3349.1094232059031</c:v>
                </c:pt>
                <c:pt idx="27">
                  <c:v>3428.5983232729723</c:v>
                </c:pt>
                <c:pt idx="28">
                  <c:v>3508.087223340041</c:v>
                </c:pt>
                <c:pt idx="29">
                  <c:v>3587.5761234071101</c:v>
                </c:pt>
                <c:pt idx="30">
                  <c:v>3667.0650234741793</c:v>
                </c:pt>
                <c:pt idx="31">
                  <c:v>3746.5539235412484</c:v>
                </c:pt>
                <c:pt idx="32">
                  <c:v>3826.0428236083176</c:v>
                </c:pt>
                <c:pt idx="33">
                  <c:v>3905.5317236753867</c:v>
                </c:pt>
                <c:pt idx="34">
                  <c:v>3985.0206237424559</c:v>
                </c:pt>
                <c:pt idx="35">
                  <c:v>4064.5095238095246</c:v>
                </c:pt>
                <c:pt idx="36">
                  <c:v>4143.9984238765937</c:v>
                </c:pt>
                <c:pt idx="37">
                  <c:v>4223.4873239436629</c:v>
                </c:pt>
                <c:pt idx="38">
                  <c:v>4302.976224010732</c:v>
                </c:pt>
                <c:pt idx="39">
                  <c:v>4382.4651240778012</c:v>
                </c:pt>
                <c:pt idx="40">
                  <c:v>4461.9540241448703</c:v>
                </c:pt>
                <c:pt idx="41">
                  <c:v>4541.4429242119386</c:v>
                </c:pt>
                <c:pt idx="42">
                  <c:v>4620.9318242790087</c:v>
                </c:pt>
                <c:pt idx="43">
                  <c:v>4700.4207243460769</c:v>
                </c:pt>
                <c:pt idx="44">
                  <c:v>4779.909624413147</c:v>
                </c:pt>
                <c:pt idx="45">
                  <c:v>4859.3985244802152</c:v>
                </c:pt>
                <c:pt idx="46">
                  <c:v>4938.8874245472853</c:v>
                </c:pt>
                <c:pt idx="47">
                  <c:v>5018.3763246143535</c:v>
                </c:pt>
                <c:pt idx="48">
                  <c:v>5097.8652246814227</c:v>
                </c:pt>
                <c:pt idx="49">
                  <c:v>5177.3541247484918</c:v>
                </c:pt>
                <c:pt idx="50">
                  <c:v>5256.843024815561</c:v>
                </c:pt>
                <c:pt idx="51">
                  <c:v>5336.3319248826301</c:v>
                </c:pt>
                <c:pt idx="52">
                  <c:v>5415.8208249496993</c:v>
                </c:pt>
                <c:pt idx="53">
                  <c:v>5495.3097250167684</c:v>
                </c:pt>
                <c:pt idx="54">
                  <c:v>5574.7986250838376</c:v>
                </c:pt>
                <c:pt idx="55">
                  <c:v>5654.2875251509067</c:v>
                </c:pt>
                <c:pt idx="56">
                  <c:v>5733.7764252179759</c:v>
                </c:pt>
                <c:pt idx="57">
                  <c:v>5813.2653252850441</c:v>
                </c:pt>
                <c:pt idx="58">
                  <c:v>5892.7542253521133</c:v>
                </c:pt>
                <c:pt idx="59">
                  <c:v>5972.2431254191824</c:v>
                </c:pt>
                <c:pt idx="60">
                  <c:v>6051.7320254862516</c:v>
                </c:pt>
                <c:pt idx="61">
                  <c:v>6131.2209255533207</c:v>
                </c:pt>
                <c:pt idx="62">
                  <c:v>6210.7098256203899</c:v>
                </c:pt>
                <c:pt idx="63">
                  <c:v>6290.198725687459</c:v>
                </c:pt>
                <c:pt idx="64">
                  <c:v>6369.6876257545282</c:v>
                </c:pt>
                <c:pt idx="65">
                  <c:v>6449.1765258215974</c:v>
                </c:pt>
                <c:pt idx="66">
                  <c:v>6528.6654258886665</c:v>
                </c:pt>
                <c:pt idx="67">
                  <c:v>6608.1543259557357</c:v>
                </c:pt>
                <c:pt idx="68">
                  <c:v>6687.6432260228048</c:v>
                </c:pt>
                <c:pt idx="69">
                  <c:v>6767.132126089874</c:v>
                </c:pt>
                <c:pt idx="70">
                  <c:v>6846.6210261569422</c:v>
                </c:pt>
                <c:pt idx="71">
                  <c:v>6926.1099262240114</c:v>
                </c:pt>
                <c:pt idx="72">
                  <c:v>7005.5988262910805</c:v>
                </c:pt>
                <c:pt idx="73">
                  <c:v>7085.0877263581497</c:v>
                </c:pt>
                <c:pt idx="74">
                  <c:v>7164.5766264252188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0E-48C3-8172-89A05CB1E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'1.Trend&amp;Season'!$H$3</c:f>
          <c:strCache>
            <c:ptCount val="1"/>
            <c:pt idx="0">
              <c:v>Forecast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'1.Trend&amp;Season'!$C$4:$C$78</c:f>
              <c:numCache>
                <c:formatCode>0</c:formatCode>
                <c:ptCount val="75"/>
                <c:pt idx="0">
                  <c:v>1120</c:v>
                </c:pt>
                <c:pt idx="1">
                  <c:v>1461</c:v>
                </c:pt>
                <c:pt idx="2">
                  <c:v>1719</c:v>
                </c:pt>
                <c:pt idx="3">
                  <c:v>1692</c:v>
                </c:pt>
                <c:pt idx="4">
                  <c:v>1362</c:v>
                </c:pt>
                <c:pt idx="5">
                  <c:v>1505</c:v>
                </c:pt>
                <c:pt idx="6">
                  <c:v>1823</c:v>
                </c:pt>
                <c:pt idx="7">
                  <c:v>2041</c:v>
                </c:pt>
                <c:pt idx="8">
                  <c:v>2045</c:v>
                </c:pt>
                <c:pt idx="9">
                  <c:v>1780</c:v>
                </c:pt>
                <c:pt idx="10">
                  <c:v>1866</c:v>
                </c:pt>
                <c:pt idx="11">
                  <c:v>2079</c:v>
                </c:pt>
                <c:pt idx="12">
                  <c:v>2977</c:v>
                </c:pt>
                <c:pt idx="13">
                  <c:v>2300</c:v>
                </c:pt>
                <c:pt idx="14">
                  <c:v>2043</c:v>
                </c:pt>
                <c:pt idx="15">
                  <c:v>2108</c:v>
                </c:pt>
                <c:pt idx="16">
                  <c:v>2488</c:v>
                </c:pt>
                <c:pt idx="17">
                  <c:v>3176</c:v>
                </c:pt>
                <c:pt idx="18">
                  <c:v>2532</c:v>
                </c:pt>
                <c:pt idx="19">
                  <c:v>2474</c:v>
                </c:pt>
                <c:pt idx="20">
                  <c:v>2596</c:v>
                </c:pt>
                <c:pt idx="21">
                  <c:v>3039</c:v>
                </c:pt>
                <c:pt idx="22">
                  <c:v>3674</c:v>
                </c:pt>
                <c:pt idx="23">
                  <c:v>3489</c:v>
                </c:pt>
                <c:pt idx="24">
                  <c:v>2914</c:v>
                </c:pt>
                <c:pt idx="25">
                  <c:v>2723</c:v>
                </c:pt>
                <c:pt idx="26">
                  <c:v>3440</c:v>
                </c:pt>
                <c:pt idx="27">
                  <c:v>4085</c:v>
                </c:pt>
                <c:pt idx="28">
                  <c:v>3608</c:v>
                </c:pt>
                <c:pt idx="29">
                  <c:v>3057</c:v>
                </c:pt>
                <c:pt idx="30">
                  <c:v>3152</c:v>
                </c:pt>
                <c:pt idx="31">
                  <c:v>4138</c:v>
                </c:pt>
                <c:pt idx="32">
                  <c:v>4569</c:v>
                </c:pt>
                <c:pt idx="33">
                  <c:v>3875</c:v>
                </c:pt>
                <c:pt idx="34">
                  <c:v>3446</c:v>
                </c:pt>
                <c:pt idx="35">
                  <c:v>3371</c:v>
                </c:pt>
                <c:pt idx="36">
                  <c:v>3948</c:v>
                </c:pt>
                <c:pt idx="37">
                  <c:v>4932</c:v>
                </c:pt>
                <c:pt idx="38">
                  <c:v>4541</c:v>
                </c:pt>
                <c:pt idx="39">
                  <c:v>3825</c:v>
                </c:pt>
                <c:pt idx="40">
                  <c:v>3752</c:v>
                </c:pt>
                <c:pt idx="41">
                  <c:v>4684</c:v>
                </c:pt>
                <c:pt idx="42">
                  <c:v>5464</c:v>
                </c:pt>
                <c:pt idx="43">
                  <c:v>4813</c:v>
                </c:pt>
                <c:pt idx="44">
                  <c:v>4251</c:v>
                </c:pt>
                <c:pt idx="45">
                  <c:v>4209</c:v>
                </c:pt>
                <c:pt idx="46">
                  <c:v>4963</c:v>
                </c:pt>
                <c:pt idx="47">
                  <c:v>6340</c:v>
                </c:pt>
                <c:pt idx="48">
                  <c:v>5678</c:v>
                </c:pt>
                <c:pt idx="49">
                  <c:v>4483</c:v>
                </c:pt>
                <c:pt idx="50">
                  <c:v>4798</c:v>
                </c:pt>
                <c:pt idx="51">
                  <c:v>5479</c:v>
                </c:pt>
                <c:pt idx="52">
                  <c:v>5616</c:v>
                </c:pt>
                <c:pt idx="53">
                  <c:v>5762</c:v>
                </c:pt>
                <c:pt idx="54">
                  <c:v>4740</c:v>
                </c:pt>
                <c:pt idx="55">
                  <c:v>5189</c:v>
                </c:pt>
                <c:pt idx="56">
                  <c:v>6383</c:v>
                </c:pt>
                <c:pt idx="57">
                  <c:v>7473</c:v>
                </c:pt>
                <c:pt idx="58">
                  <c:v>6110</c:v>
                </c:pt>
                <c:pt idx="59">
                  <c:v>5294</c:v>
                </c:pt>
                <c:pt idx="60">
                  <c:v>5087</c:v>
                </c:pt>
                <c:pt idx="61">
                  <c:v>6800</c:v>
                </c:pt>
                <c:pt idx="62">
                  <c:v>6534</c:v>
                </c:pt>
                <c:pt idx="63">
                  <c:v>6708</c:v>
                </c:pt>
                <c:pt idx="64">
                  <c:v>5734</c:v>
                </c:pt>
                <c:pt idx="65">
                  <c:v>5374</c:v>
                </c:pt>
                <c:pt idx="66">
                  <c:v>6780</c:v>
                </c:pt>
                <c:pt idx="67">
                  <c:v>6999</c:v>
                </c:pt>
                <c:pt idx="68">
                  <c:v>6735</c:v>
                </c:pt>
                <c:pt idx="69">
                  <c:v>6144</c:v>
                </c:pt>
                <c:pt idx="70">
                  <c:v>5859</c:v>
                </c:pt>
                <c:pt idx="71">
                  <c:v>7351</c:v>
                </c:pt>
                <c:pt idx="72">
                  <c:v>8831</c:v>
                </c:pt>
                <c:pt idx="73">
                  <c:v>7406</c:v>
                </c:pt>
                <c:pt idx="74">
                  <c:v>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79-4A19-9B27-DCA2BF4C70F0}"/>
            </c:ext>
          </c:extLst>
        </c:ser>
        <c:ser>
          <c:idx val="1"/>
          <c:order val="1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'1.Trend&amp;Season'!$A$4:$A$78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'1.Trend&amp;Season'!$H$4:$H$83</c:f>
              <c:numCache>
                <c:formatCode>0.00</c:formatCode>
                <c:ptCount val="80"/>
                <c:pt idx="0">
                  <c:v>1110.6261044772873</c:v>
                </c:pt>
                <c:pt idx="1">
                  <c:v>1409.160246779006</c:v>
                </c:pt>
                <c:pt idx="2">
                  <c:v>1702.3844873772532</c:v>
                </c:pt>
                <c:pt idx="3">
                  <c:v>1583.6261987070432</c:v>
                </c:pt>
                <c:pt idx="4">
                  <c:v>1403.3248962376874</c:v>
                </c:pt>
                <c:pt idx="5">
                  <c:v>1454.8345559610916</c:v>
                </c:pt>
                <c:pt idx="6">
                  <c:v>1820.4006965695476</c:v>
                </c:pt>
                <c:pt idx="7">
                  <c:v>2171.7994323393482</c:v>
                </c:pt>
                <c:pt idx="8">
                  <c:v>1997.4720288442084</c:v>
                </c:pt>
                <c:pt idx="9">
                  <c:v>1751.8377215408084</c:v>
                </c:pt>
                <c:pt idx="10">
                  <c:v>1799.0430074448961</c:v>
                </c:pt>
                <c:pt idx="11">
                  <c:v>2231.6411463600889</c:v>
                </c:pt>
                <c:pt idx="12">
                  <c:v>2641.2143773014427</c:v>
                </c:pt>
                <c:pt idx="13">
                  <c:v>2411.3178589813738</c:v>
                </c:pt>
                <c:pt idx="14">
                  <c:v>2100.3505468439298</c:v>
                </c:pt>
                <c:pt idx="15">
                  <c:v>2143.2514589287011</c:v>
                </c:pt>
                <c:pt idx="16">
                  <c:v>2642.8815961506307</c:v>
                </c:pt>
                <c:pt idx="17">
                  <c:v>3110.6293222635377</c:v>
                </c:pt>
                <c:pt idx="18">
                  <c:v>2825.1636891185394</c:v>
                </c:pt>
                <c:pt idx="19">
                  <c:v>2448.8633721470505</c:v>
                </c:pt>
                <c:pt idx="20">
                  <c:v>2487.459910412505</c:v>
                </c:pt>
                <c:pt idx="21">
                  <c:v>3054.1220459411716</c:v>
                </c:pt>
                <c:pt idx="22">
                  <c:v>3580.0442672256322</c:v>
                </c:pt>
                <c:pt idx="23">
                  <c:v>3239.0095192557046</c:v>
                </c:pt>
                <c:pt idx="24">
                  <c:v>2797.3761974501717</c:v>
                </c:pt>
                <c:pt idx="25">
                  <c:v>2831.6683618963098</c:v>
                </c:pt>
                <c:pt idx="26">
                  <c:v>3465.3624957317134</c:v>
                </c:pt>
                <c:pt idx="27">
                  <c:v>4049.4592121877272</c:v>
                </c:pt>
                <c:pt idx="28">
                  <c:v>3652.8553493928698</c:v>
                </c:pt>
                <c:pt idx="29">
                  <c:v>3145.8890227532925</c:v>
                </c:pt>
                <c:pt idx="30">
                  <c:v>3175.8768133801141</c:v>
                </c:pt>
                <c:pt idx="31">
                  <c:v>3876.6029455222542</c:v>
                </c:pt>
                <c:pt idx="32">
                  <c:v>4518.8741571498222</c:v>
                </c:pt>
                <c:pt idx="33">
                  <c:v>4066.7011795300355</c:v>
                </c:pt>
                <c:pt idx="34">
                  <c:v>3494.4018480564141</c:v>
                </c:pt>
                <c:pt idx="35">
                  <c:v>3520.0852648639188</c:v>
                </c:pt>
                <c:pt idx="36">
                  <c:v>4287.843395312796</c:v>
                </c:pt>
                <c:pt idx="37">
                  <c:v>4988.2891021119167</c:v>
                </c:pt>
                <c:pt idx="38">
                  <c:v>4480.5470096672007</c:v>
                </c:pt>
                <c:pt idx="39">
                  <c:v>3842.9146733595348</c:v>
                </c:pt>
                <c:pt idx="40">
                  <c:v>3864.2937163477236</c:v>
                </c:pt>
                <c:pt idx="41">
                  <c:v>4699.0838451033369</c:v>
                </c:pt>
                <c:pt idx="42">
                  <c:v>5457.7040470740121</c:v>
                </c:pt>
                <c:pt idx="43">
                  <c:v>4894.3928398043654</c:v>
                </c:pt>
                <c:pt idx="44">
                  <c:v>4191.427498662656</c:v>
                </c:pt>
                <c:pt idx="45">
                  <c:v>4208.5021678315279</c:v>
                </c:pt>
                <c:pt idx="46">
                  <c:v>5110.3242948938796</c:v>
                </c:pt>
                <c:pt idx="47">
                  <c:v>5927.1189920361057</c:v>
                </c:pt>
                <c:pt idx="48">
                  <c:v>5308.238669941531</c:v>
                </c:pt>
                <c:pt idx="49">
                  <c:v>4539.9403239657768</c:v>
                </c:pt>
                <c:pt idx="50">
                  <c:v>4552.7106193153322</c:v>
                </c:pt>
                <c:pt idx="51">
                  <c:v>5521.5647446844205</c:v>
                </c:pt>
                <c:pt idx="52">
                  <c:v>6396.5339369982012</c:v>
                </c:pt>
                <c:pt idx="53">
                  <c:v>5722.0845000786967</c:v>
                </c:pt>
                <c:pt idx="54">
                  <c:v>4888.4531492688984</c:v>
                </c:pt>
                <c:pt idx="55">
                  <c:v>4896.9190707991374</c:v>
                </c:pt>
                <c:pt idx="56">
                  <c:v>5932.8051944749623</c:v>
                </c:pt>
                <c:pt idx="57">
                  <c:v>6865.9488819602957</c:v>
                </c:pt>
                <c:pt idx="58">
                  <c:v>6135.9303302158614</c:v>
                </c:pt>
                <c:pt idx="59">
                  <c:v>5236.9659745720191</c:v>
                </c:pt>
                <c:pt idx="60">
                  <c:v>5241.1275222829418</c:v>
                </c:pt>
                <c:pt idx="61">
                  <c:v>6344.0456442655031</c:v>
                </c:pt>
                <c:pt idx="62">
                  <c:v>7335.3638269223902</c:v>
                </c:pt>
                <c:pt idx="63">
                  <c:v>6549.7761603530271</c:v>
                </c:pt>
                <c:pt idx="64">
                  <c:v>5585.4787998751399</c:v>
                </c:pt>
                <c:pt idx="65">
                  <c:v>5585.3359737667461</c:v>
                </c:pt>
                <c:pt idx="66">
                  <c:v>6755.2860940560449</c:v>
                </c:pt>
                <c:pt idx="67">
                  <c:v>7804.7787718844856</c:v>
                </c:pt>
                <c:pt idx="68">
                  <c:v>6963.6219904901936</c:v>
                </c:pt>
                <c:pt idx="69">
                  <c:v>5933.9916251782615</c:v>
                </c:pt>
                <c:pt idx="70">
                  <c:v>5929.5444252505504</c:v>
                </c:pt>
                <c:pt idx="71">
                  <c:v>7166.5265438465849</c:v>
                </c:pt>
                <c:pt idx="72">
                  <c:v>8274.1937168465793</c:v>
                </c:pt>
                <c:pt idx="73">
                  <c:v>7377.4678206273584</c:v>
                </c:pt>
                <c:pt idx="74">
                  <c:v>6282.5044504813823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9-4A19-9B27-DCA2BF4C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608008"/>
        <c:axId val="839030296"/>
      </c:scatterChart>
      <c:valAx>
        <c:axId val="82960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9030296"/>
        <c:crosses val="autoZero"/>
        <c:crossBetween val="midCat"/>
      </c:valAx>
      <c:valAx>
        <c:axId val="83903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9608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0.16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6.6666666666666666E-2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4-463A-87A2-3B3ABFB38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1088"/>
        <c:axId val="663601480"/>
      </c:barChart>
      <c:catAx>
        <c:axId val="6636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1480"/>
        <c:crosses val="autoZero"/>
        <c:auto val="1"/>
        <c:lblAlgn val="ctr"/>
        <c:lblOffset val="100"/>
        <c:noMultiLvlLbl val="0"/>
      </c:catAx>
      <c:valAx>
        <c:axId val="6636014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1088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0.16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6.6666666666666666E-2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9A-4E46-A9F5-65FB5A4027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2264"/>
        <c:axId val="663602656"/>
      </c:barChart>
      <c:catAx>
        <c:axId val="663602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2656"/>
        <c:crosses val="autoZero"/>
        <c:auto val="1"/>
        <c:lblAlgn val="ctr"/>
        <c:lblOffset val="100"/>
        <c:noMultiLvlLbl val="0"/>
      </c:catAx>
      <c:valAx>
        <c:axId val="663602656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2264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'0.ArdiData'!$K$1</c:f>
              <c:strCache>
                <c:ptCount val="1"/>
                <c:pt idx="0">
                  <c:v>Freq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'0.ArdiData'!$F$2:$F$14</c:f>
              <c:strCache>
                <c:ptCount val="13"/>
                <c:pt idx="0">
                  <c:v>800 - 1600</c:v>
                </c:pt>
                <c:pt idx="1">
                  <c:v>1600 - 2400</c:v>
                </c:pt>
                <c:pt idx="2">
                  <c:v>2400 - 3200</c:v>
                </c:pt>
                <c:pt idx="3">
                  <c:v>3200 - 4000</c:v>
                </c:pt>
                <c:pt idx="4">
                  <c:v>4000 - 4800</c:v>
                </c:pt>
                <c:pt idx="5">
                  <c:v>4800 - 5600</c:v>
                </c:pt>
                <c:pt idx="6">
                  <c:v>5600 - 6400</c:v>
                </c:pt>
                <c:pt idx="7">
                  <c:v>6400 - 7200</c:v>
                </c:pt>
                <c:pt idx="8">
                  <c:v>7200 - 8000</c:v>
                </c:pt>
                <c:pt idx="9">
                  <c:v>8000 - 8800</c:v>
                </c:pt>
                <c:pt idx="10">
                  <c:v>8800 - 9600</c:v>
                </c:pt>
                <c:pt idx="11">
                  <c:v>9600 - 10400</c:v>
                </c:pt>
                <c:pt idx="12">
                  <c:v>10400 - 11200</c:v>
                </c:pt>
              </c:strCache>
            </c:strRef>
          </c:cat>
          <c:val>
            <c:numRef>
              <c:f>'0.ArdiData'!$K$2:$K$14</c:f>
              <c:numCache>
                <c:formatCode>0.00</c:formatCode>
                <c:ptCount val="13"/>
                <c:pt idx="0">
                  <c:v>0.10666666666666667</c:v>
                </c:pt>
                <c:pt idx="1">
                  <c:v>0.12</c:v>
                </c:pt>
                <c:pt idx="2">
                  <c:v>0.13333333333333333</c:v>
                </c:pt>
                <c:pt idx="3">
                  <c:v>0.14666666666666667</c:v>
                </c:pt>
                <c:pt idx="4">
                  <c:v>0.16</c:v>
                </c:pt>
                <c:pt idx="5">
                  <c:v>0.13333333333333333</c:v>
                </c:pt>
                <c:pt idx="6">
                  <c:v>9.3333333333333338E-2</c:v>
                </c:pt>
                <c:pt idx="7">
                  <c:v>6.6666666666666666E-2</c:v>
                </c:pt>
                <c:pt idx="8">
                  <c:v>2.6666666666666668E-2</c:v>
                </c:pt>
                <c:pt idx="9">
                  <c:v>1.3333333333333334E-2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F6-4202-8C2F-02325D6A1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63603440"/>
        <c:axId val="663603832"/>
      </c:barChart>
      <c:catAx>
        <c:axId val="66360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603832"/>
        <c:crosses val="autoZero"/>
        <c:auto val="1"/>
        <c:lblAlgn val="ctr"/>
        <c:lblOffset val="100"/>
        <c:noMultiLvlLbl val="0"/>
      </c:catAx>
      <c:valAx>
        <c:axId val="663603832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663603440"/>
        <c:crosses val="autoZero"/>
        <c:crossBetween val="between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'0.ArdiData'!$B$2</c:f>
          <c:strCache>
            <c:ptCount val="1"/>
            <c:pt idx="0">
              <c:v>No Trend 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'0.ArdiData'!$B$3:$B$77</c:f>
              <c:numCache>
                <c:formatCode>General</c:formatCode>
                <c:ptCount val="75"/>
                <c:pt idx="0">
                  <c:v>4351</c:v>
                </c:pt>
                <c:pt idx="1">
                  <c:v>2738</c:v>
                </c:pt>
                <c:pt idx="2">
                  <c:v>1988</c:v>
                </c:pt>
                <c:pt idx="3">
                  <c:v>1386</c:v>
                </c:pt>
                <c:pt idx="4">
                  <c:v>4617</c:v>
                </c:pt>
                <c:pt idx="5">
                  <c:v>6081</c:v>
                </c:pt>
                <c:pt idx="6">
                  <c:v>1427</c:v>
                </c:pt>
                <c:pt idx="7">
                  <c:v>6523</c:v>
                </c:pt>
                <c:pt idx="8">
                  <c:v>1311</c:v>
                </c:pt>
                <c:pt idx="9">
                  <c:v>4523</c:v>
                </c:pt>
                <c:pt idx="10">
                  <c:v>2070</c:v>
                </c:pt>
                <c:pt idx="11">
                  <c:v>4052</c:v>
                </c:pt>
                <c:pt idx="12">
                  <c:v>5799</c:v>
                </c:pt>
                <c:pt idx="13">
                  <c:v>1590</c:v>
                </c:pt>
                <c:pt idx="14">
                  <c:v>4190</c:v>
                </c:pt>
                <c:pt idx="15">
                  <c:v>1224</c:v>
                </c:pt>
                <c:pt idx="16">
                  <c:v>2955</c:v>
                </c:pt>
                <c:pt idx="17">
                  <c:v>4792</c:v>
                </c:pt>
                <c:pt idx="18">
                  <c:v>5455</c:v>
                </c:pt>
                <c:pt idx="19">
                  <c:v>3236</c:v>
                </c:pt>
                <c:pt idx="20">
                  <c:v>5312</c:v>
                </c:pt>
                <c:pt idx="21">
                  <c:v>5016</c:v>
                </c:pt>
                <c:pt idx="22">
                  <c:v>2301</c:v>
                </c:pt>
                <c:pt idx="23">
                  <c:v>2905</c:v>
                </c:pt>
                <c:pt idx="24">
                  <c:v>4444</c:v>
                </c:pt>
                <c:pt idx="25">
                  <c:v>4954</c:v>
                </c:pt>
                <c:pt idx="26">
                  <c:v>2418</c:v>
                </c:pt>
                <c:pt idx="27">
                  <c:v>1684</c:v>
                </c:pt>
                <c:pt idx="28">
                  <c:v>5420</c:v>
                </c:pt>
                <c:pt idx="29">
                  <c:v>6070</c:v>
                </c:pt>
                <c:pt idx="30">
                  <c:v>2174</c:v>
                </c:pt>
                <c:pt idx="31">
                  <c:v>2403</c:v>
                </c:pt>
                <c:pt idx="32">
                  <c:v>7356</c:v>
                </c:pt>
                <c:pt idx="33">
                  <c:v>4600</c:v>
                </c:pt>
                <c:pt idx="34">
                  <c:v>3980</c:v>
                </c:pt>
                <c:pt idx="35">
                  <c:v>2550</c:v>
                </c:pt>
                <c:pt idx="36">
                  <c:v>3819</c:v>
                </c:pt>
                <c:pt idx="37">
                  <c:v>1562</c:v>
                </c:pt>
                <c:pt idx="38">
                  <c:v>4500</c:v>
                </c:pt>
                <c:pt idx="39">
                  <c:v>5566</c:v>
                </c:pt>
                <c:pt idx="40">
                  <c:v>2770</c:v>
                </c:pt>
                <c:pt idx="41">
                  <c:v>1693</c:v>
                </c:pt>
                <c:pt idx="42">
                  <c:v>2641</c:v>
                </c:pt>
                <c:pt idx="43">
                  <c:v>5568</c:v>
                </c:pt>
                <c:pt idx="44">
                  <c:v>4559</c:v>
                </c:pt>
                <c:pt idx="45">
                  <c:v>7199</c:v>
                </c:pt>
                <c:pt idx="46">
                  <c:v>4055</c:v>
                </c:pt>
                <c:pt idx="47">
                  <c:v>2352</c:v>
                </c:pt>
                <c:pt idx="48">
                  <c:v>5294</c:v>
                </c:pt>
                <c:pt idx="49">
                  <c:v>4983</c:v>
                </c:pt>
                <c:pt idx="50">
                  <c:v>3352</c:v>
                </c:pt>
                <c:pt idx="51">
                  <c:v>8716</c:v>
                </c:pt>
                <c:pt idx="52">
                  <c:v>5668</c:v>
                </c:pt>
                <c:pt idx="53">
                  <c:v>3446</c:v>
                </c:pt>
                <c:pt idx="54">
                  <c:v>3140</c:v>
                </c:pt>
                <c:pt idx="55">
                  <c:v>7087</c:v>
                </c:pt>
                <c:pt idx="56">
                  <c:v>1928</c:v>
                </c:pt>
                <c:pt idx="57">
                  <c:v>3318</c:v>
                </c:pt>
                <c:pt idx="58">
                  <c:v>5651</c:v>
                </c:pt>
                <c:pt idx="59">
                  <c:v>1423</c:v>
                </c:pt>
                <c:pt idx="60">
                  <c:v>7623</c:v>
                </c:pt>
                <c:pt idx="61">
                  <c:v>3579</c:v>
                </c:pt>
                <c:pt idx="62">
                  <c:v>6262</c:v>
                </c:pt>
                <c:pt idx="63">
                  <c:v>6569</c:v>
                </c:pt>
                <c:pt idx="64">
                  <c:v>1013</c:v>
                </c:pt>
                <c:pt idx="65">
                  <c:v>1986</c:v>
                </c:pt>
                <c:pt idx="66">
                  <c:v>2924</c:v>
                </c:pt>
                <c:pt idx="67">
                  <c:v>5881</c:v>
                </c:pt>
                <c:pt idx="68">
                  <c:v>3462</c:v>
                </c:pt>
                <c:pt idx="69">
                  <c:v>5356</c:v>
                </c:pt>
                <c:pt idx="70">
                  <c:v>6688</c:v>
                </c:pt>
                <c:pt idx="71">
                  <c:v>4792</c:v>
                </c:pt>
                <c:pt idx="72">
                  <c:v>3547</c:v>
                </c:pt>
                <c:pt idx="73">
                  <c:v>3677</c:v>
                </c:pt>
                <c:pt idx="74">
                  <c:v>3882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21-4F0E-9A48-E4C386973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'0.ArdiData'!$C$2</c:f>
          <c:strCache>
            <c:ptCount val="1"/>
            <c:pt idx="0">
              <c:v>Trend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'0.ArdiData'!$C$3:$C$77</c:f>
              <c:numCache>
                <c:formatCode>General</c:formatCode>
                <c:ptCount val="75"/>
                <c:pt idx="0">
                  <c:v>1013</c:v>
                </c:pt>
                <c:pt idx="1">
                  <c:v>1224</c:v>
                </c:pt>
                <c:pt idx="2">
                  <c:v>1311</c:v>
                </c:pt>
                <c:pt idx="3">
                  <c:v>1386</c:v>
                </c:pt>
                <c:pt idx="4">
                  <c:v>1423</c:v>
                </c:pt>
                <c:pt idx="5">
                  <c:v>1427</c:v>
                </c:pt>
                <c:pt idx="6">
                  <c:v>1590</c:v>
                </c:pt>
                <c:pt idx="7">
                  <c:v>1562</c:v>
                </c:pt>
                <c:pt idx="8">
                  <c:v>1986</c:v>
                </c:pt>
                <c:pt idx="9">
                  <c:v>1684</c:v>
                </c:pt>
                <c:pt idx="10">
                  <c:v>1693</c:v>
                </c:pt>
                <c:pt idx="11">
                  <c:v>1928</c:v>
                </c:pt>
                <c:pt idx="12">
                  <c:v>2070</c:v>
                </c:pt>
                <c:pt idx="13">
                  <c:v>2301</c:v>
                </c:pt>
                <c:pt idx="14">
                  <c:v>2403</c:v>
                </c:pt>
                <c:pt idx="15">
                  <c:v>1988</c:v>
                </c:pt>
                <c:pt idx="16">
                  <c:v>2352</c:v>
                </c:pt>
                <c:pt idx="17">
                  <c:v>2174</c:v>
                </c:pt>
                <c:pt idx="18">
                  <c:v>2418</c:v>
                </c:pt>
                <c:pt idx="19">
                  <c:v>2550</c:v>
                </c:pt>
                <c:pt idx="20">
                  <c:v>2905</c:v>
                </c:pt>
                <c:pt idx="21">
                  <c:v>2738</c:v>
                </c:pt>
                <c:pt idx="22">
                  <c:v>2770</c:v>
                </c:pt>
                <c:pt idx="23">
                  <c:v>2924</c:v>
                </c:pt>
                <c:pt idx="24">
                  <c:v>2641</c:v>
                </c:pt>
                <c:pt idx="25">
                  <c:v>3140</c:v>
                </c:pt>
                <c:pt idx="26">
                  <c:v>2955</c:v>
                </c:pt>
                <c:pt idx="27">
                  <c:v>3547</c:v>
                </c:pt>
                <c:pt idx="28">
                  <c:v>3579</c:v>
                </c:pt>
                <c:pt idx="29">
                  <c:v>3236</c:v>
                </c:pt>
                <c:pt idx="30">
                  <c:v>3352</c:v>
                </c:pt>
                <c:pt idx="31">
                  <c:v>3318</c:v>
                </c:pt>
                <c:pt idx="32">
                  <c:v>3446</c:v>
                </c:pt>
                <c:pt idx="33">
                  <c:v>3462</c:v>
                </c:pt>
                <c:pt idx="34">
                  <c:v>3677</c:v>
                </c:pt>
                <c:pt idx="35">
                  <c:v>4052</c:v>
                </c:pt>
                <c:pt idx="36">
                  <c:v>3819</c:v>
                </c:pt>
                <c:pt idx="37">
                  <c:v>3882</c:v>
                </c:pt>
                <c:pt idx="38">
                  <c:v>3980</c:v>
                </c:pt>
                <c:pt idx="39">
                  <c:v>4190</c:v>
                </c:pt>
                <c:pt idx="40">
                  <c:v>4055</c:v>
                </c:pt>
                <c:pt idx="41">
                  <c:v>4559</c:v>
                </c:pt>
                <c:pt idx="42">
                  <c:v>4500</c:v>
                </c:pt>
                <c:pt idx="43">
                  <c:v>4523</c:v>
                </c:pt>
                <c:pt idx="44">
                  <c:v>4600</c:v>
                </c:pt>
                <c:pt idx="45">
                  <c:v>4617</c:v>
                </c:pt>
                <c:pt idx="46">
                  <c:v>4351</c:v>
                </c:pt>
                <c:pt idx="47">
                  <c:v>4444</c:v>
                </c:pt>
                <c:pt idx="48">
                  <c:v>4792</c:v>
                </c:pt>
                <c:pt idx="49">
                  <c:v>4792</c:v>
                </c:pt>
                <c:pt idx="50">
                  <c:v>4954</c:v>
                </c:pt>
                <c:pt idx="51">
                  <c:v>5294</c:v>
                </c:pt>
                <c:pt idx="52">
                  <c:v>5016</c:v>
                </c:pt>
                <c:pt idx="53">
                  <c:v>4983</c:v>
                </c:pt>
                <c:pt idx="54">
                  <c:v>5312</c:v>
                </c:pt>
                <c:pt idx="55">
                  <c:v>5356</c:v>
                </c:pt>
                <c:pt idx="56">
                  <c:v>5455</c:v>
                </c:pt>
                <c:pt idx="57">
                  <c:v>5668</c:v>
                </c:pt>
                <c:pt idx="58">
                  <c:v>5420</c:v>
                </c:pt>
                <c:pt idx="59">
                  <c:v>5566</c:v>
                </c:pt>
                <c:pt idx="60">
                  <c:v>5568</c:v>
                </c:pt>
                <c:pt idx="61">
                  <c:v>5651</c:v>
                </c:pt>
                <c:pt idx="62">
                  <c:v>5881</c:v>
                </c:pt>
                <c:pt idx="63">
                  <c:v>5799</c:v>
                </c:pt>
                <c:pt idx="64">
                  <c:v>6523</c:v>
                </c:pt>
                <c:pt idx="65">
                  <c:v>6081</c:v>
                </c:pt>
                <c:pt idx="66">
                  <c:v>6262</c:v>
                </c:pt>
                <c:pt idx="67">
                  <c:v>6070</c:v>
                </c:pt>
                <c:pt idx="68">
                  <c:v>6569</c:v>
                </c:pt>
                <c:pt idx="69">
                  <c:v>6688</c:v>
                </c:pt>
                <c:pt idx="70">
                  <c:v>7199</c:v>
                </c:pt>
                <c:pt idx="71">
                  <c:v>8716</c:v>
                </c:pt>
                <c:pt idx="72">
                  <c:v>7087</c:v>
                </c:pt>
                <c:pt idx="73">
                  <c:v>7356</c:v>
                </c:pt>
                <c:pt idx="74">
                  <c:v>7623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2E9C-48FB-BF39-FCC8A3AB3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0696"/>
        <c:axId val="663605792"/>
      </c:scatterChart>
      <c:valAx>
        <c:axId val="66360069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792"/>
        <c:crosses val="autoZero"/>
        <c:crossBetween val="midCat"/>
      </c:valAx>
      <c:valAx>
        <c:axId val="663605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069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strRef>
          <c:f>'0.ArdiData'!$D$2</c:f>
          <c:strCache>
            <c:ptCount val="1"/>
            <c:pt idx="0">
              <c:v>Trend&amp;Seas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'0.ArdiData'!$A$3:$A$77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'0.ArdiData'!$D$3:$D$77</c:f>
              <c:numCache>
                <c:formatCode>General</c:formatCode>
                <c:ptCount val="75"/>
                <c:pt idx="0">
                  <c:v>1013</c:v>
                </c:pt>
                <c:pt idx="1">
                  <c:v>1224</c:v>
                </c:pt>
                <c:pt idx="2">
                  <c:v>1427</c:v>
                </c:pt>
                <c:pt idx="3">
                  <c:v>1423</c:v>
                </c:pt>
                <c:pt idx="4">
                  <c:v>1311</c:v>
                </c:pt>
                <c:pt idx="5">
                  <c:v>1386</c:v>
                </c:pt>
                <c:pt idx="6">
                  <c:v>1562</c:v>
                </c:pt>
                <c:pt idx="7">
                  <c:v>2070</c:v>
                </c:pt>
                <c:pt idx="8">
                  <c:v>1693</c:v>
                </c:pt>
                <c:pt idx="9">
                  <c:v>1684</c:v>
                </c:pt>
                <c:pt idx="10">
                  <c:v>1590</c:v>
                </c:pt>
                <c:pt idx="11">
                  <c:v>1986</c:v>
                </c:pt>
                <c:pt idx="12">
                  <c:v>2550</c:v>
                </c:pt>
                <c:pt idx="13">
                  <c:v>2301</c:v>
                </c:pt>
                <c:pt idx="14">
                  <c:v>1988</c:v>
                </c:pt>
                <c:pt idx="15">
                  <c:v>1928</c:v>
                </c:pt>
                <c:pt idx="16">
                  <c:v>2418</c:v>
                </c:pt>
                <c:pt idx="17">
                  <c:v>3236</c:v>
                </c:pt>
                <c:pt idx="18">
                  <c:v>2403</c:v>
                </c:pt>
                <c:pt idx="19">
                  <c:v>2174</c:v>
                </c:pt>
                <c:pt idx="20">
                  <c:v>2352</c:v>
                </c:pt>
                <c:pt idx="21">
                  <c:v>2738</c:v>
                </c:pt>
                <c:pt idx="22">
                  <c:v>3352</c:v>
                </c:pt>
                <c:pt idx="23">
                  <c:v>2955</c:v>
                </c:pt>
                <c:pt idx="24">
                  <c:v>2770</c:v>
                </c:pt>
                <c:pt idx="25">
                  <c:v>2641</c:v>
                </c:pt>
                <c:pt idx="26">
                  <c:v>3547</c:v>
                </c:pt>
                <c:pt idx="27">
                  <c:v>3677</c:v>
                </c:pt>
                <c:pt idx="28">
                  <c:v>3462</c:v>
                </c:pt>
                <c:pt idx="29">
                  <c:v>2905</c:v>
                </c:pt>
                <c:pt idx="30">
                  <c:v>2924</c:v>
                </c:pt>
                <c:pt idx="31">
                  <c:v>3980</c:v>
                </c:pt>
                <c:pt idx="32">
                  <c:v>4617</c:v>
                </c:pt>
                <c:pt idx="33">
                  <c:v>4055</c:v>
                </c:pt>
                <c:pt idx="34">
                  <c:v>3140</c:v>
                </c:pt>
                <c:pt idx="35">
                  <c:v>3318</c:v>
                </c:pt>
                <c:pt idx="36">
                  <c:v>3819</c:v>
                </c:pt>
                <c:pt idx="37">
                  <c:v>4792</c:v>
                </c:pt>
                <c:pt idx="38">
                  <c:v>4500</c:v>
                </c:pt>
                <c:pt idx="39">
                  <c:v>3446</c:v>
                </c:pt>
                <c:pt idx="40">
                  <c:v>3579</c:v>
                </c:pt>
                <c:pt idx="41">
                  <c:v>4351</c:v>
                </c:pt>
                <c:pt idx="42">
                  <c:v>5420</c:v>
                </c:pt>
                <c:pt idx="43">
                  <c:v>4190</c:v>
                </c:pt>
                <c:pt idx="44">
                  <c:v>3882</c:v>
                </c:pt>
                <c:pt idx="45">
                  <c:v>4052</c:v>
                </c:pt>
                <c:pt idx="46">
                  <c:v>5294</c:v>
                </c:pt>
                <c:pt idx="47">
                  <c:v>6070</c:v>
                </c:pt>
                <c:pt idx="48">
                  <c:v>4983</c:v>
                </c:pt>
                <c:pt idx="49">
                  <c:v>4559</c:v>
                </c:pt>
                <c:pt idx="50">
                  <c:v>4523</c:v>
                </c:pt>
                <c:pt idx="51">
                  <c:v>5356</c:v>
                </c:pt>
                <c:pt idx="52">
                  <c:v>6262</c:v>
                </c:pt>
                <c:pt idx="53">
                  <c:v>5016</c:v>
                </c:pt>
                <c:pt idx="54">
                  <c:v>4444</c:v>
                </c:pt>
                <c:pt idx="55">
                  <c:v>4600</c:v>
                </c:pt>
                <c:pt idx="56">
                  <c:v>5881</c:v>
                </c:pt>
                <c:pt idx="57">
                  <c:v>7087</c:v>
                </c:pt>
                <c:pt idx="58">
                  <c:v>5668</c:v>
                </c:pt>
                <c:pt idx="59">
                  <c:v>4792</c:v>
                </c:pt>
                <c:pt idx="60">
                  <c:v>4954</c:v>
                </c:pt>
                <c:pt idx="61">
                  <c:v>5568</c:v>
                </c:pt>
                <c:pt idx="62">
                  <c:v>6688</c:v>
                </c:pt>
                <c:pt idx="63">
                  <c:v>5651</c:v>
                </c:pt>
                <c:pt idx="64">
                  <c:v>5312</c:v>
                </c:pt>
                <c:pt idx="65">
                  <c:v>5455</c:v>
                </c:pt>
                <c:pt idx="66">
                  <c:v>6569</c:v>
                </c:pt>
                <c:pt idx="67">
                  <c:v>7623</c:v>
                </c:pt>
                <c:pt idx="68">
                  <c:v>7199</c:v>
                </c:pt>
                <c:pt idx="69">
                  <c:v>5799</c:v>
                </c:pt>
                <c:pt idx="70">
                  <c:v>5566</c:v>
                </c:pt>
                <c:pt idx="71">
                  <c:v>7356</c:v>
                </c:pt>
                <c:pt idx="72">
                  <c:v>8716</c:v>
                </c:pt>
                <c:pt idx="73">
                  <c:v>6523</c:v>
                </c:pt>
                <c:pt idx="74">
                  <c:v>6081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 xmlns:c16="http://schemas.microsoft.com/office/drawing/2014/chart">
                      <c:ext uri="{02D57815-91ED-43cb-92C2-25804820EDAC}">
                        <c15:formulaRef>
                          <c15:sqref>ArdiData!#REF!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71-4362-B8E1-5E34F771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6576"/>
        <c:axId val="663606968"/>
      </c:scatterChart>
      <c:valAx>
        <c:axId val="663606576"/>
        <c:scaling>
          <c:orientation val="minMax"/>
          <c:max val="75"/>
        </c:scaling>
        <c:delete val="0"/>
        <c:axPos val="b"/>
        <c:numFmt formatCode="General" sourceLinked="1"/>
        <c:majorTickMark val="out"/>
        <c:minorTickMark val="none"/>
        <c:tickLblPos val="nextTo"/>
        <c:crossAx val="663606968"/>
        <c:crosses val="autoZero"/>
        <c:crossBetween val="midCat"/>
      </c:valAx>
      <c:valAx>
        <c:axId val="6636069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657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'0.Regression'!$Q$2</c:f>
          <c:strCache>
            <c:ptCount val="1"/>
            <c:pt idx="0">
              <c:v>Regression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'0.Regression'!$C$2</c:f>
              <c:strCache>
                <c:ptCount val="1"/>
                <c:pt idx="0">
                  <c:v>At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'0.Regression'!$C$3:$C$52</c:f>
              <c:numCache>
                <c:formatCode>General</c:formatCode>
                <c:ptCount val="50"/>
                <c:pt idx="0">
                  <c:v>26</c:v>
                </c:pt>
                <c:pt idx="1">
                  <c:v>22</c:v>
                </c:pt>
                <c:pt idx="2">
                  <c:v>11</c:v>
                </c:pt>
                <c:pt idx="3">
                  <c:v>3</c:v>
                </c:pt>
                <c:pt idx="4">
                  <c:v>28</c:v>
                </c:pt>
                <c:pt idx="5">
                  <c:v>13</c:v>
                </c:pt>
                <c:pt idx="6">
                  <c:v>8</c:v>
                </c:pt>
                <c:pt idx="7">
                  <c:v>7</c:v>
                </c:pt>
                <c:pt idx="8">
                  <c:v>32</c:v>
                </c:pt>
                <c:pt idx="9">
                  <c:v>41</c:v>
                </c:pt>
                <c:pt idx="10">
                  <c:v>9</c:v>
                </c:pt>
                <c:pt idx="11">
                  <c:v>14</c:v>
                </c:pt>
                <c:pt idx="12">
                  <c:v>35</c:v>
                </c:pt>
                <c:pt idx="13">
                  <c:v>39</c:v>
                </c:pt>
                <c:pt idx="14">
                  <c:v>28</c:v>
                </c:pt>
                <c:pt idx="15">
                  <c:v>19</c:v>
                </c:pt>
                <c:pt idx="16">
                  <c:v>68</c:v>
                </c:pt>
                <c:pt idx="17">
                  <c:v>16</c:v>
                </c:pt>
                <c:pt idx="18">
                  <c:v>27</c:v>
                </c:pt>
                <c:pt idx="19">
                  <c:v>10</c:v>
                </c:pt>
                <c:pt idx="20">
                  <c:v>27</c:v>
                </c:pt>
                <c:pt idx="21">
                  <c:v>38</c:v>
                </c:pt>
                <c:pt idx="22">
                  <c:v>38</c:v>
                </c:pt>
                <c:pt idx="23">
                  <c:v>32</c:v>
                </c:pt>
                <c:pt idx="24">
                  <c:v>36</c:v>
                </c:pt>
                <c:pt idx="25">
                  <c:v>53</c:v>
                </c:pt>
                <c:pt idx="26">
                  <c:v>45</c:v>
                </c:pt>
                <c:pt idx="27">
                  <c:v>23</c:v>
                </c:pt>
                <c:pt idx="28">
                  <c:v>16</c:v>
                </c:pt>
                <c:pt idx="29">
                  <c:v>20</c:v>
                </c:pt>
                <c:pt idx="30">
                  <c:v>29</c:v>
                </c:pt>
                <c:pt idx="31">
                  <c:v>78</c:v>
                </c:pt>
                <c:pt idx="32">
                  <c:v>3</c:v>
                </c:pt>
                <c:pt idx="33">
                  <c:v>31</c:v>
                </c:pt>
                <c:pt idx="34">
                  <c:v>12</c:v>
                </c:pt>
                <c:pt idx="35">
                  <c:v>55</c:v>
                </c:pt>
                <c:pt idx="36">
                  <c:v>20</c:v>
                </c:pt>
                <c:pt idx="37">
                  <c:v>6</c:v>
                </c:pt>
                <c:pt idx="38">
                  <c:v>59</c:v>
                </c:pt>
                <c:pt idx="39">
                  <c:v>51</c:v>
                </c:pt>
                <c:pt idx="40">
                  <c:v>2</c:v>
                </c:pt>
                <c:pt idx="41">
                  <c:v>67</c:v>
                </c:pt>
                <c:pt idx="42">
                  <c:v>65</c:v>
                </c:pt>
                <c:pt idx="43">
                  <c:v>43</c:v>
                </c:pt>
                <c:pt idx="44">
                  <c:v>27</c:v>
                </c:pt>
                <c:pt idx="45">
                  <c:v>31</c:v>
                </c:pt>
                <c:pt idx="46">
                  <c:v>43</c:v>
                </c:pt>
                <c:pt idx="47">
                  <c:v>15</c:v>
                </c:pt>
                <c:pt idx="48">
                  <c:v>37</c:v>
                </c:pt>
                <c:pt idx="49">
                  <c:v>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D-46A1-AEAF-8263DD15336B}"/>
            </c:ext>
          </c:extLst>
        </c:ser>
        <c:ser>
          <c:idx val="1"/>
          <c:order val="1"/>
          <c:tx>
            <c:strRef>
              <c:f>'0.Regression'!$D$2</c:f>
              <c:strCache>
                <c:ptCount val="1"/>
                <c:pt idx="0">
                  <c:v>Yhat (Reg)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'0.Regression'!$B$3:$B$52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'0.Regression'!$D$3:$D$52</c:f>
              <c:numCache>
                <c:formatCode>0.0</c:formatCode>
                <c:ptCount val="50"/>
                <c:pt idx="0">
                  <c:v>19.818823529411763</c:v>
                </c:pt>
                <c:pt idx="1">
                  <c:v>20.229483793517407</c:v>
                </c:pt>
                <c:pt idx="2">
                  <c:v>20.640144057623047</c:v>
                </c:pt>
                <c:pt idx="3">
                  <c:v>21.050804321728691</c:v>
                </c:pt>
                <c:pt idx="4">
                  <c:v>21.461464585834332</c:v>
                </c:pt>
                <c:pt idx="5">
                  <c:v>21.872124849939976</c:v>
                </c:pt>
                <c:pt idx="6">
                  <c:v>22.282785114045616</c:v>
                </c:pt>
                <c:pt idx="7">
                  <c:v>22.69344537815126</c:v>
                </c:pt>
                <c:pt idx="8">
                  <c:v>23.104105642256901</c:v>
                </c:pt>
                <c:pt idx="9">
                  <c:v>23.514765906362545</c:v>
                </c:pt>
                <c:pt idx="10">
                  <c:v>23.925426170468185</c:v>
                </c:pt>
                <c:pt idx="11">
                  <c:v>24.336086434573829</c:v>
                </c:pt>
                <c:pt idx="12">
                  <c:v>24.74674669867947</c:v>
                </c:pt>
                <c:pt idx="13">
                  <c:v>25.15740696278511</c:v>
                </c:pt>
                <c:pt idx="14">
                  <c:v>25.568067226890754</c:v>
                </c:pt>
                <c:pt idx="15">
                  <c:v>25.978727490996398</c:v>
                </c:pt>
                <c:pt idx="16">
                  <c:v>26.389387755102039</c:v>
                </c:pt>
                <c:pt idx="17">
                  <c:v>26.800048019207679</c:v>
                </c:pt>
                <c:pt idx="18">
                  <c:v>27.210708283313323</c:v>
                </c:pt>
                <c:pt idx="19">
                  <c:v>27.621368547418967</c:v>
                </c:pt>
                <c:pt idx="20">
                  <c:v>28.032028811524608</c:v>
                </c:pt>
                <c:pt idx="21">
                  <c:v>28.442689075630248</c:v>
                </c:pt>
                <c:pt idx="22">
                  <c:v>28.853349339735892</c:v>
                </c:pt>
                <c:pt idx="23">
                  <c:v>29.264009603841533</c:v>
                </c:pt>
                <c:pt idx="24">
                  <c:v>29.674669867947173</c:v>
                </c:pt>
                <c:pt idx="25">
                  <c:v>30.085330132052817</c:v>
                </c:pt>
                <c:pt idx="26">
                  <c:v>30.495990396158462</c:v>
                </c:pt>
                <c:pt idx="27">
                  <c:v>30.906650660264102</c:v>
                </c:pt>
                <c:pt idx="28">
                  <c:v>31.317310924369743</c:v>
                </c:pt>
                <c:pt idx="29">
                  <c:v>31.727971188475387</c:v>
                </c:pt>
                <c:pt idx="30">
                  <c:v>32.138631452581031</c:v>
                </c:pt>
                <c:pt idx="31">
                  <c:v>32.549291716686668</c:v>
                </c:pt>
                <c:pt idx="32">
                  <c:v>32.959951980792312</c:v>
                </c:pt>
                <c:pt idx="33">
                  <c:v>33.370612244897956</c:v>
                </c:pt>
                <c:pt idx="34">
                  <c:v>33.7812725090036</c:v>
                </c:pt>
                <c:pt idx="35">
                  <c:v>34.191932773109244</c:v>
                </c:pt>
                <c:pt idx="36">
                  <c:v>34.602593037214881</c:v>
                </c:pt>
                <c:pt idx="37">
                  <c:v>35.013253301320525</c:v>
                </c:pt>
                <c:pt idx="38">
                  <c:v>35.423913565426162</c:v>
                </c:pt>
                <c:pt idx="39">
                  <c:v>35.834573829531806</c:v>
                </c:pt>
                <c:pt idx="40">
                  <c:v>36.24523409363745</c:v>
                </c:pt>
                <c:pt idx="41">
                  <c:v>36.655894357743094</c:v>
                </c:pt>
                <c:pt idx="42">
                  <c:v>37.066554621848738</c:v>
                </c:pt>
                <c:pt idx="43">
                  <c:v>37.477214885954382</c:v>
                </c:pt>
                <c:pt idx="44">
                  <c:v>37.887875150060019</c:v>
                </c:pt>
                <c:pt idx="45">
                  <c:v>38.298535414165663</c:v>
                </c:pt>
                <c:pt idx="46">
                  <c:v>38.7091956782713</c:v>
                </c:pt>
                <c:pt idx="47">
                  <c:v>39.119855942376944</c:v>
                </c:pt>
                <c:pt idx="48">
                  <c:v>39.530516206482588</c:v>
                </c:pt>
                <c:pt idx="49">
                  <c:v>39.941176470588232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D-46A1-AEAF-8263DD153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1288"/>
        <c:axId val="663231680"/>
      </c:scatterChart>
      <c:valAx>
        <c:axId val="663231288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680"/>
        <c:crosses val="autoZero"/>
        <c:crossBetween val="midCat"/>
      </c:valAx>
      <c:valAx>
        <c:axId val="66323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1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TrAdES!$O$1</c:f>
          <c:strCache>
            <c:ptCount val="1"/>
            <c:pt idx="0">
              <c:v> F(next) ~ N ( 11080, 664)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TrAdES!$C$1</c:f>
              <c:strCache>
                <c:ptCount val="1"/>
                <c:pt idx="0">
                  <c:v>Actual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TrAdES!$C$3:$C$77</c:f>
              <c:numCache>
                <c:formatCode>0</c:formatCode>
                <c:ptCount val="75"/>
                <c:pt idx="0">
                  <c:v>1113.3499253558266</c:v>
                </c:pt>
                <c:pt idx="1">
                  <c:v>1222.4509615075469</c:v>
                </c:pt>
                <c:pt idx="2">
                  <c:v>1815.9308993190284</c:v>
                </c:pt>
                <c:pt idx="3">
                  <c:v>1877.6018297269898</c:v>
                </c:pt>
                <c:pt idx="4">
                  <c:v>1437.7413264412648</c:v>
                </c:pt>
                <c:pt idx="5">
                  <c:v>1885.961866319813</c:v>
                </c:pt>
                <c:pt idx="6">
                  <c:v>1911.083953307721</c:v>
                </c:pt>
                <c:pt idx="7">
                  <c:v>1960.2999710554132</c:v>
                </c:pt>
                <c:pt idx="8">
                  <c:v>2414.1948755502854</c:v>
                </c:pt>
                <c:pt idx="9">
                  <c:v>2386.0381627363281</c:v>
                </c:pt>
                <c:pt idx="10">
                  <c:v>2360.0321962860157</c:v>
                </c:pt>
                <c:pt idx="11">
                  <c:v>2374.8996096579372</c:v>
                </c:pt>
                <c:pt idx="12">
                  <c:v>2837.1005129516102</c:v>
                </c:pt>
                <c:pt idx="13">
                  <c:v>2930.8445360245173</c:v>
                </c:pt>
                <c:pt idx="14">
                  <c:v>2610.1441965075874</c:v>
                </c:pt>
                <c:pt idx="15">
                  <c:v>3135.2317628620631</c:v>
                </c:pt>
                <c:pt idx="16">
                  <c:v>2997.405744195491</c:v>
                </c:pt>
                <c:pt idx="17">
                  <c:v>2897.6453125752814</c:v>
                </c:pt>
                <c:pt idx="18">
                  <c:v>2451.4955445656897</c:v>
                </c:pt>
                <c:pt idx="19">
                  <c:v>3606.7892415047718</c:v>
                </c:pt>
                <c:pt idx="20">
                  <c:v>3329.4002934339937</c:v>
                </c:pt>
                <c:pt idx="21">
                  <c:v>3271.7372704254626</c:v>
                </c:pt>
                <c:pt idx="22">
                  <c:v>3370.7908457036756</c:v>
                </c:pt>
                <c:pt idx="23">
                  <c:v>3326.6171341495628</c:v>
                </c:pt>
                <c:pt idx="24">
                  <c:v>3919.3323507327541</c:v>
                </c:pt>
                <c:pt idx="25">
                  <c:v>3932.7496928280202</c:v>
                </c:pt>
                <c:pt idx="26">
                  <c:v>3271.4587202821313</c:v>
                </c:pt>
                <c:pt idx="27">
                  <c:v>4226.8800578487453</c:v>
                </c:pt>
                <c:pt idx="28">
                  <c:v>3676.4065496322846</c:v>
                </c:pt>
                <c:pt idx="29">
                  <c:v>3709.9538102697975</c:v>
                </c:pt>
                <c:pt idx="30">
                  <c:v>4309.3917506051803</c:v>
                </c:pt>
                <c:pt idx="31">
                  <c:v>3396.6468613345064</c:v>
                </c:pt>
                <c:pt idx="32">
                  <c:v>3425.2650395092878</c:v>
                </c:pt>
                <c:pt idx="33">
                  <c:v>3382.8091450329844</c:v>
                </c:pt>
                <c:pt idx="34">
                  <c:v>3846.9349712677931</c:v>
                </c:pt>
                <c:pt idx="35">
                  <c:v>4335.4663999878339</c:v>
                </c:pt>
                <c:pt idx="36">
                  <c:v>3778.0879495342488</c:v>
                </c:pt>
                <c:pt idx="37">
                  <c:v>4091.3217573787838</c:v>
                </c:pt>
                <c:pt idx="38">
                  <c:v>5031.5420497583082</c:v>
                </c:pt>
                <c:pt idx="39">
                  <c:v>4204.3946084920954</c:v>
                </c:pt>
                <c:pt idx="40">
                  <c:v>5586.0237690188087</c:v>
                </c:pt>
                <c:pt idx="41">
                  <c:v>5777.5611763875086</c:v>
                </c:pt>
                <c:pt idx="42">
                  <c:v>5672.6454679130029</c:v>
                </c:pt>
                <c:pt idx="43">
                  <c:v>4442.4749424361789</c:v>
                </c:pt>
                <c:pt idx="44">
                  <c:v>6116.4376324786244</c:v>
                </c:pt>
                <c:pt idx="45">
                  <c:v>4831.7623955679137</c:v>
                </c:pt>
                <c:pt idx="46">
                  <c:v>6206.0910692130574</c:v>
                </c:pt>
                <c:pt idx="47">
                  <c:v>5086.0787376555791</c:v>
                </c:pt>
                <c:pt idx="48">
                  <c:v>5256.5559094460787</c:v>
                </c:pt>
                <c:pt idx="49">
                  <c:v>5988.37014518462</c:v>
                </c:pt>
                <c:pt idx="50">
                  <c:v>6526.7676661512296</c:v>
                </c:pt>
                <c:pt idx="51">
                  <c:v>5794.3331193675949</c:v>
                </c:pt>
                <c:pt idx="52">
                  <c:v>5545.614554778329</c:v>
                </c:pt>
                <c:pt idx="53">
                  <c:v>6272.3581433243171</c:v>
                </c:pt>
                <c:pt idx="54">
                  <c:v>5129.4309137141636</c:v>
                </c:pt>
                <c:pt idx="55">
                  <c:v>5666.7623903768372</c:v>
                </c:pt>
                <c:pt idx="56">
                  <c:v>6383.3602430207802</c:v>
                </c:pt>
                <c:pt idx="57">
                  <c:v>6421.0416971132518</c:v>
                </c:pt>
                <c:pt idx="58">
                  <c:v>6732.3029027761122</c:v>
                </c:pt>
                <c:pt idx="59">
                  <c:v>5383.813648815224</c:v>
                </c:pt>
                <c:pt idx="60">
                  <c:v>6306.029263075081</c:v>
                </c:pt>
                <c:pt idx="61">
                  <c:v>6344.73822659077</c:v>
                </c:pt>
                <c:pt idx="62">
                  <c:v>6433.484918596806</c:v>
                </c:pt>
                <c:pt idx="63">
                  <c:v>7126.6521295344728</c:v>
                </c:pt>
                <c:pt idx="64">
                  <c:v>7865.1338288516981</c:v>
                </c:pt>
                <c:pt idx="65">
                  <c:v>7010.35704845092</c:v>
                </c:pt>
                <c:pt idx="66">
                  <c:v>9422.7261880039478</c:v>
                </c:pt>
                <c:pt idx="67">
                  <c:v>7040.5275765927445</c:v>
                </c:pt>
                <c:pt idx="68">
                  <c:v>9903.7758241325882</c:v>
                </c:pt>
                <c:pt idx="69">
                  <c:v>7385.6932650971721</c:v>
                </c:pt>
                <c:pt idx="70">
                  <c:v>9011.9704290236768</c:v>
                </c:pt>
                <c:pt idx="71">
                  <c:v>10014.199326672129</c:v>
                </c:pt>
                <c:pt idx="72">
                  <c:v>10910.3731121908</c:v>
                </c:pt>
                <c:pt idx="73">
                  <c:v>8358.5918304447059</c:v>
                </c:pt>
                <c:pt idx="74">
                  <c:v>12058.374214587961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40-46CB-A65E-433752E86294}"/>
            </c:ext>
          </c:extLst>
        </c:ser>
        <c:ser>
          <c:idx val="1"/>
          <c:order val="1"/>
          <c:tx>
            <c:strRef>
              <c:f>TrAdES!$F$1</c:f>
              <c:strCache>
                <c:ptCount val="1"/>
                <c:pt idx="0">
                  <c:v>ES-Forc</c:v>
                </c:pt>
              </c:strCache>
            </c:strRef>
          </c:tx>
          <c:xVal>
            <c:numRef>
              <c:f>TrAdES!$A$3:$A$77</c:f>
              <c:numCache>
                <c:formatCode>General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</c:numCache>
            </c:numRef>
          </c:xVal>
          <c:yVal>
            <c:numRef>
              <c:f>TrAdES!$F$3:$F$78</c:f>
              <c:numCache>
                <c:formatCode>0</c:formatCode>
                <c:ptCount val="76"/>
                <c:pt idx="0">
                  <c:v>1072.6084578602367</c:v>
                </c:pt>
                <c:pt idx="1">
                  <c:v>1187.1340910817901</c:v>
                </c:pt>
                <c:pt idx="2">
                  <c:v>1304.8128293404677</c:v>
                </c:pt>
                <c:pt idx="3">
                  <c:v>1578.9859759071337</c:v>
                </c:pt>
                <c:pt idx="4">
                  <c:v>1846.4925817004416</c:v>
                </c:pt>
                <c:pt idx="5">
                  <c:v>1923.4756150468413</c:v>
                </c:pt>
                <c:pt idx="6">
                  <c:v>2070.2044998524275</c:v>
                </c:pt>
                <c:pt idx="7">
                  <c:v>2173.5175595091132</c:v>
                </c:pt>
                <c:pt idx="8">
                  <c:v>2240.4251001695566</c:v>
                </c:pt>
                <c:pt idx="9">
                  <c:v>2405.5824866425728</c:v>
                </c:pt>
                <c:pt idx="10">
                  <c:v>2529.7317343894456</c:v>
                </c:pt>
                <c:pt idx="11">
                  <c:v>2603.4859947244695</c:v>
                </c:pt>
                <c:pt idx="12">
                  <c:v>2638.0325194588891</c:v>
                </c:pt>
                <c:pt idx="13">
                  <c:v>2781.9980791242861</c:v>
                </c:pt>
                <c:pt idx="14">
                  <c:v>2933.7809062992133</c:v>
                </c:pt>
                <c:pt idx="15">
                  <c:v>2952.2306949607741</c:v>
                </c:pt>
                <c:pt idx="16">
                  <c:v>3093.9681673090722</c:v>
                </c:pt>
                <c:pt idx="17">
                  <c:v>3168.2054506807667</c:v>
                </c:pt>
                <c:pt idx="18">
                  <c:v>3175.1759744814226</c:v>
                </c:pt>
                <c:pt idx="19">
                  <c:v>3004.6807883301408</c:v>
                </c:pt>
                <c:pt idx="20">
                  <c:v>3171.5963931778879</c:v>
                </c:pt>
                <c:pt idx="21">
                  <c:v>3268.5875554726622</c:v>
                </c:pt>
                <c:pt idx="22">
                  <c:v>3335.025846501112</c:v>
                </c:pt>
                <c:pt idx="23">
                  <c:v>3412.2789942838217</c:v>
                </c:pt>
                <c:pt idx="24">
                  <c:v>3454.9673469830564</c:v>
                </c:pt>
                <c:pt idx="25">
                  <c:v>3663.3848729090464</c:v>
                </c:pt>
                <c:pt idx="26">
                  <c:v>3865.1261404591683</c:v>
                </c:pt>
                <c:pt idx="27">
                  <c:v>3823.0208695688434</c:v>
                </c:pt>
                <c:pt idx="28">
                  <c:v>4028.8840229634948</c:v>
                </c:pt>
                <c:pt idx="29">
                  <c:v>4041.1825472361793</c:v>
                </c:pt>
                <c:pt idx="30">
                  <c:v>4017.9833703458639</c:v>
                </c:pt>
                <c:pt idx="31">
                  <c:v>4154.2806225318063</c:v>
                </c:pt>
                <c:pt idx="32">
                  <c:v>3989.8533950827496</c:v>
                </c:pt>
                <c:pt idx="33">
                  <c:v>3796.2846460896453</c:v>
                </c:pt>
                <c:pt idx="34">
                  <c:v>3583.3214078731021</c:v>
                </c:pt>
                <c:pt idx="35">
                  <c:v>3537.4096101541918</c:v>
                </c:pt>
                <c:pt idx="36">
                  <c:v>3694.1532725031088</c:v>
                </c:pt>
                <c:pt idx="37">
                  <c:v>3718.1446735352624</c:v>
                </c:pt>
                <c:pt idx="38">
                  <c:v>3844.765805991115</c:v>
                </c:pt>
                <c:pt idx="39">
                  <c:v>4276.5199196837657</c:v>
                </c:pt>
                <c:pt idx="40">
                  <c:v>4447.8386850416437</c:v>
                </c:pt>
                <c:pt idx="41">
                  <c:v>4997.8017395105471</c:v>
                </c:pt>
                <c:pt idx="42">
                  <c:v>5569.6507969846452</c:v>
                </c:pt>
                <c:pt idx="43">
                  <c:v>6018.5062617804269</c:v>
                </c:pt>
                <c:pt idx="44">
                  <c:v>5942.4327702003775</c:v>
                </c:pt>
                <c:pt idx="45">
                  <c:v>6237.2470984182164</c:v>
                </c:pt>
                <c:pt idx="46">
                  <c:v>6047.5053492683101</c:v>
                </c:pt>
                <c:pt idx="47">
                  <c:v>6189.6079710707836</c:v>
                </c:pt>
                <c:pt idx="48">
                  <c:v>5946.8640941914427</c:v>
                </c:pt>
                <c:pt idx="49">
                  <c:v>5703.9274448766264</c:v>
                </c:pt>
                <c:pt idx="50">
                  <c:v>5690.0740966094409</c:v>
                </c:pt>
                <c:pt idx="51">
                  <c:v>5887.0741505340293</c:v>
                </c:pt>
                <c:pt idx="52">
                  <c:v>5887.0583605770025</c:v>
                </c:pt>
                <c:pt idx="53">
                  <c:v>5796.3287589976862</c:v>
                </c:pt>
                <c:pt idx="54">
                  <c:v>5926.2173215626271</c:v>
                </c:pt>
                <c:pt idx="55">
                  <c:v>5705.9283567507337</c:v>
                </c:pt>
                <c:pt idx="56">
                  <c:v>5632.4635642688863</c:v>
                </c:pt>
                <c:pt idx="57">
                  <c:v>5807.118902262423</c:v>
                </c:pt>
                <c:pt idx="58">
                  <c:v>6028.0501988578462</c:v>
                </c:pt>
                <c:pt idx="59">
                  <c:v>6351.5578017369498</c:v>
                </c:pt>
                <c:pt idx="60">
                  <c:v>6224.5367348974487</c:v>
                </c:pt>
                <c:pt idx="61">
                  <c:v>6317.1421076591341</c:v>
                </c:pt>
                <c:pt idx="62">
                  <c:v>6402.2797328434172</c:v>
                </c:pt>
                <c:pt idx="63">
                  <c:v>6491.8837936824566</c:v>
                </c:pt>
                <c:pt idx="64">
                  <c:v>6778.3726848434644</c:v>
                </c:pt>
                <c:pt idx="65">
                  <c:v>7285.6714749167049</c:v>
                </c:pt>
                <c:pt idx="66">
                  <c:v>7487.5174197192473</c:v>
                </c:pt>
                <c:pt idx="67">
                  <c:v>8363.69305566605</c:v>
                </c:pt>
                <c:pt idx="68">
                  <c:v>8429.4139846524558</c:v>
                </c:pt>
                <c:pt idx="69">
                  <c:v>9231.5637980871652</c:v>
                </c:pt>
                <c:pt idx="70">
                  <c:v>9148.1626730690496</c:v>
                </c:pt>
                <c:pt idx="71">
                  <c:v>9390.3541365544152</c:v>
                </c:pt>
                <c:pt idx="72">
                  <c:v>9859.4145096865232</c:v>
                </c:pt>
                <c:pt idx="73">
                  <c:v>10540.012597596457</c:v>
                </c:pt>
                <c:pt idx="74">
                  <c:v>10312.364319516975</c:v>
                </c:pt>
                <c:pt idx="75">
                  <c:v>11079.723361290558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40-46CB-A65E-433752E86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6776"/>
        <c:axId val="663237168"/>
      </c:scatterChart>
      <c:valAx>
        <c:axId val="663236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7168"/>
        <c:crosses val="autoZero"/>
        <c:crossBetween val="midCat"/>
      </c:valAx>
      <c:valAx>
        <c:axId val="663237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6776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TrAdES!$J$1:$J$2</c:f>
          <c:strCache>
            <c:ptCount val="2"/>
            <c:pt idx="0">
              <c:v>Tracking Signal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TrAdES!$J$3:$J$77</c:f>
              <c:numCache>
                <c:formatCode>0.0</c:formatCode>
                <c:ptCount val="7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1.8425066450212937</c:v>
                </c:pt>
                <c:pt idx="5">
                  <c:v>1.9797673976153696</c:v>
                </c:pt>
                <c:pt idx="6">
                  <c:v>1.3163064539965124</c:v>
                </c:pt>
                <c:pt idx="7">
                  <c:v>0.31536871177842701</c:v>
                </c:pt>
                <c:pt idx="8">
                  <c:v>1.154653547332442</c:v>
                </c:pt>
                <c:pt idx="9">
                  <c:v>1.1667464077649679</c:v>
                </c:pt>
                <c:pt idx="10">
                  <c:v>0.27515860997323727</c:v>
                </c:pt>
                <c:pt idx="11">
                  <c:v>-0.92441655854938398</c:v>
                </c:pt>
                <c:pt idx="12">
                  <c:v>0.11565091973016774</c:v>
                </c:pt>
                <c:pt idx="13">
                  <c:v>0.90570538882917773</c:v>
                </c:pt>
                <c:pt idx="14">
                  <c:v>-0.77131194442928419</c:v>
                </c:pt>
                <c:pt idx="15">
                  <c:v>0.15442374041987056</c:v>
                </c:pt>
                <c:pt idx="16">
                  <c:v>-0.34634932446303496</c:v>
                </c:pt>
                <c:pt idx="17">
                  <c:v>-1.7229789787294201</c:v>
                </c:pt>
                <c:pt idx="18">
                  <c:v>-4.7502592449990608</c:v>
                </c:pt>
                <c:pt idx="19">
                  <c:v>-1.8923957831637808</c:v>
                </c:pt>
                <c:pt idx="20">
                  <c:v>-1.2617106412281023</c:v>
                </c:pt>
                <c:pt idx="21">
                  <c:v>-1.3071136552198528</c:v>
                </c:pt>
                <c:pt idx="22">
                  <c:v>-1.1936235224899476</c:v>
                </c:pt>
                <c:pt idx="23">
                  <c:v>-1.6257878666322869</c:v>
                </c:pt>
                <c:pt idx="24">
                  <c:v>0.52383896716822487</c:v>
                </c:pt>
                <c:pt idx="25">
                  <c:v>1.7149702157995805</c:v>
                </c:pt>
                <c:pt idx="26">
                  <c:v>-0.86677957415634099</c:v>
                </c:pt>
                <c:pt idx="27">
                  <c:v>0.80316149750199028</c:v>
                </c:pt>
                <c:pt idx="28">
                  <c:v>-0.62663900723468613</c:v>
                </c:pt>
                <c:pt idx="29">
                  <c:v>-1.9375190952141987</c:v>
                </c:pt>
                <c:pt idx="30">
                  <c:v>-0.77421353304974849</c:v>
                </c:pt>
                <c:pt idx="31">
                  <c:v>-3.5511342346045494</c:v>
                </c:pt>
                <c:pt idx="32">
                  <c:v>-5.4714855635561284</c:v>
                </c:pt>
                <c:pt idx="33">
                  <c:v>-6.8629778508067609</c:v>
                </c:pt>
                <c:pt idx="34">
                  <c:v>-5.936941699475657</c:v>
                </c:pt>
                <c:pt idx="35">
                  <c:v>-2.9452548456372956</c:v>
                </c:pt>
                <c:pt idx="36">
                  <c:v>-2.7134766995184791</c:v>
                </c:pt>
                <c:pt idx="37">
                  <c:v>-1.413933108428582</c:v>
                </c:pt>
                <c:pt idx="38">
                  <c:v>2.4602595166813144</c:v>
                </c:pt>
                <c:pt idx="39">
                  <c:v>2.2749135830406861</c:v>
                </c:pt>
                <c:pt idx="40">
                  <c:v>5.5958261673013379</c:v>
                </c:pt>
                <c:pt idx="41">
                  <c:v>7.7149929145504617</c:v>
                </c:pt>
                <c:pt idx="42">
                  <c:v>8.1503270289348571</c:v>
                </c:pt>
                <c:pt idx="43">
                  <c:v>3.1657154774521339</c:v>
                </c:pt>
                <c:pt idx="44">
                  <c:v>3.6885566956480855</c:v>
                </c:pt>
                <c:pt idx="45">
                  <c:v>-0.22168537609156186</c:v>
                </c:pt>
                <c:pt idx="46">
                  <c:v>0.19709148062696222</c:v>
                </c:pt>
                <c:pt idx="47">
                  <c:v>-2.630436461000206</c:v>
                </c:pt>
                <c:pt idx="48">
                  <c:v>-4.3269482123912608</c:v>
                </c:pt>
                <c:pt idx="49">
                  <c:v>-3.6319096889225739</c:v>
                </c:pt>
                <c:pt idx="50">
                  <c:v>-1.4821839708237325</c:v>
                </c:pt>
                <c:pt idx="51">
                  <c:v>-1.7375756414597252</c:v>
                </c:pt>
                <c:pt idx="52">
                  <c:v>-2.602754583514054</c:v>
                </c:pt>
                <c:pt idx="53">
                  <c:v>-1.3978796092456376</c:v>
                </c:pt>
                <c:pt idx="54">
                  <c:v>-3.3378387026216267</c:v>
                </c:pt>
                <c:pt idx="55">
                  <c:v>-3.4907390150005657</c:v>
                </c:pt>
                <c:pt idx="56">
                  <c:v>-1.5840898565719927</c:v>
                </c:pt>
                <c:pt idx="57">
                  <c:v>-6.8129525411361885E-2</c:v>
                </c:pt>
                <c:pt idx="58">
                  <c:v>1.6348444725108937</c:v>
                </c:pt>
                <c:pt idx="59">
                  <c:v>-0.68878125161021431</c:v>
                </c:pt>
                <c:pt idx="60">
                  <c:v>-0.50277102918154692</c:v>
                </c:pt>
                <c:pt idx="61">
                  <c:v>-0.44333102035510163</c:v>
                </c:pt>
                <c:pt idx="62">
                  <c:v>-0.37289255785421366</c:v>
                </c:pt>
                <c:pt idx="63">
                  <c:v>1.1837092675152703</c:v>
                </c:pt>
                <c:pt idx="64">
                  <c:v>3.7474287368019708</c:v>
                </c:pt>
                <c:pt idx="65">
                  <c:v>3.1066321066731284</c:v>
                </c:pt>
                <c:pt idx="66">
                  <c:v>7.3490153023820293</c:v>
                </c:pt>
                <c:pt idx="67">
                  <c:v>4.2142748247334074</c:v>
                </c:pt>
                <c:pt idx="68">
                  <c:v>7.235342815763727</c:v>
                </c:pt>
                <c:pt idx="69">
                  <c:v>3.1529973812371912</c:v>
                </c:pt>
                <c:pt idx="70">
                  <c:v>2.9028301257776583</c:v>
                </c:pt>
                <c:pt idx="71">
                  <c:v>4.179727175271994</c:v>
                </c:pt>
                <c:pt idx="72">
                  <c:v>6.2504672616337391</c:v>
                </c:pt>
                <c:pt idx="73">
                  <c:v>1.734836641072375</c:v>
                </c:pt>
                <c:pt idx="74">
                  <c:v>4.9687219863444785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3C-4675-A789-DF4C2D050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7952"/>
        <c:axId val="663238344"/>
      </c:scatterChart>
      <c:valAx>
        <c:axId val="66323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8344"/>
        <c:crosses val="autoZero"/>
        <c:crossBetween val="midCat"/>
      </c:valAx>
      <c:valAx>
        <c:axId val="66323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37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TrAdES2!$Q$1</c:f>
          <c:strCache>
            <c:ptCount val="1"/>
            <c:pt idx="0">
              <c:v> F(next) ~ N ( 0, 0)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TrAdES2!$B$1</c:f>
              <c:strCache>
                <c:ptCount val="1"/>
                <c:pt idx="0">
                  <c:v>At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TrAdES2!$B$3:$B$23</c:f>
              <c:numCache>
                <c:formatCode>0</c:formatCode>
                <c:ptCount val="21"/>
                <c:pt idx="0">
                  <c:v>101</c:v>
                </c:pt>
                <c:pt idx="1">
                  <c:v>122</c:v>
                </c:pt>
                <c:pt idx="2">
                  <c:v>131</c:v>
                </c:pt>
                <c:pt idx="3">
                  <c:v>139</c:v>
                </c:pt>
                <c:pt idx="4">
                  <c:v>142</c:v>
                </c:pt>
                <c:pt idx="5">
                  <c:v>143</c:v>
                </c:pt>
                <c:pt idx="6">
                  <c:v>159</c:v>
                </c:pt>
                <c:pt idx="7">
                  <c:v>156</c:v>
                </c:pt>
                <c:pt idx="8">
                  <c:v>199</c:v>
                </c:pt>
                <c:pt idx="9">
                  <c:v>168</c:v>
                </c:pt>
                <c:pt idx="10">
                  <c:v>169</c:v>
                </c:pt>
                <c:pt idx="11">
                  <c:v>193</c:v>
                </c:pt>
                <c:pt idx="12">
                  <c:v>207</c:v>
                </c:pt>
                <c:pt idx="13">
                  <c:v>230</c:v>
                </c:pt>
                <c:pt idx="14">
                  <c:v>240</c:v>
                </c:pt>
                <c:pt idx="15">
                  <c:v>199</c:v>
                </c:pt>
                <c:pt idx="16">
                  <c:v>235</c:v>
                </c:pt>
                <c:pt idx="17">
                  <c:v>217</c:v>
                </c:pt>
                <c:pt idx="18">
                  <c:v>242</c:v>
                </c:pt>
                <c:pt idx="19">
                  <c:v>255</c:v>
                </c:pt>
                <c:pt idx="20">
                  <c:v>291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19-430A-8A5A-9269B1A4ACC3}"/>
            </c:ext>
          </c:extLst>
        </c:ser>
        <c:ser>
          <c:idx val="1"/>
          <c:order val="1"/>
          <c:tx>
            <c:strRef>
              <c:f>TrAdES2!$C$1</c:f>
              <c:strCache>
                <c:ptCount val="1"/>
                <c:pt idx="0">
                  <c:v>ES</c:v>
                </c:pt>
              </c:strCache>
            </c:strRef>
          </c:tx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TrAdES2!$C$4:$C$23</c:f>
              <c:numCache>
                <c:formatCode>0.0</c:formatCode>
                <c:ptCount val="20"/>
                <c:pt idx="0">
                  <c:v>101</c:v>
                </c:pt>
                <c:pt idx="1">
                  <c:v>111.5</c:v>
                </c:pt>
                <c:pt idx="2">
                  <c:v>121.25</c:v>
                </c:pt>
                <c:pt idx="3">
                  <c:v>130.125</c:v>
                </c:pt>
                <c:pt idx="4">
                  <c:v>136.0625</c:v>
                </c:pt>
                <c:pt idx="5">
                  <c:v>139.53125</c:v>
                </c:pt>
                <c:pt idx="6">
                  <c:v>149.265625</c:v>
                </c:pt>
                <c:pt idx="7">
                  <c:v>152.6328125</c:v>
                </c:pt>
                <c:pt idx="8">
                  <c:v>175.81640625</c:v>
                </c:pt>
                <c:pt idx="9">
                  <c:v>171.908203125</c:v>
                </c:pt>
                <c:pt idx="10">
                  <c:v>170.4541015625</c:v>
                </c:pt>
                <c:pt idx="11">
                  <c:v>181.72705078125</c:v>
                </c:pt>
                <c:pt idx="12">
                  <c:v>194.363525390625</c:v>
                </c:pt>
                <c:pt idx="13">
                  <c:v>212.1817626953125</c:v>
                </c:pt>
                <c:pt idx="14">
                  <c:v>226.09088134765625</c:v>
                </c:pt>
                <c:pt idx="15">
                  <c:v>212.54544067382813</c:v>
                </c:pt>
                <c:pt idx="16">
                  <c:v>223.77272033691406</c:v>
                </c:pt>
                <c:pt idx="17">
                  <c:v>220.38636016845703</c:v>
                </c:pt>
                <c:pt idx="18">
                  <c:v>231.19318008422852</c:v>
                </c:pt>
                <c:pt idx="19">
                  <c:v>243.09659004211426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19-430A-8A5A-9269B1A4ACC3}"/>
            </c:ext>
          </c:extLst>
        </c:ser>
        <c:ser>
          <c:idx val="2"/>
          <c:order val="2"/>
          <c:xVal>
            <c:numRef>
              <c:f>TrAdES2!$A$3:$A$23</c:f>
              <c:numCache>
                <c:formatCode>General</c:formatCode>
                <c:ptCount val="2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</c:numCache>
            </c:numRef>
          </c:xVal>
          <c:yVal>
            <c:numRef>
              <c:f>TrAdES2!$I$3:$I$23</c:f>
              <c:numCache>
                <c:formatCode>0</c:formatCode>
                <c:ptCount val="21"/>
                <c:pt idx="0">
                  <c:v>110.17316017316018</c:v>
                </c:pt>
                <c:pt idx="1">
                  <c:v>119.95411255411256</c:v>
                </c:pt>
                <c:pt idx="2">
                  <c:v>132.6608225108225</c:v>
                </c:pt>
                <c:pt idx="3">
                  <c:v>141.67229437229437</c:v>
                </c:pt>
                <c:pt idx="4">
                  <c:v>146.75708874458874</c:v>
                </c:pt>
                <c:pt idx="5">
                  <c:v>148.08901515151513</c:v>
                </c:pt>
                <c:pt idx="6">
                  <c:v>155.39974296536795</c:v>
                </c:pt>
                <c:pt idx="7">
                  <c:v>160.6274891774892</c:v>
                </c:pt>
                <c:pt idx="8">
                  <c:v>181.5275534361472</c:v>
                </c:pt>
                <c:pt idx="9">
                  <c:v>186.3706811417749</c:v>
                </c:pt>
                <c:pt idx="10">
                  <c:v>175.73879278273807</c:v>
                </c:pt>
                <c:pt idx="11">
                  <c:v>183.64612249729436</c:v>
                </c:pt>
                <c:pt idx="12">
                  <c:v>200.96142430160984</c:v>
                </c:pt>
                <c:pt idx="13">
                  <c:v>221.79989367728626</c:v>
                </c:pt>
                <c:pt idx="14">
                  <c:v>239.80953760188379</c:v>
                </c:pt>
                <c:pt idx="15">
                  <c:v>226.35956418256222</c:v>
                </c:pt>
                <c:pt idx="16">
                  <c:v>223.90717978209128</c:v>
                </c:pt>
                <c:pt idx="17">
                  <c:v>226.06728873645071</c:v>
                </c:pt>
                <c:pt idx="18">
                  <c:v>232.34049379092789</c:v>
                </c:pt>
                <c:pt idx="19">
                  <c:v>249.07367160681522</c:v>
                </c:pt>
                <c:pt idx="20">
                  <c:v>275.98854815908322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19-430A-8A5A-9269B1A4A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39128"/>
        <c:axId val="663239520"/>
      </c:scatterChart>
      <c:valAx>
        <c:axId val="663239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63239520"/>
        <c:crosses val="autoZero"/>
        <c:crossBetween val="midCat"/>
      </c:valAx>
      <c:valAx>
        <c:axId val="663239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663239128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TrAdES2!$M$1:$M$2</c:f>
          <c:strCache>
            <c:ptCount val="2"/>
            <c:pt idx="0">
              <c:v>TS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TrAdES2!$M$3:$M$77</c:f>
              <c:numCache>
                <c:formatCode>0.0</c:formatCode>
                <c:ptCount val="75"/>
                <c:pt idx="0">
                  <c:v>-1</c:v>
                </c:pt>
                <c:pt idx="1">
                  <c:v>-1.2705664454391121</c:v>
                </c:pt>
                <c:pt idx="2">
                  <c:v>-2.0469372321653645</c:v>
                </c:pt>
                <c:pt idx="3">
                  <c:v>-2.9475998942255508</c:v>
                </c:pt>
                <c:pt idx="4">
                  <c:v>-3.9926328550684098</c:v>
                </c:pt>
                <c:pt idx="5">
                  <c:v>-5.03337310380092</c:v>
                </c:pt>
                <c:pt idx="6">
                  <c:v>-4.2741364760019529</c:v>
                </c:pt>
                <c:pt idx="7">
                  <c:v>-5.3134398252357986</c:v>
                </c:pt>
                <c:pt idx="8">
                  <c:v>-0.85621975229920622</c:v>
                </c:pt>
                <c:pt idx="9">
                  <c:v>-3.3442129055789698</c:v>
                </c:pt>
                <c:pt idx="10">
                  <c:v>-4.3260361625452699</c:v>
                </c:pt>
                <c:pt idx="11">
                  <c:v>-2.891506135336797</c:v>
                </c:pt>
                <c:pt idx="12">
                  <c:v>-2.068963909798216</c:v>
                </c:pt>
                <c:pt idx="13">
                  <c:v>-0.89473212677473046</c:v>
                </c:pt>
                <c:pt idx="14">
                  <c:v>-0.92824360408990325</c:v>
                </c:pt>
                <c:pt idx="15">
                  <c:v>-4.2147980177774587</c:v>
                </c:pt>
                <c:pt idx="16">
                  <c:v>-2.7572729174119259</c:v>
                </c:pt>
                <c:pt idx="17">
                  <c:v>-3.8464465076123386</c:v>
                </c:pt>
                <c:pt idx="18">
                  <c:v>-2.642886897121127</c:v>
                </c:pt>
                <c:pt idx="19">
                  <c:v>-1.9541722391587275</c:v>
                </c:pt>
                <c:pt idx="20">
                  <c:v>-0.10900146740722029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E4-4ADF-9616-C9B23212B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240304"/>
        <c:axId val="663240696"/>
      </c:scatterChart>
      <c:valAx>
        <c:axId val="663240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696"/>
        <c:crosses val="autoZero"/>
        <c:crossBetween val="midCat"/>
      </c:valAx>
      <c:valAx>
        <c:axId val="663240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240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1" Type="http://schemas.openxmlformats.org/officeDocument/2006/relationships/customXml" Target="../ink/ink1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122311</xdr:colOff>
      <xdr:row>8</xdr:row>
      <xdr:rowOff>35705</xdr:rowOff>
    </xdr:from>
    <xdr:to>
      <xdr:col>17</xdr:col>
      <xdr:colOff>583949</xdr:colOff>
      <xdr:row>23</xdr:row>
      <xdr:rowOff>157160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582745</xdr:colOff>
      <xdr:row>6</xdr:row>
      <xdr:rowOff>182443</xdr:rowOff>
    </xdr:from>
    <xdr:to>
      <xdr:col>23</xdr:col>
      <xdr:colOff>177309</xdr:colOff>
      <xdr:row>22</xdr:row>
      <xdr:rowOff>130369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173719</xdr:colOff>
      <xdr:row>23</xdr:row>
      <xdr:rowOff>135415</xdr:rowOff>
    </xdr:from>
    <xdr:to>
      <xdr:col>15</xdr:col>
      <xdr:colOff>29243</xdr:colOff>
      <xdr:row>39</xdr:row>
      <xdr:rowOff>88560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464820</xdr:colOff>
      <xdr:row>23</xdr:row>
      <xdr:rowOff>152948</xdr:rowOff>
    </xdr:from>
    <xdr:to>
      <xdr:col>22</xdr:col>
      <xdr:colOff>297207</xdr:colOff>
      <xdr:row>52</xdr:row>
      <xdr:rowOff>167640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201011</xdr:colOff>
      <xdr:row>23</xdr:row>
      <xdr:rowOff>55728</xdr:rowOff>
    </xdr:from>
    <xdr:to>
      <xdr:col>12</xdr:col>
      <xdr:colOff>172436</xdr:colOff>
      <xdr:row>36</xdr:row>
      <xdr:rowOff>89064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271137</xdr:colOff>
      <xdr:row>23</xdr:row>
      <xdr:rowOff>79722</xdr:rowOff>
    </xdr:from>
    <xdr:to>
      <xdr:col>18</xdr:col>
      <xdr:colOff>23096</xdr:colOff>
      <xdr:row>36</xdr:row>
      <xdr:rowOff>108297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540301</xdr:colOff>
      <xdr:row>23</xdr:row>
      <xdr:rowOff>59927</xdr:rowOff>
    </xdr:from>
    <xdr:to>
      <xdr:col>25</xdr:col>
      <xdr:colOff>434482</xdr:colOff>
      <xdr:row>36</xdr:row>
      <xdr:rowOff>74214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177690</xdr:colOff>
      <xdr:row>37</xdr:row>
      <xdr:rowOff>158038</xdr:rowOff>
    </xdr:from>
    <xdr:to>
      <xdr:col>12</xdr:col>
      <xdr:colOff>123280</xdr:colOff>
      <xdr:row>53</xdr:row>
      <xdr:rowOff>10498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273239</xdr:colOff>
      <xdr:row>37</xdr:row>
      <xdr:rowOff>164902</xdr:rowOff>
    </xdr:from>
    <xdr:to>
      <xdr:col>18</xdr:col>
      <xdr:colOff>12148</xdr:colOff>
      <xdr:row>53</xdr:row>
      <xdr:rowOff>28323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228802</xdr:colOff>
      <xdr:row>37</xdr:row>
      <xdr:rowOff>157475</xdr:rowOff>
    </xdr:from>
    <xdr:to>
      <xdr:col>25</xdr:col>
      <xdr:colOff>143077</xdr:colOff>
      <xdr:row>53</xdr:row>
      <xdr:rowOff>27745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383715</xdr:colOff>
      <xdr:row>18</xdr:row>
      <xdr:rowOff>126675</xdr:rowOff>
    </xdr:from>
    <xdr:to>
      <xdr:col>3</xdr:col>
      <xdr:colOff>384075</xdr:colOff>
      <xdr:row>18</xdr:row>
      <xdr:rowOff>133515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/>
            <xdr14:cNvContentPartPr/>
          </xdr14:nvContentPartPr>
          <xdr14:nvPr macro=""/>
          <xdr14:xfrm>
            <a:off x="1602915" y="3431850"/>
            <a:ext cx="360" cy="6840"/>
          </xdr14:xfrm>
        </xdr:contentPart>
      </mc:Choice>
      <mc:Fallback xmlns="">
        <xdr:pic>
          <xdr:nvPicPr>
            <xdr:cNvPr id="9" name="Ink 8"/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91035" y="3419970"/>
              <a:ext cx="24120" cy="306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17</xdr:col>
      <xdr:colOff>497087</xdr:colOff>
      <xdr:row>2</xdr:row>
      <xdr:rowOff>72030</xdr:rowOff>
    </xdr:from>
    <xdr:to>
      <xdr:col>26</xdr:col>
      <xdr:colOff>59531</xdr:colOff>
      <xdr:row>20</xdr:row>
      <xdr:rowOff>148828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1610</xdr:colOff>
      <xdr:row>19</xdr:row>
      <xdr:rowOff>9496</xdr:rowOff>
    </xdr:from>
    <xdr:to>
      <xdr:col>31</xdr:col>
      <xdr:colOff>97194</xdr:colOff>
      <xdr:row>54</xdr:row>
      <xdr:rowOff>106913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561780</xdr:colOff>
      <xdr:row>13</xdr:row>
      <xdr:rowOff>100886</xdr:rowOff>
    </xdr:from>
    <xdr:to>
      <xdr:col>25</xdr:col>
      <xdr:colOff>507351</xdr:colOff>
      <xdr:row>30</xdr:row>
      <xdr:rowOff>35183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50208</xdr:colOff>
      <xdr:row>12</xdr:row>
      <xdr:rowOff>116409</xdr:rowOff>
    </xdr:from>
    <xdr:to>
      <xdr:col>38</xdr:col>
      <xdr:colOff>58316</xdr:colOff>
      <xdr:row>48</xdr:row>
      <xdr:rowOff>48597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532622</xdr:colOff>
      <xdr:row>1</xdr:row>
      <xdr:rowOff>13412</xdr:rowOff>
    </xdr:from>
    <xdr:to>
      <xdr:col>35</xdr:col>
      <xdr:colOff>206050</xdr:colOff>
      <xdr:row>17</xdr:row>
      <xdr:rowOff>112939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public_html/CourseBase/Probability/S-Regression/BaseStatRegSe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un.edu/~aa2035/CourseBase/Forecasting/Slides/Base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Trend&amp;Season"/>
    </sheetNames>
    <sheetDataSet>
      <sheetData sheetId="0" refreshError="1">
        <row r="2">
          <cell r="A2" t="str">
            <v>Per.</v>
          </cell>
          <cell r="D2" t="str">
            <v>Trend&amp;S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diData"/>
      <sheetName val="Set2ESTR"/>
      <sheetName val="ESTAES"/>
    </sheetNames>
    <sheetDataSet>
      <sheetData sheetId="0">
        <row r="2">
          <cell r="A2" t="str">
            <v>Per.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</sheetData>
      <sheetData sheetId="1"/>
      <sheetData sheetId="2"/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3968" units="cm"/>
          <inkml:channel name="Y" type="integer" max="2240" units="cm"/>
          <inkml:channel name="T" type="integer" max="2.14748E9" units="dev"/>
        </inkml:traceFormat>
        <inkml:channelProperties>
          <inkml:channelProperty channel="X" name="resolution" value="128" units="1/cm"/>
          <inkml:channelProperty channel="Y" name="resolution" value="128.73564" units="1/cm"/>
          <inkml:channelProperty channel="T" name="resolution" value="1" units="1/dev"/>
        </inkml:channelProperties>
      </inkml:inkSource>
      <inkml:timestamp xml:id="ts0" timeString="2016-09-28T06:44:18.663"/>
    </inkml:context>
    <inkml:brush xml:id="br0">
      <inkml:brushProperty name="width" value="0.06667" units="cm"/>
      <inkml:brushProperty name="height" value="0.06667" units="cm"/>
    </inkml:brush>
  </inkml:definitions>
  <inkml:trace contextRef="#ctx0" brushRef="#br0">-442 1490 0,'0'0'0,"0"0"0,0 0 0,0 0 0,0 0 0,0 0 0,0 9 0,0-9 0,0 0 0,0 0 0,0 9 0,0-9 0,0 0 0,0 0 0,0 0 0,0 0 0,0 0 0,0 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3"/>
  <sheetViews>
    <sheetView tabSelected="1" zoomScaleNormal="100" workbookViewId="0">
      <selection activeCell="AA28" sqref="AA28"/>
    </sheetView>
  </sheetViews>
  <sheetFormatPr defaultColWidth="9.140625" defaultRowHeight="13.5" x14ac:dyDescent="0.25"/>
  <cols>
    <col min="1" max="1" width="6.7109375" style="95" bestFit="1" customWidth="1"/>
    <col min="2" max="2" width="6.7109375" style="95" customWidth="1"/>
    <col min="3" max="3" width="8.140625" style="128" bestFit="1" customWidth="1"/>
    <col min="4" max="4" width="12.140625" style="128" bestFit="1" customWidth="1"/>
    <col min="5" max="5" width="11.5703125" style="128" bestFit="1" customWidth="1"/>
    <col min="6" max="6" width="11.5703125" style="95" bestFit="1" customWidth="1"/>
    <col min="7" max="7" width="9.5703125" style="95" bestFit="1" customWidth="1"/>
    <col min="8" max="8" width="9.7109375" style="95" bestFit="1" customWidth="1"/>
    <col min="9" max="10" width="9.140625" style="95"/>
    <col min="11" max="11" width="9.140625" style="95" customWidth="1"/>
    <col min="12" max="12" width="14.5703125" style="95" bestFit="1" customWidth="1"/>
    <col min="13" max="16384" width="9.140625" style="95"/>
  </cols>
  <sheetData>
    <row r="1" spans="1:25" ht="18.75" x14ac:dyDescent="0.3">
      <c r="E1" s="140" t="s">
        <v>54</v>
      </c>
      <c r="F1" s="140" t="s">
        <v>56</v>
      </c>
      <c r="G1" s="140" t="s">
        <v>96</v>
      </c>
      <c r="H1" s="140" t="s">
        <v>30</v>
      </c>
      <c r="J1" s="157" t="s">
        <v>110</v>
      </c>
      <c r="K1" s="156"/>
      <c r="L1" s="157" t="s">
        <v>111</v>
      </c>
      <c r="M1" s="157"/>
      <c r="N1" s="157"/>
      <c r="O1" s="157"/>
      <c r="P1" s="157"/>
      <c r="Q1" s="156"/>
      <c r="R1" s="157"/>
      <c r="S1" s="157"/>
      <c r="T1" s="158"/>
    </row>
    <row r="2" spans="1:25" ht="15" x14ac:dyDescent="0.25">
      <c r="E2" s="141">
        <f>INTERCEPT($D$6:$D$76,$A$6:$A$76)</f>
        <v>1202.9091213950378</v>
      </c>
      <c r="F2" s="141">
        <f>SLOPE($D$6:$D$76,$A$6:$A$76)</f>
        <v>79.488900067069082</v>
      </c>
      <c r="G2" s="142">
        <f>RSQ($D$6:$D$76,$A$6:$A$76)</f>
        <v>0.9955872023184833</v>
      </c>
      <c r="H2" s="141">
        <f>STEYX($D$6:$D$76,$A$6:$A$76)</f>
        <v>110.01530753264936</v>
      </c>
      <c r="J2" s="128" t="s">
        <v>99</v>
      </c>
      <c r="K2" s="128" t="s">
        <v>98</v>
      </c>
      <c r="L2" s="128" t="s">
        <v>100</v>
      </c>
    </row>
    <row r="3" spans="1:25" x14ac:dyDescent="0.25">
      <c r="A3" s="143" t="str">
        <f>[1]ArdiData!A2</f>
        <v>Per.</v>
      </c>
      <c r="B3" s="143"/>
      <c r="C3" s="117" t="str">
        <f>[1]ArdiData!D2</f>
        <v>Trend&amp;S</v>
      </c>
      <c r="D3" s="128" t="s">
        <v>95</v>
      </c>
      <c r="E3" s="95" t="s">
        <v>97</v>
      </c>
      <c r="F3" s="95" t="s">
        <v>98</v>
      </c>
      <c r="G3" s="95" t="s">
        <v>99</v>
      </c>
      <c r="H3" s="95" t="s">
        <v>101</v>
      </c>
      <c r="J3" s="128">
        <v>1</v>
      </c>
      <c r="K3" s="144">
        <f>AVERAGEIF($G$4:$G$78,J3,$F$4:$F$78)</f>
        <v>0.86746989053010926</v>
      </c>
      <c r="L3" s="128">
        <f>K3/$K$8</f>
        <v>0.86605413131488107</v>
      </c>
    </row>
    <row r="4" spans="1:25" ht="15" x14ac:dyDescent="0.3">
      <c r="A4" s="143">
        <f>[1]ArdiData!A3</f>
        <v>1</v>
      </c>
      <c r="B4" s="145">
        <f ca="1">'0.ArdiData'!D3</f>
        <v>1013</v>
      </c>
      <c r="C4" s="146">
        <f>Y4</f>
        <v>1120</v>
      </c>
      <c r="E4" s="147">
        <f>$E$2+$F$2*A4</f>
        <v>1282.398021462107</v>
      </c>
      <c r="F4" s="151">
        <f>C4/E4</f>
        <v>0.87336379287535759</v>
      </c>
      <c r="G4" s="151">
        <f>IF(MOD(A4,5)&lt;&gt;0,MOD(A4,5),5)</f>
        <v>1</v>
      </c>
      <c r="H4" s="148">
        <f>VLOOKUP(G4,$J$3:$L$7,3)*E4</f>
        <v>1110.6261044772873</v>
      </c>
      <c r="J4" s="128">
        <v>2</v>
      </c>
      <c r="K4" s="144">
        <f t="shared" ref="K4:K7" si="0">AVERAGEIF($G$4:$G$78,J4,$F$4:$F$78)</f>
        <v>1.0364031052216591</v>
      </c>
      <c r="L4" s="128">
        <f t="shared" ref="L4:L7" si="1">K4/$K$8</f>
        <v>1.0347116375835006</v>
      </c>
      <c r="Y4" s="146">
        <v>1120</v>
      </c>
    </row>
    <row r="5" spans="1:25" ht="15" x14ac:dyDescent="0.3">
      <c r="A5" s="143">
        <f>[1]ArdiData!A4</f>
        <v>2</v>
      </c>
      <c r="B5" s="145">
        <f ca="1">'0.ArdiData'!D4</f>
        <v>1224</v>
      </c>
      <c r="C5" s="146">
        <f t="shared" ref="C5:C68" si="2">Y5</f>
        <v>1461</v>
      </c>
      <c r="E5" s="147">
        <f t="shared" ref="E5:E68" si="3">$E$2+$F$2*A5</f>
        <v>1361.8869215291759</v>
      </c>
      <c r="F5" s="151">
        <f t="shared" ref="F5:F68" si="4">C5/E5</f>
        <v>1.0727762906773026</v>
      </c>
      <c r="G5" s="151">
        <f t="shared" ref="G5:G68" si="5">IF(MOD(A5,5)&lt;&gt;0,MOD(A5,5),5)</f>
        <v>2</v>
      </c>
      <c r="H5" s="148">
        <f t="shared" ref="H5:H68" si="6">VLOOKUP(G5,$J$3:$L$7,3)*E5</f>
        <v>1409.160246779006</v>
      </c>
      <c r="J5" s="128">
        <v>3</v>
      </c>
      <c r="K5" s="144">
        <f t="shared" si="0"/>
        <v>1.1830137498486875</v>
      </c>
      <c r="L5" s="128">
        <f t="shared" si="1"/>
        <v>1.1810830054662325</v>
      </c>
      <c r="Y5" s="146">
        <v>1461</v>
      </c>
    </row>
    <row r="6" spans="1:25" ht="15" x14ac:dyDescent="0.3">
      <c r="A6" s="143">
        <f>[1]ArdiData!A5</f>
        <v>3</v>
      </c>
      <c r="B6" s="145">
        <f ca="1">'0.ArdiData'!D5</f>
        <v>1427</v>
      </c>
      <c r="C6" s="146">
        <f t="shared" si="2"/>
        <v>1719</v>
      </c>
      <c r="D6" s="149">
        <f>AVERAGE(C4:C8)</f>
        <v>1470.8</v>
      </c>
      <c r="E6" s="147">
        <f t="shared" si="3"/>
        <v>1441.375821596245</v>
      </c>
      <c r="F6" s="151">
        <f t="shared" si="4"/>
        <v>1.1926105421251629</v>
      </c>
      <c r="G6" s="151">
        <f t="shared" si="5"/>
        <v>3</v>
      </c>
      <c r="H6" s="148">
        <f t="shared" si="6"/>
        <v>1702.3844873772532</v>
      </c>
      <c r="J6" s="128">
        <v>4</v>
      </c>
      <c r="K6" s="144">
        <f t="shared" si="0"/>
        <v>1.0429691526104796</v>
      </c>
      <c r="L6" s="128">
        <f t="shared" si="1"/>
        <v>1.0412669688169827</v>
      </c>
      <c r="Y6" s="146">
        <v>1719</v>
      </c>
    </row>
    <row r="7" spans="1:25" ht="15" x14ac:dyDescent="0.3">
      <c r="A7" s="143">
        <f>[1]ArdiData!A6</f>
        <v>4</v>
      </c>
      <c r="B7" s="145">
        <f ca="1">'0.ArdiData'!D6</f>
        <v>1423</v>
      </c>
      <c r="C7" s="146">
        <f t="shared" si="2"/>
        <v>1692</v>
      </c>
      <c r="D7" s="149">
        <f t="shared" ref="D7:D70" si="7">AVERAGE(C5:C9)</f>
        <v>1547.8</v>
      </c>
      <c r="E7" s="147">
        <f t="shared" si="3"/>
        <v>1520.8647216633142</v>
      </c>
      <c r="F7" s="151">
        <f t="shared" si="4"/>
        <v>1.1125249839114695</v>
      </c>
      <c r="G7" s="151">
        <f t="shared" si="5"/>
        <v>4</v>
      </c>
      <c r="H7" s="148">
        <f t="shared" si="6"/>
        <v>1583.6261987070432</v>
      </c>
      <c r="J7" s="128">
        <v>5</v>
      </c>
      <c r="K7" s="144">
        <f t="shared" si="0"/>
        <v>0.87831772029648225</v>
      </c>
      <c r="L7" s="128">
        <f t="shared" si="1"/>
        <v>0.87688425681840343</v>
      </c>
      <c r="Y7" s="146">
        <v>1692</v>
      </c>
    </row>
    <row r="8" spans="1:25" ht="15" x14ac:dyDescent="0.3">
      <c r="A8" s="143">
        <f>[1]ArdiData!A7</f>
        <v>5</v>
      </c>
      <c r="B8" s="145">
        <f ca="1">'0.ArdiData'!D7</f>
        <v>1311</v>
      </c>
      <c r="C8" s="146">
        <f t="shared" si="2"/>
        <v>1362</v>
      </c>
      <c r="D8" s="149">
        <f t="shared" si="7"/>
        <v>1620.2</v>
      </c>
      <c r="E8" s="147">
        <f t="shared" si="3"/>
        <v>1600.3536217303831</v>
      </c>
      <c r="F8" s="151">
        <f t="shared" si="4"/>
        <v>0.85106190376058066</v>
      </c>
      <c r="G8" s="151">
        <f t="shared" si="5"/>
        <v>5</v>
      </c>
      <c r="H8" s="148">
        <f t="shared" si="6"/>
        <v>1403.3248962376874</v>
      </c>
      <c r="J8" s="128"/>
      <c r="K8" s="150">
        <f>AVERAGE(K3:K7)</f>
        <v>1.0016347237014835</v>
      </c>
      <c r="L8" s="150">
        <f>AVERAGE(L3:L7)</f>
        <v>1</v>
      </c>
      <c r="Y8" s="146">
        <v>1362</v>
      </c>
    </row>
    <row r="9" spans="1:25" ht="15" x14ac:dyDescent="0.3">
      <c r="A9" s="143">
        <f>[1]ArdiData!A8</f>
        <v>6</v>
      </c>
      <c r="B9" s="145">
        <f ca="1">'0.ArdiData'!D8</f>
        <v>1386</v>
      </c>
      <c r="C9" s="146">
        <f t="shared" si="2"/>
        <v>1505</v>
      </c>
      <c r="D9" s="149">
        <f t="shared" si="7"/>
        <v>1684.6</v>
      </c>
      <c r="E9" s="147">
        <f t="shared" si="3"/>
        <v>1679.8425217974523</v>
      </c>
      <c r="F9" s="151">
        <f t="shared" si="4"/>
        <v>0.8959173139572818</v>
      </c>
      <c r="G9" s="151">
        <f t="shared" si="5"/>
        <v>1</v>
      </c>
      <c r="H9" s="148">
        <f t="shared" si="6"/>
        <v>1454.8345559610916</v>
      </c>
      <c r="Y9" s="146">
        <v>1505</v>
      </c>
    </row>
    <row r="10" spans="1:25" ht="15" x14ac:dyDescent="0.3">
      <c r="A10" s="143">
        <f>[1]ArdiData!A9</f>
        <v>7</v>
      </c>
      <c r="B10" s="145">
        <f ca="1">'0.ArdiData'!D9</f>
        <v>1562</v>
      </c>
      <c r="C10" s="146">
        <f t="shared" si="2"/>
        <v>1823</v>
      </c>
      <c r="D10" s="149">
        <f t="shared" si="7"/>
        <v>1755.2</v>
      </c>
      <c r="E10" s="147">
        <f t="shared" si="3"/>
        <v>1759.3314218645214</v>
      </c>
      <c r="F10" s="151">
        <f t="shared" si="4"/>
        <v>1.0361890757728884</v>
      </c>
      <c r="G10" s="151">
        <f t="shared" si="5"/>
        <v>2</v>
      </c>
      <c r="H10" s="148">
        <f t="shared" si="6"/>
        <v>1820.4006965695476</v>
      </c>
      <c r="Y10" s="146">
        <v>1823</v>
      </c>
    </row>
    <row r="11" spans="1:25" ht="15" x14ac:dyDescent="0.3">
      <c r="A11" s="143">
        <f>[1]ArdiData!A10</f>
        <v>8</v>
      </c>
      <c r="B11" s="145">
        <f ca="1">'0.ArdiData'!D10</f>
        <v>2070</v>
      </c>
      <c r="C11" s="146">
        <f t="shared" si="2"/>
        <v>2041</v>
      </c>
      <c r="D11" s="149">
        <f t="shared" si="7"/>
        <v>1838.8</v>
      </c>
      <c r="E11" s="147">
        <f t="shared" si="3"/>
        <v>1838.8203219315906</v>
      </c>
      <c r="F11" s="151">
        <f t="shared" si="4"/>
        <v>1.1099507524781049</v>
      </c>
      <c r="G11" s="151">
        <f t="shared" si="5"/>
        <v>3</v>
      </c>
      <c r="H11" s="148">
        <f t="shared" si="6"/>
        <v>2171.7994323393482</v>
      </c>
      <c r="Y11" s="146">
        <v>2041</v>
      </c>
    </row>
    <row r="12" spans="1:25" ht="15" x14ac:dyDescent="0.3">
      <c r="A12" s="143">
        <f>[1]ArdiData!A11</f>
        <v>9</v>
      </c>
      <c r="B12" s="145">
        <f ca="1">'0.ArdiData'!D11</f>
        <v>1693</v>
      </c>
      <c r="C12" s="146">
        <f t="shared" si="2"/>
        <v>2045</v>
      </c>
      <c r="D12" s="149">
        <f t="shared" si="7"/>
        <v>1911</v>
      </c>
      <c r="E12" s="147">
        <f t="shared" si="3"/>
        <v>1918.3092219986595</v>
      </c>
      <c r="F12" s="151">
        <f t="shared" si="4"/>
        <v>1.0660429385150654</v>
      </c>
      <c r="G12" s="151">
        <f t="shared" si="5"/>
        <v>4</v>
      </c>
      <c r="H12" s="148">
        <f t="shared" si="6"/>
        <v>1997.4720288442084</v>
      </c>
      <c r="Y12" s="146">
        <v>2045</v>
      </c>
    </row>
    <row r="13" spans="1:25" ht="15" x14ac:dyDescent="0.3">
      <c r="A13" s="143">
        <f>[1]ArdiData!A12</f>
        <v>10</v>
      </c>
      <c r="B13" s="145">
        <f ca="1">'0.ArdiData'!D12</f>
        <v>1684</v>
      </c>
      <c r="C13" s="146">
        <f t="shared" si="2"/>
        <v>1780</v>
      </c>
      <c r="D13" s="149">
        <f t="shared" si="7"/>
        <v>1962.2</v>
      </c>
      <c r="E13" s="147">
        <f t="shared" si="3"/>
        <v>1997.7981220657286</v>
      </c>
      <c r="F13" s="151">
        <f t="shared" si="4"/>
        <v>0.89098091560896808</v>
      </c>
      <c r="G13" s="151">
        <f t="shared" si="5"/>
        <v>5</v>
      </c>
      <c r="H13" s="148">
        <f t="shared" si="6"/>
        <v>1751.8377215408084</v>
      </c>
      <c r="Y13" s="146">
        <v>1780</v>
      </c>
    </row>
    <row r="14" spans="1:25" ht="15" x14ac:dyDescent="0.3">
      <c r="A14" s="143">
        <f>[1]ArdiData!A13</f>
        <v>11</v>
      </c>
      <c r="B14" s="145">
        <f ca="1">'0.ArdiData'!D13</f>
        <v>1590</v>
      </c>
      <c r="C14" s="146">
        <f t="shared" si="2"/>
        <v>1866</v>
      </c>
      <c r="D14" s="149">
        <f t="shared" si="7"/>
        <v>2149.4</v>
      </c>
      <c r="E14" s="147">
        <f t="shared" si="3"/>
        <v>2077.2870221327976</v>
      </c>
      <c r="F14" s="151">
        <f t="shared" si="4"/>
        <v>0.89828703502134988</v>
      </c>
      <c r="G14" s="151">
        <f t="shared" si="5"/>
        <v>1</v>
      </c>
      <c r="H14" s="148">
        <f t="shared" si="6"/>
        <v>1799.0430074448961</v>
      </c>
      <c r="Y14" s="146">
        <v>1866</v>
      </c>
    </row>
    <row r="15" spans="1:25" ht="15" x14ac:dyDescent="0.3">
      <c r="A15" s="143">
        <f>[1]ArdiData!A14</f>
        <v>12</v>
      </c>
      <c r="B15" s="145">
        <f ca="1">'0.ArdiData'!D14</f>
        <v>1986</v>
      </c>
      <c r="C15" s="146">
        <f t="shared" si="2"/>
        <v>2079</v>
      </c>
      <c r="D15" s="149">
        <f t="shared" si="7"/>
        <v>2200.4</v>
      </c>
      <c r="E15" s="147">
        <f t="shared" si="3"/>
        <v>2156.7759221998667</v>
      </c>
      <c r="F15" s="151">
        <f t="shared" si="4"/>
        <v>0.96393880263623455</v>
      </c>
      <c r="G15" s="151">
        <f t="shared" si="5"/>
        <v>2</v>
      </c>
      <c r="H15" s="148">
        <f t="shared" si="6"/>
        <v>2231.6411463600889</v>
      </c>
      <c r="Y15" s="146">
        <v>2079</v>
      </c>
    </row>
    <row r="16" spans="1:25" ht="15" x14ac:dyDescent="0.3">
      <c r="A16" s="143">
        <f>[1]ArdiData!A15</f>
        <v>13</v>
      </c>
      <c r="B16" s="145">
        <f ca="1">'0.ArdiData'!D15</f>
        <v>2550</v>
      </c>
      <c r="C16" s="146">
        <f t="shared" si="2"/>
        <v>2977</v>
      </c>
      <c r="D16" s="149">
        <f t="shared" si="7"/>
        <v>2253</v>
      </c>
      <c r="E16" s="147">
        <f t="shared" si="3"/>
        <v>2236.2648222669359</v>
      </c>
      <c r="F16" s="151">
        <f t="shared" si="4"/>
        <v>1.3312376827455388</v>
      </c>
      <c r="G16" s="151">
        <f t="shared" si="5"/>
        <v>3</v>
      </c>
      <c r="H16" s="148">
        <f t="shared" si="6"/>
        <v>2641.2143773014427</v>
      </c>
      <c r="Y16" s="146">
        <v>2977</v>
      </c>
    </row>
    <row r="17" spans="1:25" ht="15" x14ac:dyDescent="0.3">
      <c r="A17" s="143">
        <f>[1]ArdiData!A16</f>
        <v>14</v>
      </c>
      <c r="B17" s="145">
        <f ca="1">'0.ArdiData'!D16</f>
        <v>2301</v>
      </c>
      <c r="C17" s="146">
        <f t="shared" si="2"/>
        <v>2300</v>
      </c>
      <c r="D17" s="149">
        <f t="shared" si="7"/>
        <v>2301.4</v>
      </c>
      <c r="E17" s="147">
        <f t="shared" si="3"/>
        <v>2315.753722334005</v>
      </c>
      <c r="F17" s="151">
        <f t="shared" si="4"/>
        <v>0.99319715124191743</v>
      </c>
      <c r="G17" s="151">
        <f t="shared" si="5"/>
        <v>4</v>
      </c>
      <c r="H17" s="148">
        <f t="shared" si="6"/>
        <v>2411.3178589813738</v>
      </c>
      <c r="Y17" s="146">
        <v>2300</v>
      </c>
    </row>
    <row r="18" spans="1:25" ht="15" x14ac:dyDescent="0.3">
      <c r="A18" s="143">
        <f>[1]ArdiData!A17</f>
        <v>15</v>
      </c>
      <c r="B18" s="145">
        <f ca="1">'0.ArdiData'!D17</f>
        <v>1988</v>
      </c>
      <c r="C18" s="146">
        <f t="shared" si="2"/>
        <v>2043</v>
      </c>
      <c r="D18" s="149">
        <f t="shared" si="7"/>
        <v>2383.1999999999998</v>
      </c>
      <c r="E18" s="147">
        <f t="shared" si="3"/>
        <v>2395.2426224010742</v>
      </c>
      <c r="F18" s="151">
        <f t="shared" si="4"/>
        <v>0.85294073380842983</v>
      </c>
      <c r="G18" s="151">
        <f t="shared" si="5"/>
        <v>5</v>
      </c>
      <c r="H18" s="148">
        <f t="shared" si="6"/>
        <v>2100.3505468439298</v>
      </c>
      <c r="Y18" s="146">
        <v>2043</v>
      </c>
    </row>
    <row r="19" spans="1:25" ht="15" x14ac:dyDescent="0.3">
      <c r="A19" s="143">
        <f>[1]ArdiData!A18</f>
        <v>16</v>
      </c>
      <c r="B19" s="145">
        <f ca="1">'0.ArdiData'!D18</f>
        <v>1928</v>
      </c>
      <c r="C19" s="146">
        <f t="shared" si="2"/>
        <v>2108</v>
      </c>
      <c r="D19" s="149">
        <f t="shared" si="7"/>
        <v>2423</v>
      </c>
      <c r="E19" s="147">
        <f t="shared" si="3"/>
        <v>2474.7315224681433</v>
      </c>
      <c r="F19" s="151">
        <f t="shared" si="4"/>
        <v>0.85180957241681388</v>
      </c>
      <c r="G19" s="151">
        <f t="shared" si="5"/>
        <v>1</v>
      </c>
      <c r="H19" s="148">
        <f t="shared" si="6"/>
        <v>2143.2514589287011</v>
      </c>
      <c r="Y19" s="146">
        <v>2108</v>
      </c>
    </row>
    <row r="20" spans="1:25" ht="15" x14ac:dyDescent="0.3">
      <c r="A20" s="143">
        <f>[1]ArdiData!A19</f>
        <v>17</v>
      </c>
      <c r="B20" s="145">
        <f ca="1">'0.ArdiData'!D19</f>
        <v>2418</v>
      </c>
      <c r="C20" s="146">
        <f t="shared" si="2"/>
        <v>2488</v>
      </c>
      <c r="D20" s="149">
        <f t="shared" si="7"/>
        <v>2469.4</v>
      </c>
      <c r="E20" s="147">
        <f t="shared" si="3"/>
        <v>2554.2204225352125</v>
      </c>
      <c r="F20" s="151">
        <f t="shared" si="4"/>
        <v>0.9740741159412214</v>
      </c>
      <c r="G20" s="151">
        <f t="shared" si="5"/>
        <v>2</v>
      </c>
      <c r="H20" s="148">
        <f t="shared" si="6"/>
        <v>2642.8815961506307</v>
      </c>
      <c r="Y20" s="146">
        <v>2488</v>
      </c>
    </row>
    <row r="21" spans="1:25" ht="15" x14ac:dyDescent="0.3">
      <c r="A21" s="143">
        <f>[1]ArdiData!A20</f>
        <v>18</v>
      </c>
      <c r="B21" s="145">
        <f ca="1">'0.ArdiData'!D20</f>
        <v>3236</v>
      </c>
      <c r="C21" s="146">
        <f t="shared" si="2"/>
        <v>3176</v>
      </c>
      <c r="D21" s="149">
        <f t="shared" si="7"/>
        <v>2555.6</v>
      </c>
      <c r="E21" s="147">
        <f t="shared" si="3"/>
        <v>2633.7093226022812</v>
      </c>
      <c r="F21" s="151">
        <f t="shared" si="4"/>
        <v>1.205903769540482</v>
      </c>
      <c r="G21" s="151">
        <f t="shared" si="5"/>
        <v>3</v>
      </c>
      <c r="H21" s="148">
        <f t="shared" si="6"/>
        <v>3110.6293222635377</v>
      </c>
      <c r="Y21" s="146">
        <v>3176</v>
      </c>
    </row>
    <row r="22" spans="1:25" ht="15" x14ac:dyDescent="0.3">
      <c r="A22" s="143">
        <f>[1]ArdiData!A21</f>
        <v>19</v>
      </c>
      <c r="B22" s="145">
        <f ca="1">'0.ArdiData'!D21</f>
        <v>2403</v>
      </c>
      <c r="C22" s="146">
        <f t="shared" si="2"/>
        <v>2532</v>
      </c>
      <c r="D22" s="149">
        <f t="shared" si="7"/>
        <v>2653.2</v>
      </c>
      <c r="E22" s="147">
        <f t="shared" si="3"/>
        <v>2713.1982226693503</v>
      </c>
      <c r="F22" s="151">
        <f t="shared" si="4"/>
        <v>0.93321600273971861</v>
      </c>
      <c r="G22" s="151">
        <f t="shared" si="5"/>
        <v>4</v>
      </c>
      <c r="H22" s="148">
        <f t="shared" si="6"/>
        <v>2825.1636891185394</v>
      </c>
      <c r="Y22" s="146">
        <v>2532</v>
      </c>
    </row>
    <row r="23" spans="1:25" ht="15" x14ac:dyDescent="0.3">
      <c r="A23" s="143">
        <f>[1]ArdiData!A22</f>
        <v>20</v>
      </c>
      <c r="B23" s="145">
        <f ca="1">'0.ArdiData'!D22</f>
        <v>2174</v>
      </c>
      <c r="C23" s="146">
        <f t="shared" si="2"/>
        <v>2474</v>
      </c>
      <c r="D23" s="149">
        <f t="shared" si="7"/>
        <v>2763.4</v>
      </c>
      <c r="E23" s="147">
        <f t="shared" si="3"/>
        <v>2792.6871227364195</v>
      </c>
      <c r="F23" s="151">
        <f t="shared" si="4"/>
        <v>0.88588513187107287</v>
      </c>
      <c r="G23" s="151">
        <f t="shared" si="5"/>
        <v>5</v>
      </c>
      <c r="H23" s="148">
        <f t="shared" si="6"/>
        <v>2448.8633721470505</v>
      </c>
      <c r="Y23" s="146">
        <v>2474</v>
      </c>
    </row>
    <row r="24" spans="1:25" ht="15" x14ac:dyDescent="0.3">
      <c r="A24" s="143">
        <f>[1]ArdiData!A23</f>
        <v>21</v>
      </c>
      <c r="B24" s="145">
        <f ca="1">'0.ArdiData'!D23</f>
        <v>2352</v>
      </c>
      <c r="C24" s="146">
        <f t="shared" si="2"/>
        <v>2596</v>
      </c>
      <c r="D24" s="149">
        <f t="shared" si="7"/>
        <v>2863</v>
      </c>
      <c r="E24" s="147">
        <f t="shared" si="3"/>
        <v>2872.1760228034882</v>
      </c>
      <c r="F24" s="151">
        <f t="shared" si="4"/>
        <v>0.90384432548325611</v>
      </c>
      <c r="G24" s="151">
        <f t="shared" si="5"/>
        <v>1</v>
      </c>
      <c r="H24" s="148">
        <f t="shared" si="6"/>
        <v>2487.459910412505</v>
      </c>
      <c r="Y24" s="146">
        <v>2596</v>
      </c>
    </row>
    <row r="25" spans="1:25" ht="15" x14ac:dyDescent="0.3">
      <c r="A25" s="143">
        <f>[1]ArdiData!A24</f>
        <v>22</v>
      </c>
      <c r="B25" s="145">
        <f ca="1">'0.ArdiData'!D24</f>
        <v>2738</v>
      </c>
      <c r="C25" s="146">
        <f t="shared" si="2"/>
        <v>3039</v>
      </c>
      <c r="D25" s="149">
        <f t="shared" si="7"/>
        <v>3054.4</v>
      </c>
      <c r="E25" s="147">
        <f t="shared" si="3"/>
        <v>2951.6649228705573</v>
      </c>
      <c r="F25" s="151">
        <f t="shared" si="4"/>
        <v>1.0295884117647431</v>
      </c>
      <c r="G25" s="151">
        <f t="shared" si="5"/>
        <v>2</v>
      </c>
      <c r="H25" s="148">
        <f t="shared" si="6"/>
        <v>3054.1220459411716</v>
      </c>
      <c r="Y25" s="146">
        <v>3039</v>
      </c>
    </row>
    <row r="26" spans="1:25" ht="15" x14ac:dyDescent="0.3">
      <c r="A26" s="143">
        <f>[1]ArdiData!A25</f>
        <v>23</v>
      </c>
      <c r="B26" s="145">
        <f ca="1">'0.ArdiData'!D25</f>
        <v>3352</v>
      </c>
      <c r="C26" s="146">
        <f t="shared" si="2"/>
        <v>3674</v>
      </c>
      <c r="D26" s="149">
        <f t="shared" si="7"/>
        <v>3142.4</v>
      </c>
      <c r="E26" s="147">
        <f t="shared" si="3"/>
        <v>3031.1538229376265</v>
      </c>
      <c r="F26" s="151">
        <f t="shared" si="4"/>
        <v>1.2120796946026853</v>
      </c>
      <c r="G26" s="151">
        <f t="shared" si="5"/>
        <v>3</v>
      </c>
      <c r="H26" s="148">
        <f t="shared" si="6"/>
        <v>3580.0442672256322</v>
      </c>
      <c r="Y26" s="146">
        <v>3674</v>
      </c>
    </row>
    <row r="27" spans="1:25" ht="15" x14ac:dyDescent="0.3">
      <c r="A27" s="143">
        <f>[1]ArdiData!A26</f>
        <v>24</v>
      </c>
      <c r="B27" s="145">
        <f ca="1">'0.ArdiData'!D26</f>
        <v>2955</v>
      </c>
      <c r="C27" s="146">
        <f t="shared" si="2"/>
        <v>3489</v>
      </c>
      <c r="D27" s="149">
        <f t="shared" si="7"/>
        <v>3167.8</v>
      </c>
      <c r="E27" s="147">
        <f t="shared" si="3"/>
        <v>3110.6427230046957</v>
      </c>
      <c r="F27" s="151">
        <f t="shared" si="4"/>
        <v>1.1216331513089468</v>
      </c>
      <c r="G27" s="151">
        <f t="shared" si="5"/>
        <v>4</v>
      </c>
      <c r="H27" s="148">
        <f t="shared" si="6"/>
        <v>3239.0095192557046</v>
      </c>
      <c r="Y27" s="146">
        <v>3489</v>
      </c>
    </row>
    <row r="28" spans="1:25" ht="15" x14ac:dyDescent="0.3">
      <c r="A28" s="143">
        <f>[1]ArdiData!A27</f>
        <v>25</v>
      </c>
      <c r="B28" s="145">
        <f ca="1">'0.ArdiData'!D27</f>
        <v>2770</v>
      </c>
      <c r="C28" s="146">
        <f t="shared" si="2"/>
        <v>2914</v>
      </c>
      <c r="D28" s="149">
        <f t="shared" si="7"/>
        <v>3248</v>
      </c>
      <c r="E28" s="147">
        <f t="shared" si="3"/>
        <v>3190.1316230717648</v>
      </c>
      <c r="F28" s="151">
        <f t="shared" si="4"/>
        <v>0.91344193415885488</v>
      </c>
      <c r="G28" s="151">
        <f t="shared" si="5"/>
        <v>5</v>
      </c>
      <c r="H28" s="148">
        <f t="shared" si="6"/>
        <v>2797.3761974501717</v>
      </c>
      <c r="Y28" s="146">
        <v>2914</v>
      </c>
    </row>
    <row r="29" spans="1:25" ht="15" x14ac:dyDescent="0.3">
      <c r="A29" s="143">
        <f>[1]ArdiData!A28</f>
        <v>26</v>
      </c>
      <c r="B29" s="145">
        <f ca="1">'0.ArdiData'!D28</f>
        <v>2641</v>
      </c>
      <c r="C29" s="146">
        <f t="shared" si="2"/>
        <v>2723</v>
      </c>
      <c r="D29" s="149">
        <f t="shared" si="7"/>
        <v>3330.2</v>
      </c>
      <c r="E29" s="147">
        <f t="shared" si="3"/>
        <v>3269.620523138834</v>
      </c>
      <c r="F29" s="151">
        <f t="shared" si="4"/>
        <v>0.83281835941802851</v>
      </c>
      <c r="G29" s="151">
        <f t="shared" si="5"/>
        <v>1</v>
      </c>
      <c r="H29" s="148">
        <f t="shared" si="6"/>
        <v>2831.6683618963098</v>
      </c>
      <c r="Y29" s="146">
        <v>2723</v>
      </c>
    </row>
    <row r="30" spans="1:25" ht="15" x14ac:dyDescent="0.3">
      <c r="A30" s="143">
        <f>[1]ArdiData!A29</f>
        <v>27</v>
      </c>
      <c r="B30" s="145">
        <f ca="1">'0.ArdiData'!D29</f>
        <v>3547</v>
      </c>
      <c r="C30" s="146">
        <f t="shared" si="2"/>
        <v>3440</v>
      </c>
      <c r="D30" s="149">
        <f t="shared" si="7"/>
        <v>3354</v>
      </c>
      <c r="E30" s="147">
        <f t="shared" si="3"/>
        <v>3349.1094232059031</v>
      </c>
      <c r="F30" s="151">
        <f t="shared" si="4"/>
        <v>1.0271387301245871</v>
      </c>
      <c r="G30" s="151">
        <f t="shared" si="5"/>
        <v>2</v>
      </c>
      <c r="H30" s="148">
        <f t="shared" si="6"/>
        <v>3465.3624957317134</v>
      </c>
      <c r="Y30" s="146">
        <v>3440</v>
      </c>
    </row>
    <row r="31" spans="1:25" ht="15" x14ac:dyDescent="0.3">
      <c r="A31" s="143">
        <f>[1]ArdiData!A30</f>
        <v>28</v>
      </c>
      <c r="B31" s="145">
        <f ca="1">'0.ArdiData'!D30</f>
        <v>3677</v>
      </c>
      <c r="C31" s="146">
        <f t="shared" si="2"/>
        <v>4085</v>
      </c>
      <c r="D31" s="149">
        <f t="shared" si="7"/>
        <v>3382.6</v>
      </c>
      <c r="E31" s="147">
        <f t="shared" si="3"/>
        <v>3428.5983232729723</v>
      </c>
      <c r="F31" s="151">
        <f t="shared" si="4"/>
        <v>1.1914489872643992</v>
      </c>
      <c r="G31" s="151">
        <f t="shared" si="5"/>
        <v>3</v>
      </c>
      <c r="H31" s="148">
        <f t="shared" si="6"/>
        <v>4049.4592121877272</v>
      </c>
      <c r="Y31" s="146">
        <v>4085</v>
      </c>
    </row>
    <row r="32" spans="1:25" ht="15" x14ac:dyDescent="0.3">
      <c r="A32" s="143">
        <f>[1]ArdiData!A31</f>
        <v>29</v>
      </c>
      <c r="B32" s="145">
        <f ca="1">'0.ArdiData'!D31</f>
        <v>3462</v>
      </c>
      <c r="C32" s="146">
        <f t="shared" si="2"/>
        <v>3608</v>
      </c>
      <c r="D32" s="149">
        <f t="shared" si="7"/>
        <v>3468.4</v>
      </c>
      <c r="E32" s="147">
        <f t="shared" si="3"/>
        <v>3508.087223340041</v>
      </c>
      <c r="F32" s="151">
        <f t="shared" si="4"/>
        <v>1.0284806991101072</v>
      </c>
      <c r="G32" s="151">
        <f t="shared" si="5"/>
        <v>4</v>
      </c>
      <c r="H32" s="148">
        <f t="shared" si="6"/>
        <v>3652.8553493928698</v>
      </c>
      <c r="Y32" s="146">
        <v>3608</v>
      </c>
    </row>
    <row r="33" spans="1:25" ht="15" x14ac:dyDescent="0.3">
      <c r="A33" s="143">
        <f>[1]ArdiData!A32</f>
        <v>30</v>
      </c>
      <c r="B33" s="145">
        <f ca="1">'0.ArdiData'!D32</f>
        <v>2905</v>
      </c>
      <c r="C33" s="146">
        <f t="shared" si="2"/>
        <v>3057</v>
      </c>
      <c r="D33" s="149">
        <f t="shared" si="7"/>
        <v>3608</v>
      </c>
      <c r="E33" s="147">
        <f t="shared" si="3"/>
        <v>3587.5761234071101</v>
      </c>
      <c r="F33" s="151">
        <f t="shared" si="4"/>
        <v>0.85210735461601195</v>
      </c>
      <c r="G33" s="151">
        <f t="shared" si="5"/>
        <v>5</v>
      </c>
      <c r="H33" s="148">
        <f t="shared" si="6"/>
        <v>3145.8890227532925</v>
      </c>
      <c r="Y33" s="146">
        <v>3057</v>
      </c>
    </row>
    <row r="34" spans="1:25" ht="15" x14ac:dyDescent="0.3">
      <c r="A34" s="143">
        <f>[1]ArdiData!A33</f>
        <v>31</v>
      </c>
      <c r="B34" s="145">
        <f ca="1">'0.ArdiData'!D33</f>
        <v>2924</v>
      </c>
      <c r="C34" s="146">
        <f t="shared" si="2"/>
        <v>3152</v>
      </c>
      <c r="D34" s="149">
        <f t="shared" si="7"/>
        <v>3704.8</v>
      </c>
      <c r="E34" s="147">
        <f t="shared" si="3"/>
        <v>3667.0650234741793</v>
      </c>
      <c r="F34" s="151">
        <f t="shared" si="4"/>
        <v>0.85954298050973577</v>
      </c>
      <c r="G34" s="151">
        <f t="shared" si="5"/>
        <v>1</v>
      </c>
      <c r="H34" s="148">
        <f t="shared" si="6"/>
        <v>3175.8768133801141</v>
      </c>
      <c r="Y34" s="146">
        <v>3152</v>
      </c>
    </row>
    <row r="35" spans="1:25" ht="15" x14ac:dyDescent="0.3">
      <c r="A35" s="143">
        <f>[1]ArdiData!A34</f>
        <v>32</v>
      </c>
      <c r="B35" s="145">
        <f ca="1">'0.ArdiData'!D34</f>
        <v>3980</v>
      </c>
      <c r="C35" s="146">
        <f t="shared" si="2"/>
        <v>4138</v>
      </c>
      <c r="D35" s="149">
        <f t="shared" si="7"/>
        <v>3758.2</v>
      </c>
      <c r="E35" s="147">
        <f t="shared" si="3"/>
        <v>3746.5539235412484</v>
      </c>
      <c r="F35" s="151">
        <f t="shared" si="4"/>
        <v>1.1044816341756416</v>
      </c>
      <c r="G35" s="151">
        <f t="shared" si="5"/>
        <v>2</v>
      </c>
      <c r="H35" s="148">
        <f t="shared" si="6"/>
        <v>3876.6029455222542</v>
      </c>
      <c r="Y35" s="146">
        <v>4138</v>
      </c>
    </row>
    <row r="36" spans="1:25" ht="15" x14ac:dyDescent="0.3">
      <c r="A36" s="143">
        <f>[1]ArdiData!A35</f>
        <v>33</v>
      </c>
      <c r="B36" s="145">
        <f ca="1">'0.ArdiData'!D35</f>
        <v>4617</v>
      </c>
      <c r="C36" s="146">
        <f t="shared" si="2"/>
        <v>4569</v>
      </c>
      <c r="D36" s="149">
        <f t="shared" si="7"/>
        <v>3836</v>
      </c>
      <c r="E36" s="147">
        <f t="shared" si="3"/>
        <v>3826.0428236083176</v>
      </c>
      <c r="F36" s="151">
        <f t="shared" si="4"/>
        <v>1.1941842291485394</v>
      </c>
      <c r="G36" s="151">
        <f t="shared" si="5"/>
        <v>3</v>
      </c>
      <c r="H36" s="148">
        <f t="shared" si="6"/>
        <v>4518.8741571498222</v>
      </c>
      <c r="Y36" s="146">
        <v>4569</v>
      </c>
    </row>
    <row r="37" spans="1:25" ht="15" x14ac:dyDescent="0.3">
      <c r="A37" s="143">
        <f>[1]ArdiData!A36</f>
        <v>34</v>
      </c>
      <c r="B37" s="145">
        <f ca="1">'0.ArdiData'!D36</f>
        <v>4055</v>
      </c>
      <c r="C37" s="146">
        <f t="shared" si="2"/>
        <v>3875</v>
      </c>
      <c r="D37" s="149">
        <f t="shared" si="7"/>
        <v>3879.8</v>
      </c>
      <c r="E37" s="147">
        <f t="shared" si="3"/>
        <v>3905.5317236753867</v>
      </c>
      <c r="F37" s="151">
        <f t="shared" si="4"/>
        <v>0.99218244125625632</v>
      </c>
      <c r="G37" s="151">
        <f t="shared" si="5"/>
        <v>4</v>
      </c>
      <c r="H37" s="148">
        <f t="shared" si="6"/>
        <v>4066.7011795300355</v>
      </c>
      <c r="Y37" s="146">
        <v>3875</v>
      </c>
    </row>
    <row r="38" spans="1:25" ht="15" x14ac:dyDescent="0.3">
      <c r="A38" s="143">
        <f>[1]ArdiData!A37</f>
        <v>35</v>
      </c>
      <c r="B38" s="145">
        <f ca="1">'0.ArdiData'!D37</f>
        <v>3140</v>
      </c>
      <c r="C38" s="146">
        <f t="shared" si="2"/>
        <v>3446</v>
      </c>
      <c r="D38" s="149">
        <f t="shared" si="7"/>
        <v>3841.8</v>
      </c>
      <c r="E38" s="147">
        <f t="shared" si="3"/>
        <v>3985.0206237424559</v>
      </c>
      <c r="F38" s="151">
        <f t="shared" si="4"/>
        <v>0.86473831012792979</v>
      </c>
      <c r="G38" s="151">
        <f t="shared" si="5"/>
        <v>5</v>
      </c>
      <c r="H38" s="148">
        <f t="shared" si="6"/>
        <v>3494.4018480564141</v>
      </c>
      <c r="Y38" s="146">
        <v>3446</v>
      </c>
    </row>
    <row r="39" spans="1:25" ht="15" x14ac:dyDescent="0.3">
      <c r="A39" s="143">
        <f>[1]ArdiData!A38</f>
        <v>36</v>
      </c>
      <c r="B39" s="145">
        <f ca="1">'0.ArdiData'!D38</f>
        <v>3318</v>
      </c>
      <c r="C39" s="146">
        <f t="shared" si="2"/>
        <v>3371</v>
      </c>
      <c r="D39" s="149">
        <f t="shared" si="7"/>
        <v>3914.4</v>
      </c>
      <c r="E39" s="147">
        <f t="shared" si="3"/>
        <v>4064.5095238095246</v>
      </c>
      <c r="F39" s="151">
        <f t="shared" si="4"/>
        <v>0.82937436368471784</v>
      </c>
      <c r="G39" s="151">
        <f t="shared" si="5"/>
        <v>1</v>
      </c>
      <c r="H39" s="148">
        <f t="shared" si="6"/>
        <v>3520.0852648639188</v>
      </c>
      <c r="Y39" s="146">
        <v>3371</v>
      </c>
    </row>
    <row r="40" spans="1:25" ht="15" x14ac:dyDescent="0.3">
      <c r="A40" s="143">
        <f>[1]ArdiData!A39</f>
        <v>37</v>
      </c>
      <c r="B40" s="145">
        <f ca="1">'0.ArdiData'!D39</f>
        <v>3819</v>
      </c>
      <c r="C40" s="146">
        <f t="shared" si="2"/>
        <v>3948</v>
      </c>
      <c r="D40" s="149">
        <f t="shared" si="7"/>
        <v>4047.6</v>
      </c>
      <c r="E40" s="147">
        <f t="shared" si="3"/>
        <v>4143.9984238765937</v>
      </c>
      <c r="F40" s="151">
        <f t="shared" si="4"/>
        <v>0.95270306505250968</v>
      </c>
      <c r="G40" s="151">
        <f t="shared" si="5"/>
        <v>2</v>
      </c>
      <c r="H40" s="148">
        <f t="shared" si="6"/>
        <v>4287.843395312796</v>
      </c>
      <c r="Y40" s="146">
        <v>3948</v>
      </c>
    </row>
    <row r="41" spans="1:25" ht="15" x14ac:dyDescent="0.3">
      <c r="A41" s="143">
        <f>[1]ArdiData!A40</f>
        <v>38</v>
      </c>
      <c r="B41" s="145">
        <f ca="1">'0.ArdiData'!D40</f>
        <v>4792</v>
      </c>
      <c r="C41" s="146">
        <f t="shared" si="2"/>
        <v>4932</v>
      </c>
      <c r="D41" s="149">
        <f t="shared" si="7"/>
        <v>4123.3999999999996</v>
      </c>
      <c r="E41" s="147">
        <f t="shared" si="3"/>
        <v>4223.4873239436629</v>
      </c>
      <c r="F41" s="151">
        <f t="shared" si="4"/>
        <v>1.1677553693696816</v>
      </c>
      <c r="G41" s="151">
        <f t="shared" si="5"/>
        <v>3</v>
      </c>
      <c r="H41" s="148">
        <f t="shared" si="6"/>
        <v>4988.2891021119167</v>
      </c>
      <c r="Y41" s="146">
        <v>4932</v>
      </c>
    </row>
    <row r="42" spans="1:25" ht="15" x14ac:dyDescent="0.3">
      <c r="A42" s="143">
        <f>[1]ArdiData!A41</f>
        <v>39</v>
      </c>
      <c r="B42" s="145">
        <f ca="1">'0.ArdiData'!D41</f>
        <v>4500</v>
      </c>
      <c r="C42" s="146">
        <f t="shared" si="2"/>
        <v>4541</v>
      </c>
      <c r="D42" s="149">
        <f t="shared" si="7"/>
        <v>4199.6000000000004</v>
      </c>
      <c r="E42" s="147">
        <f t="shared" si="3"/>
        <v>4302.976224010732</v>
      </c>
      <c r="F42" s="151">
        <f t="shared" si="4"/>
        <v>1.0553160797545402</v>
      </c>
      <c r="G42" s="151">
        <f t="shared" si="5"/>
        <v>4</v>
      </c>
      <c r="H42" s="148">
        <f t="shared" si="6"/>
        <v>4480.5470096672007</v>
      </c>
      <c r="Y42" s="146">
        <v>4541</v>
      </c>
    </row>
    <row r="43" spans="1:25" ht="15" x14ac:dyDescent="0.3">
      <c r="A43" s="143">
        <f>[1]ArdiData!A42</f>
        <v>40</v>
      </c>
      <c r="B43" s="145">
        <f ca="1">'0.ArdiData'!D42</f>
        <v>3446</v>
      </c>
      <c r="C43" s="146">
        <f t="shared" si="2"/>
        <v>3825</v>
      </c>
      <c r="D43" s="149">
        <f t="shared" si="7"/>
        <v>4346.8</v>
      </c>
      <c r="E43" s="147">
        <f t="shared" si="3"/>
        <v>4382.4651240778012</v>
      </c>
      <c r="F43" s="151">
        <f t="shared" si="4"/>
        <v>0.87279644941952428</v>
      </c>
      <c r="G43" s="151">
        <f t="shared" si="5"/>
        <v>5</v>
      </c>
      <c r="H43" s="148">
        <f t="shared" si="6"/>
        <v>3842.9146733595348</v>
      </c>
      <c r="Y43" s="146">
        <v>3825</v>
      </c>
    </row>
    <row r="44" spans="1:25" ht="15" x14ac:dyDescent="0.3">
      <c r="A44" s="143">
        <f>[1]ArdiData!A43</f>
        <v>41</v>
      </c>
      <c r="B44" s="145">
        <f ca="1">'0.ArdiData'!D43</f>
        <v>3579</v>
      </c>
      <c r="C44" s="146">
        <f t="shared" si="2"/>
        <v>3752</v>
      </c>
      <c r="D44" s="149">
        <f t="shared" si="7"/>
        <v>4453.2</v>
      </c>
      <c r="E44" s="147">
        <f t="shared" si="3"/>
        <v>4461.9540241448703</v>
      </c>
      <c r="F44" s="151">
        <f t="shared" si="4"/>
        <v>0.84088719419718083</v>
      </c>
      <c r="G44" s="151">
        <f t="shared" si="5"/>
        <v>1</v>
      </c>
      <c r="H44" s="148">
        <f t="shared" si="6"/>
        <v>3864.2937163477236</v>
      </c>
      <c r="Y44" s="146">
        <v>3752</v>
      </c>
    </row>
    <row r="45" spans="1:25" ht="15" x14ac:dyDescent="0.3">
      <c r="A45" s="143">
        <f>[1]ArdiData!A44</f>
        <v>42</v>
      </c>
      <c r="B45" s="145">
        <f ca="1">'0.ArdiData'!D44</f>
        <v>4351</v>
      </c>
      <c r="C45" s="146">
        <f t="shared" si="2"/>
        <v>4684</v>
      </c>
      <c r="D45" s="149">
        <f t="shared" si="7"/>
        <v>4507.6000000000004</v>
      </c>
      <c r="E45" s="147">
        <f t="shared" si="3"/>
        <v>4541.4429242119386</v>
      </c>
      <c r="F45" s="151">
        <f t="shared" si="4"/>
        <v>1.0313902603571306</v>
      </c>
      <c r="G45" s="151">
        <f t="shared" si="5"/>
        <v>2</v>
      </c>
      <c r="H45" s="148">
        <f t="shared" si="6"/>
        <v>4699.0838451033369</v>
      </c>
      <c r="Y45" s="146">
        <v>4684</v>
      </c>
    </row>
    <row r="46" spans="1:25" ht="15" x14ac:dyDescent="0.3">
      <c r="A46" s="143">
        <f>[1]ArdiData!A45</f>
        <v>43</v>
      </c>
      <c r="B46" s="145">
        <f ca="1">'0.ArdiData'!D45</f>
        <v>5420</v>
      </c>
      <c r="C46" s="146">
        <f t="shared" si="2"/>
        <v>5464</v>
      </c>
      <c r="D46" s="149">
        <f t="shared" si="7"/>
        <v>4592.8</v>
      </c>
      <c r="E46" s="147">
        <f t="shared" si="3"/>
        <v>4620.9318242790087</v>
      </c>
      <c r="F46" s="151">
        <f t="shared" si="4"/>
        <v>1.1824454910352487</v>
      </c>
      <c r="G46" s="151">
        <f t="shared" si="5"/>
        <v>3</v>
      </c>
      <c r="H46" s="148">
        <f t="shared" si="6"/>
        <v>5457.7040470740121</v>
      </c>
      <c r="Y46" s="146">
        <v>5464</v>
      </c>
    </row>
    <row r="47" spans="1:25" ht="15" x14ac:dyDescent="0.3">
      <c r="A47" s="143">
        <f>[1]ArdiData!A46</f>
        <v>44</v>
      </c>
      <c r="B47" s="145">
        <f ca="1">'0.ArdiData'!D46</f>
        <v>4190</v>
      </c>
      <c r="C47" s="146">
        <f t="shared" si="2"/>
        <v>4813</v>
      </c>
      <c r="D47" s="149">
        <f t="shared" si="7"/>
        <v>4684.2</v>
      </c>
      <c r="E47" s="147">
        <f t="shared" si="3"/>
        <v>4700.4207243460769</v>
      </c>
      <c r="F47" s="151">
        <f t="shared" si="4"/>
        <v>1.023950893389354</v>
      </c>
      <c r="G47" s="151">
        <f t="shared" si="5"/>
        <v>4</v>
      </c>
      <c r="H47" s="148">
        <f t="shared" si="6"/>
        <v>4894.3928398043654</v>
      </c>
      <c r="Y47" s="146">
        <v>4813</v>
      </c>
    </row>
    <row r="48" spans="1:25" ht="15" x14ac:dyDescent="0.3">
      <c r="A48" s="143">
        <f>[1]ArdiData!A47</f>
        <v>45</v>
      </c>
      <c r="B48" s="145">
        <f ca="1">'0.ArdiData'!D47</f>
        <v>3882</v>
      </c>
      <c r="C48" s="146">
        <f t="shared" si="2"/>
        <v>4251</v>
      </c>
      <c r="D48" s="149">
        <f t="shared" si="7"/>
        <v>4740</v>
      </c>
      <c r="E48" s="147">
        <f t="shared" si="3"/>
        <v>4779.909624413147</v>
      </c>
      <c r="F48" s="151">
        <f t="shared" si="4"/>
        <v>0.88934735884716987</v>
      </c>
      <c r="G48" s="151">
        <f t="shared" si="5"/>
        <v>5</v>
      </c>
      <c r="H48" s="148">
        <f t="shared" si="6"/>
        <v>4191.427498662656</v>
      </c>
      <c r="Y48" s="146">
        <v>4251</v>
      </c>
    </row>
    <row r="49" spans="1:25" ht="15" x14ac:dyDescent="0.3">
      <c r="A49" s="143">
        <f>[1]ArdiData!A48</f>
        <v>46</v>
      </c>
      <c r="B49" s="145">
        <f ca="1">'0.ArdiData'!D48</f>
        <v>4052</v>
      </c>
      <c r="C49" s="146">
        <f t="shared" si="2"/>
        <v>4209</v>
      </c>
      <c r="D49" s="149">
        <f t="shared" si="7"/>
        <v>4915.2</v>
      </c>
      <c r="E49" s="147">
        <f t="shared" si="3"/>
        <v>4859.3985244802152</v>
      </c>
      <c r="F49" s="151">
        <f t="shared" si="4"/>
        <v>0.86615657859636341</v>
      </c>
      <c r="G49" s="151">
        <f t="shared" si="5"/>
        <v>1</v>
      </c>
      <c r="H49" s="148">
        <f t="shared" si="6"/>
        <v>4208.5021678315279</v>
      </c>
      <c r="Y49" s="146">
        <v>4209</v>
      </c>
    </row>
    <row r="50" spans="1:25" ht="15" x14ac:dyDescent="0.3">
      <c r="A50" s="143">
        <f>[1]ArdiData!A49</f>
        <v>47</v>
      </c>
      <c r="B50" s="145">
        <f ca="1">'0.ArdiData'!D49</f>
        <v>5294</v>
      </c>
      <c r="C50" s="146">
        <f t="shared" si="2"/>
        <v>4963</v>
      </c>
      <c r="D50" s="149">
        <f t="shared" si="7"/>
        <v>5088.2</v>
      </c>
      <c r="E50" s="147">
        <f t="shared" si="3"/>
        <v>4938.8874245472853</v>
      </c>
      <c r="F50" s="151">
        <f t="shared" si="4"/>
        <v>1.0048821877034229</v>
      </c>
      <c r="G50" s="151">
        <f t="shared" si="5"/>
        <v>2</v>
      </c>
      <c r="H50" s="148">
        <f t="shared" si="6"/>
        <v>5110.3242948938796</v>
      </c>
      <c r="Y50" s="146">
        <v>4963</v>
      </c>
    </row>
    <row r="51" spans="1:25" ht="15" x14ac:dyDescent="0.3">
      <c r="A51" s="143">
        <f>[1]ArdiData!A50</f>
        <v>48</v>
      </c>
      <c r="B51" s="145">
        <f ca="1">'0.ArdiData'!D50</f>
        <v>6070</v>
      </c>
      <c r="C51" s="146">
        <f t="shared" si="2"/>
        <v>6340</v>
      </c>
      <c r="D51" s="149">
        <f t="shared" si="7"/>
        <v>5134.6000000000004</v>
      </c>
      <c r="E51" s="147">
        <f t="shared" si="3"/>
        <v>5018.3763246143535</v>
      </c>
      <c r="F51" s="151">
        <f t="shared" si="4"/>
        <v>1.2633568289614487</v>
      </c>
      <c r="G51" s="151">
        <f t="shared" si="5"/>
        <v>3</v>
      </c>
      <c r="H51" s="148">
        <f t="shared" si="6"/>
        <v>5927.1189920361057</v>
      </c>
      <c r="Y51" s="146">
        <v>6340</v>
      </c>
    </row>
    <row r="52" spans="1:25" ht="15" x14ac:dyDescent="0.3">
      <c r="A52" s="143">
        <f>[1]ArdiData!A51</f>
        <v>49</v>
      </c>
      <c r="B52" s="145">
        <f ca="1">'0.ArdiData'!D51</f>
        <v>4983</v>
      </c>
      <c r="C52" s="146">
        <f t="shared" si="2"/>
        <v>5678</v>
      </c>
      <c r="D52" s="149">
        <f t="shared" si="7"/>
        <v>5252.4</v>
      </c>
      <c r="E52" s="147">
        <f t="shared" si="3"/>
        <v>5097.8652246814227</v>
      </c>
      <c r="F52" s="151">
        <f t="shared" si="4"/>
        <v>1.1137995513317698</v>
      </c>
      <c r="G52" s="151">
        <f t="shared" si="5"/>
        <v>4</v>
      </c>
      <c r="H52" s="148">
        <f t="shared" si="6"/>
        <v>5308.238669941531</v>
      </c>
      <c r="Y52" s="146">
        <v>5678</v>
      </c>
    </row>
    <row r="53" spans="1:25" ht="15" x14ac:dyDescent="0.3">
      <c r="A53" s="143">
        <f>[1]ArdiData!A52</f>
        <v>50</v>
      </c>
      <c r="B53" s="145">
        <f ca="1">'0.ArdiData'!D52</f>
        <v>4559</v>
      </c>
      <c r="C53" s="146">
        <f t="shared" si="2"/>
        <v>4483</v>
      </c>
      <c r="D53" s="149">
        <f t="shared" si="7"/>
        <v>5355.6</v>
      </c>
      <c r="E53" s="147">
        <f t="shared" si="3"/>
        <v>5177.3541247484918</v>
      </c>
      <c r="F53" s="151">
        <f t="shared" si="4"/>
        <v>0.86588629867341316</v>
      </c>
      <c r="G53" s="151">
        <f t="shared" si="5"/>
        <v>5</v>
      </c>
      <c r="H53" s="148">
        <f t="shared" si="6"/>
        <v>4539.9403239657768</v>
      </c>
      <c r="Y53" s="146">
        <v>4483</v>
      </c>
    </row>
    <row r="54" spans="1:25" ht="15" x14ac:dyDescent="0.3">
      <c r="A54" s="143">
        <f>[1]ArdiData!A53</f>
        <v>51</v>
      </c>
      <c r="B54" s="145">
        <f ca="1">'0.ArdiData'!D53</f>
        <v>4523</v>
      </c>
      <c r="C54" s="146">
        <f t="shared" si="2"/>
        <v>4798</v>
      </c>
      <c r="D54" s="149">
        <f t="shared" si="7"/>
        <v>5210.8</v>
      </c>
      <c r="E54" s="147">
        <f t="shared" si="3"/>
        <v>5256.843024815561</v>
      </c>
      <c r="F54" s="151">
        <f t="shared" si="4"/>
        <v>0.91271509865340528</v>
      </c>
      <c r="G54" s="151">
        <f t="shared" si="5"/>
        <v>1</v>
      </c>
      <c r="H54" s="148">
        <f t="shared" si="6"/>
        <v>4552.7106193153322</v>
      </c>
      <c r="Y54" s="146">
        <v>4798</v>
      </c>
    </row>
    <row r="55" spans="1:25" ht="15" x14ac:dyDescent="0.3">
      <c r="A55" s="143">
        <f>[1]ArdiData!A54</f>
        <v>52</v>
      </c>
      <c r="B55" s="145">
        <f ca="1">'0.ArdiData'!D54</f>
        <v>5356</v>
      </c>
      <c r="C55" s="146">
        <f t="shared" si="2"/>
        <v>5479</v>
      </c>
      <c r="D55" s="149">
        <f t="shared" si="7"/>
        <v>5227.6000000000004</v>
      </c>
      <c r="E55" s="147">
        <f t="shared" si="3"/>
        <v>5336.3319248826301</v>
      </c>
      <c r="F55" s="151">
        <f t="shared" si="4"/>
        <v>1.0267352325765433</v>
      </c>
      <c r="G55" s="151">
        <f t="shared" si="5"/>
        <v>2</v>
      </c>
      <c r="H55" s="148">
        <f t="shared" si="6"/>
        <v>5521.5647446844205</v>
      </c>
      <c r="Y55" s="146">
        <v>5479</v>
      </c>
    </row>
    <row r="56" spans="1:25" ht="15" x14ac:dyDescent="0.3">
      <c r="A56" s="143">
        <f>[1]ArdiData!A55</f>
        <v>53</v>
      </c>
      <c r="B56" s="145">
        <f ca="1">'0.ArdiData'!D55</f>
        <v>6262</v>
      </c>
      <c r="C56" s="146">
        <f t="shared" si="2"/>
        <v>5616</v>
      </c>
      <c r="D56" s="149">
        <f t="shared" si="7"/>
        <v>5279</v>
      </c>
      <c r="E56" s="147">
        <f t="shared" si="3"/>
        <v>5415.8208249496993</v>
      </c>
      <c r="F56" s="151">
        <f t="shared" si="4"/>
        <v>1.0369619271982027</v>
      </c>
      <c r="G56" s="151">
        <f t="shared" si="5"/>
        <v>3</v>
      </c>
      <c r="H56" s="148">
        <f t="shared" si="6"/>
        <v>6396.5339369982012</v>
      </c>
      <c r="Y56" s="146">
        <v>5616</v>
      </c>
    </row>
    <row r="57" spans="1:25" ht="15" x14ac:dyDescent="0.3">
      <c r="A57" s="143">
        <f>[1]ArdiData!A56</f>
        <v>54</v>
      </c>
      <c r="B57" s="145">
        <f ca="1">'0.ArdiData'!D56</f>
        <v>5016</v>
      </c>
      <c r="C57" s="146">
        <f t="shared" si="2"/>
        <v>5762</v>
      </c>
      <c r="D57" s="149">
        <f t="shared" si="7"/>
        <v>5357.2</v>
      </c>
      <c r="E57" s="147">
        <f t="shared" si="3"/>
        <v>5495.3097250167684</v>
      </c>
      <c r="F57" s="151">
        <f t="shared" si="4"/>
        <v>1.0485305266360427</v>
      </c>
      <c r="G57" s="151">
        <f t="shared" si="5"/>
        <v>4</v>
      </c>
      <c r="H57" s="148">
        <f t="shared" si="6"/>
        <v>5722.0845000786967</v>
      </c>
      <c r="Y57" s="146">
        <v>5762</v>
      </c>
    </row>
    <row r="58" spans="1:25" ht="15" x14ac:dyDescent="0.3">
      <c r="A58" s="143">
        <f>[1]ArdiData!A57</f>
        <v>55</v>
      </c>
      <c r="B58" s="145">
        <f ca="1">'0.ArdiData'!D57</f>
        <v>4444</v>
      </c>
      <c r="C58" s="146">
        <f t="shared" si="2"/>
        <v>4740</v>
      </c>
      <c r="D58" s="149">
        <f t="shared" si="7"/>
        <v>5538</v>
      </c>
      <c r="E58" s="147">
        <f t="shared" si="3"/>
        <v>5574.7986250838376</v>
      </c>
      <c r="F58" s="151">
        <f t="shared" si="4"/>
        <v>0.85025492735689923</v>
      </c>
      <c r="G58" s="151">
        <f t="shared" si="5"/>
        <v>5</v>
      </c>
      <c r="H58" s="148">
        <f t="shared" si="6"/>
        <v>4888.4531492688984</v>
      </c>
      <c r="Y58" s="146">
        <v>4740</v>
      </c>
    </row>
    <row r="59" spans="1:25" ht="15" x14ac:dyDescent="0.3">
      <c r="A59" s="143">
        <f>[1]ArdiData!A58</f>
        <v>56</v>
      </c>
      <c r="B59" s="145">
        <f ca="1">'0.ArdiData'!D58</f>
        <v>4600</v>
      </c>
      <c r="C59" s="146">
        <f t="shared" si="2"/>
        <v>5189</v>
      </c>
      <c r="D59" s="149">
        <f t="shared" si="7"/>
        <v>5909.4</v>
      </c>
      <c r="E59" s="147">
        <f t="shared" si="3"/>
        <v>5654.2875251509067</v>
      </c>
      <c r="F59" s="151">
        <f t="shared" si="4"/>
        <v>0.91771067122404804</v>
      </c>
      <c r="G59" s="151">
        <f t="shared" si="5"/>
        <v>1</v>
      </c>
      <c r="H59" s="148">
        <f t="shared" si="6"/>
        <v>4896.9190707991374</v>
      </c>
      <c r="Y59" s="146">
        <v>5189</v>
      </c>
    </row>
    <row r="60" spans="1:25" ht="15" x14ac:dyDescent="0.3">
      <c r="A60" s="143">
        <f>[1]ArdiData!A59</f>
        <v>57</v>
      </c>
      <c r="B60" s="145">
        <f ca="1">'0.ArdiData'!D59</f>
        <v>5881</v>
      </c>
      <c r="C60" s="146">
        <f t="shared" si="2"/>
        <v>6383</v>
      </c>
      <c r="D60" s="149">
        <f t="shared" si="7"/>
        <v>5979</v>
      </c>
      <c r="E60" s="147">
        <f t="shared" si="3"/>
        <v>5733.7764252179759</v>
      </c>
      <c r="F60" s="151">
        <f t="shared" si="4"/>
        <v>1.1132279193738084</v>
      </c>
      <c r="G60" s="151">
        <f t="shared" si="5"/>
        <v>2</v>
      </c>
      <c r="H60" s="148">
        <f t="shared" si="6"/>
        <v>5932.8051944749623</v>
      </c>
      <c r="Y60" s="146">
        <v>6383</v>
      </c>
    </row>
    <row r="61" spans="1:25" ht="15" x14ac:dyDescent="0.3">
      <c r="A61" s="143">
        <f>[1]ArdiData!A60</f>
        <v>58</v>
      </c>
      <c r="B61" s="145">
        <f ca="1">'0.ArdiData'!D60</f>
        <v>7087</v>
      </c>
      <c r="C61" s="146">
        <f t="shared" si="2"/>
        <v>7473</v>
      </c>
      <c r="D61" s="149">
        <f t="shared" si="7"/>
        <v>6089.8</v>
      </c>
      <c r="E61" s="147">
        <f t="shared" si="3"/>
        <v>5813.2653252850441</v>
      </c>
      <c r="F61" s="151">
        <f t="shared" si="4"/>
        <v>1.2855081579531333</v>
      </c>
      <c r="G61" s="151">
        <f t="shared" si="5"/>
        <v>3</v>
      </c>
      <c r="H61" s="148">
        <f t="shared" si="6"/>
        <v>6865.9488819602957</v>
      </c>
      <c r="Y61" s="146">
        <v>7473</v>
      </c>
    </row>
    <row r="62" spans="1:25" ht="15" x14ac:dyDescent="0.3">
      <c r="A62" s="143">
        <f>[1]ArdiData!A61</f>
        <v>59</v>
      </c>
      <c r="B62" s="145">
        <f ca="1">'0.ArdiData'!D61</f>
        <v>5668</v>
      </c>
      <c r="C62" s="146">
        <f t="shared" si="2"/>
        <v>6110</v>
      </c>
      <c r="D62" s="149">
        <f t="shared" si="7"/>
        <v>6069.4</v>
      </c>
      <c r="E62" s="147">
        <f t="shared" si="3"/>
        <v>5892.7542253521133</v>
      </c>
      <c r="F62" s="151">
        <f t="shared" si="4"/>
        <v>1.0368665935044841</v>
      </c>
      <c r="G62" s="151">
        <f t="shared" si="5"/>
        <v>4</v>
      </c>
      <c r="H62" s="148">
        <f t="shared" si="6"/>
        <v>6135.9303302158614</v>
      </c>
      <c r="Y62" s="146">
        <v>6110</v>
      </c>
    </row>
    <row r="63" spans="1:25" ht="15" x14ac:dyDescent="0.3">
      <c r="A63" s="143">
        <f>[1]ArdiData!A62</f>
        <v>60</v>
      </c>
      <c r="B63" s="145">
        <f ca="1">'0.ArdiData'!D62</f>
        <v>4792</v>
      </c>
      <c r="C63" s="146">
        <f t="shared" si="2"/>
        <v>5294</v>
      </c>
      <c r="D63" s="149">
        <f t="shared" si="7"/>
        <v>6152.8</v>
      </c>
      <c r="E63" s="147">
        <f t="shared" si="3"/>
        <v>5972.2431254191824</v>
      </c>
      <c r="F63" s="151">
        <f t="shared" si="4"/>
        <v>0.88643410672073442</v>
      </c>
      <c r="G63" s="151">
        <f t="shared" si="5"/>
        <v>5</v>
      </c>
      <c r="H63" s="148">
        <f t="shared" si="6"/>
        <v>5236.9659745720191</v>
      </c>
      <c r="Y63" s="146">
        <v>5294</v>
      </c>
    </row>
    <row r="64" spans="1:25" ht="15" x14ac:dyDescent="0.3">
      <c r="A64" s="143">
        <f>[1]ArdiData!A63</f>
        <v>61</v>
      </c>
      <c r="B64" s="145">
        <f ca="1">'0.ArdiData'!D63</f>
        <v>4954</v>
      </c>
      <c r="C64" s="146">
        <f t="shared" si="2"/>
        <v>5087</v>
      </c>
      <c r="D64" s="149">
        <f t="shared" si="7"/>
        <v>5965</v>
      </c>
      <c r="E64" s="147">
        <f t="shared" si="3"/>
        <v>6051.7320254862516</v>
      </c>
      <c r="F64" s="151">
        <f t="shared" si="4"/>
        <v>0.8405857990037594</v>
      </c>
      <c r="G64" s="151">
        <f t="shared" si="5"/>
        <v>1</v>
      </c>
      <c r="H64" s="148">
        <f t="shared" si="6"/>
        <v>5241.1275222829418</v>
      </c>
      <c r="Y64" s="146">
        <v>5087</v>
      </c>
    </row>
    <row r="65" spans="1:25" ht="15" x14ac:dyDescent="0.3">
      <c r="A65" s="143">
        <f>[1]ArdiData!A64</f>
        <v>62</v>
      </c>
      <c r="B65" s="145">
        <f ca="1">'0.ArdiData'!D64</f>
        <v>5568</v>
      </c>
      <c r="C65" s="146">
        <f t="shared" si="2"/>
        <v>6800</v>
      </c>
      <c r="D65" s="149">
        <f t="shared" si="7"/>
        <v>6084.6</v>
      </c>
      <c r="E65" s="147">
        <f t="shared" si="3"/>
        <v>6131.2209255533207</v>
      </c>
      <c r="F65" s="151">
        <f t="shared" si="4"/>
        <v>1.1090776343842681</v>
      </c>
      <c r="G65" s="151">
        <f t="shared" si="5"/>
        <v>2</v>
      </c>
      <c r="H65" s="148">
        <f t="shared" si="6"/>
        <v>6344.0456442655031</v>
      </c>
      <c r="Y65" s="146">
        <v>6800</v>
      </c>
    </row>
    <row r="66" spans="1:25" ht="15" x14ac:dyDescent="0.3">
      <c r="A66" s="143">
        <f>[1]ArdiData!A65</f>
        <v>63</v>
      </c>
      <c r="B66" s="145">
        <f ca="1">'0.ArdiData'!D65</f>
        <v>6688</v>
      </c>
      <c r="C66" s="146">
        <f t="shared" si="2"/>
        <v>6534</v>
      </c>
      <c r="D66" s="149">
        <f t="shared" si="7"/>
        <v>6172.6</v>
      </c>
      <c r="E66" s="147">
        <f t="shared" si="3"/>
        <v>6210.7098256203899</v>
      </c>
      <c r="F66" s="151">
        <f t="shared" si="4"/>
        <v>1.0520536594780157</v>
      </c>
      <c r="G66" s="151">
        <f t="shared" si="5"/>
        <v>3</v>
      </c>
      <c r="H66" s="148">
        <f t="shared" si="6"/>
        <v>7335.3638269223902</v>
      </c>
      <c r="Y66" s="146">
        <v>6534</v>
      </c>
    </row>
    <row r="67" spans="1:25" ht="15" x14ac:dyDescent="0.3">
      <c r="A67" s="143">
        <f>[1]ArdiData!A66</f>
        <v>64</v>
      </c>
      <c r="B67" s="145">
        <f ca="1">'0.ArdiData'!D66</f>
        <v>5651</v>
      </c>
      <c r="C67" s="146">
        <f t="shared" si="2"/>
        <v>6708</v>
      </c>
      <c r="D67" s="149">
        <f t="shared" si="7"/>
        <v>6230</v>
      </c>
      <c r="E67" s="147">
        <f t="shared" si="3"/>
        <v>6290.198725687459</v>
      </c>
      <c r="F67" s="151">
        <f t="shared" si="4"/>
        <v>1.0664209975761743</v>
      </c>
      <c r="G67" s="151">
        <f t="shared" si="5"/>
        <v>4</v>
      </c>
      <c r="H67" s="148">
        <f t="shared" si="6"/>
        <v>6549.7761603530271</v>
      </c>
      <c r="Y67" s="146">
        <v>6708</v>
      </c>
    </row>
    <row r="68" spans="1:25" ht="15" x14ac:dyDescent="0.3">
      <c r="A68" s="143">
        <f>[1]ArdiData!A67</f>
        <v>65</v>
      </c>
      <c r="B68" s="145">
        <f ca="1">'0.ArdiData'!D67</f>
        <v>5312</v>
      </c>
      <c r="C68" s="146">
        <f t="shared" si="2"/>
        <v>5734</v>
      </c>
      <c r="D68" s="149">
        <f t="shared" si="7"/>
        <v>6226</v>
      </c>
      <c r="E68" s="147">
        <f t="shared" si="3"/>
        <v>6369.6876257545282</v>
      </c>
      <c r="F68" s="151">
        <f t="shared" si="4"/>
        <v>0.90020113024314485</v>
      </c>
      <c r="G68" s="151">
        <f t="shared" si="5"/>
        <v>5</v>
      </c>
      <c r="H68" s="148">
        <f t="shared" si="6"/>
        <v>5585.4787998751399</v>
      </c>
      <c r="Y68" s="146">
        <v>5734</v>
      </c>
    </row>
    <row r="69" spans="1:25" ht="15" x14ac:dyDescent="0.3">
      <c r="A69" s="143">
        <f>[1]ArdiData!A68</f>
        <v>66</v>
      </c>
      <c r="B69" s="145">
        <f ca="1">'0.ArdiData'!D68</f>
        <v>5455</v>
      </c>
      <c r="C69" s="146">
        <f t="shared" ref="C69:C78" si="8">Y69</f>
        <v>5374</v>
      </c>
      <c r="D69" s="149">
        <f t="shared" si="7"/>
        <v>6319</v>
      </c>
      <c r="E69" s="147">
        <f t="shared" ref="E69:E78" si="9">$E$2+$F$2*A69</f>
        <v>6449.1765258215974</v>
      </c>
      <c r="F69" s="151">
        <f t="shared" ref="F69:F78" si="10">C69/E69</f>
        <v>0.83328468037481351</v>
      </c>
      <c r="G69" s="151">
        <f t="shared" ref="G69:G78" si="11">IF(MOD(A69,5)&lt;&gt;0,MOD(A69,5),5)</f>
        <v>1</v>
      </c>
      <c r="H69" s="148">
        <f t="shared" ref="H69:H78" si="12">VLOOKUP(G69,$J$3:$L$7,3)*E69</f>
        <v>5585.3359737667461</v>
      </c>
      <c r="Y69" s="146">
        <v>5374</v>
      </c>
    </row>
    <row r="70" spans="1:25" ht="15" x14ac:dyDescent="0.3">
      <c r="A70" s="143">
        <f>[1]ArdiData!A69</f>
        <v>67</v>
      </c>
      <c r="B70" s="145">
        <f ca="1">'0.ArdiData'!D69</f>
        <v>6569</v>
      </c>
      <c r="C70" s="146">
        <f t="shared" si="8"/>
        <v>6780</v>
      </c>
      <c r="D70" s="149">
        <f t="shared" si="7"/>
        <v>6324.4</v>
      </c>
      <c r="E70" s="147">
        <f t="shared" si="9"/>
        <v>6528.6654258886665</v>
      </c>
      <c r="F70" s="151">
        <f t="shared" si="10"/>
        <v>1.038497082897631</v>
      </c>
      <c r="G70" s="151">
        <f t="shared" si="11"/>
        <v>2</v>
      </c>
      <c r="H70" s="148">
        <f t="shared" si="12"/>
        <v>6755.2860940560449</v>
      </c>
      <c r="Y70" s="146">
        <v>6780</v>
      </c>
    </row>
    <row r="71" spans="1:25" ht="15" x14ac:dyDescent="0.3">
      <c r="A71" s="143">
        <f>[1]ArdiData!A70</f>
        <v>68</v>
      </c>
      <c r="B71" s="145">
        <f ca="1">'0.ArdiData'!D70</f>
        <v>7623</v>
      </c>
      <c r="C71" s="146">
        <f t="shared" si="8"/>
        <v>6999</v>
      </c>
      <c r="D71" s="149">
        <f t="shared" ref="D71:D76" si="13">AVERAGE(C69:C73)</f>
        <v>6406.4</v>
      </c>
      <c r="E71" s="147">
        <f t="shared" si="9"/>
        <v>6608.1543259557357</v>
      </c>
      <c r="F71" s="151">
        <f t="shared" si="10"/>
        <v>1.0591459664477094</v>
      </c>
      <c r="G71" s="151">
        <f t="shared" si="11"/>
        <v>3</v>
      </c>
      <c r="H71" s="148">
        <f t="shared" si="12"/>
        <v>7804.7787718844856</v>
      </c>
      <c r="Y71" s="146">
        <v>6999</v>
      </c>
    </row>
    <row r="72" spans="1:25" ht="15" x14ac:dyDescent="0.3">
      <c r="A72" s="143">
        <f>[1]ArdiData!A71</f>
        <v>69</v>
      </c>
      <c r="B72" s="145">
        <f ca="1">'0.ArdiData'!D71</f>
        <v>7199</v>
      </c>
      <c r="C72" s="146">
        <f t="shared" si="8"/>
        <v>6735</v>
      </c>
      <c r="D72" s="149">
        <f t="shared" si="13"/>
        <v>6503.4</v>
      </c>
      <c r="E72" s="147">
        <f t="shared" si="9"/>
        <v>6687.6432260228048</v>
      </c>
      <c r="F72" s="151">
        <f t="shared" si="10"/>
        <v>1.0070812351043072</v>
      </c>
      <c r="G72" s="151">
        <f t="shared" si="11"/>
        <v>4</v>
      </c>
      <c r="H72" s="148">
        <f t="shared" si="12"/>
        <v>6963.6219904901936</v>
      </c>
      <c r="Y72" s="146">
        <v>6735</v>
      </c>
    </row>
    <row r="73" spans="1:25" ht="15" x14ac:dyDescent="0.3">
      <c r="A73" s="143">
        <f>[1]ArdiData!A72</f>
        <v>70</v>
      </c>
      <c r="B73" s="145">
        <f ca="1">'0.ArdiData'!D72</f>
        <v>5799</v>
      </c>
      <c r="C73" s="146">
        <f t="shared" si="8"/>
        <v>6144</v>
      </c>
      <c r="D73" s="149">
        <f t="shared" si="13"/>
        <v>6617.6</v>
      </c>
      <c r="E73" s="147">
        <f t="shared" si="9"/>
        <v>6767.132126089874</v>
      </c>
      <c r="F73" s="151">
        <f t="shared" si="10"/>
        <v>0.90791784252483232</v>
      </c>
      <c r="G73" s="151">
        <f t="shared" si="11"/>
        <v>5</v>
      </c>
      <c r="H73" s="148">
        <f t="shared" si="12"/>
        <v>5933.9916251782615</v>
      </c>
      <c r="Y73" s="146">
        <v>6144</v>
      </c>
    </row>
    <row r="74" spans="1:25" ht="15" x14ac:dyDescent="0.3">
      <c r="A74" s="143">
        <f>[1]ArdiData!A73</f>
        <v>71</v>
      </c>
      <c r="B74" s="145">
        <f ca="1">'0.ArdiData'!D73</f>
        <v>5566</v>
      </c>
      <c r="C74" s="146">
        <f t="shared" si="8"/>
        <v>5859</v>
      </c>
      <c r="D74" s="149">
        <f t="shared" si="13"/>
        <v>6984</v>
      </c>
      <c r="E74" s="147">
        <f t="shared" si="9"/>
        <v>6846.6210261569422</v>
      </c>
      <c r="F74" s="151">
        <f t="shared" si="10"/>
        <v>0.85575059253552688</v>
      </c>
      <c r="G74" s="151">
        <f t="shared" si="11"/>
        <v>1</v>
      </c>
      <c r="H74" s="148">
        <f t="shared" si="12"/>
        <v>5929.5444252505504</v>
      </c>
      <c r="Y74" s="146">
        <v>5859</v>
      </c>
    </row>
    <row r="75" spans="1:25" ht="15" x14ac:dyDescent="0.3">
      <c r="A75" s="143">
        <f>[1]ArdiData!A74</f>
        <v>72</v>
      </c>
      <c r="B75" s="145">
        <f ca="1">'0.ArdiData'!D74</f>
        <v>7356</v>
      </c>
      <c r="C75" s="146">
        <f t="shared" si="8"/>
        <v>7351</v>
      </c>
      <c r="D75" s="149">
        <f t="shared" si="13"/>
        <v>7118.2</v>
      </c>
      <c r="E75" s="147">
        <f t="shared" si="9"/>
        <v>6926.1099262240114</v>
      </c>
      <c r="F75" s="151">
        <f t="shared" si="10"/>
        <v>1.0613461348869511</v>
      </c>
      <c r="G75" s="151">
        <f t="shared" si="11"/>
        <v>2</v>
      </c>
      <c r="H75" s="148">
        <f t="shared" si="12"/>
        <v>7166.5265438465849</v>
      </c>
      <c r="Y75" s="146">
        <v>7351</v>
      </c>
    </row>
    <row r="76" spans="1:25" ht="15" x14ac:dyDescent="0.3">
      <c r="A76" s="143">
        <f>[1]ArdiData!A75</f>
        <v>73</v>
      </c>
      <c r="B76" s="145">
        <f ca="1">'0.ArdiData'!D75</f>
        <v>8716</v>
      </c>
      <c r="C76" s="146">
        <f t="shared" si="8"/>
        <v>8831</v>
      </c>
      <c r="D76" s="149">
        <f t="shared" si="13"/>
        <v>7165.8</v>
      </c>
      <c r="E76" s="147">
        <f t="shared" si="9"/>
        <v>7005.5988262910805</v>
      </c>
      <c r="F76" s="151">
        <f t="shared" si="10"/>
        <v>1.26056318938196</v>
      </c>
      <c r="G76" s="151">
        <f t="shared" si="11"/>
        <v>3</v>
      </c>
      <c r="H76" s="148">
        <f t="shared" si="12"/>
        <v>8274.1937168465793</v>
      </c>
      <c r="Y76" s="146">
        <v>8831</v>
      </c>
    </row>
    <row r="77" spans="1:25" ht="15" x14ac:dyDescent="0.3">
      <c r="A77" s="143">
        <f>[1]ArdiData!A76</f>
        <v>74</v>
      </c>
      <c r="B77" s="145">
        <f ca="1">'0.ArdiData'!D76</f>
        <v>6523</v>
      </c>
      <c r="C77" s="146">
        <f t="shared" si="8"/>
        <v>7406</v>
      </c>
      <c r="D77" s="149"/>
      <c r="E77" s="147">
        <f t="shared" si="9"/>
        <v>7085.0877263581497</v>
      </c>
      <c r="F77" s="151">
        <f t="shared" si="10"/>
        <v>1.0452940437770422</v>
      </c>
      <c r="G77" s="151">
        <f t="shared" si="11"/>
        <v>4</v>
      </c>
      <c r="H77" s="148">
        <f t="shared" si="12"/>
        <v>7377.4678206273584</v>
      </c>
      <c r="Y77" s="146">
        <v>7406</v>
      </c>
    </row>
    <row r="78" spans="1:25" ht="15" x14ac:dyDescent="0.3">
      <c r="A78" s="143">
        <f>[1]ArdiData!A77</f>
        <v>75</v>
      </c>
      <c r="B78" s="145">
        <f ca="1">'0.ArdiData'!D77</f>
        <v>6081</v>
      </c>
      <c r="C78" s="146">
        <f t="shared" si="8"/>
        <v>6382</v>
      </c>
      <c r="D78" s="149"/>
      <c r="E78" s="147">
        <f t="shared" si="9"/>
        <v>7164.5766264252188</v>
      </c>
      <c r="F78" s="151">
        <f t="shared" si="10"/>
        <v>0.89077140670966803</v>
      </c>
      <c r="G78" s="151">
        <f t="shared" si="11"/>
        <v>5</v>
      </c>
      <c r="H78" s="148">
        <f t="shared" si="12"/>
        <v>6282.5044504813823</v>
      </c>
      <c r="Y78" s="146">
        <v>6382</v>
      </c>
    </row>
    <row r="79" spans="1:25" ht="15" x14ac:dyDescent="0.3">
      <c r="A79" s="143">
        <v>76</v>
      </c>
      <c r="B79" s="145"/>
      <c r="C79" s="146"/>
      <c r="D79" s="149"/>
      <c r="E79" s="147"/>
      <c r="F79" s="151"/>
      <c r="G79" s="151"/>
      <c r="H79" s="148"/>
    </row>
    <row r="80" spans="1:25" ht="15" x14ac:dyDescent="0.3">
      <c r="A80" s="143">
        <v>77</v>
      </c>
      <c r="B80" s="145"/>
      <c r="C80" s="146"/>
      <c r="D80" s="149"/>
      <c r="E80" s="147"/>
      <c r="F80" s="151"/>
      <c r="G80" s="151"/>
      <c r="H80" s="148"/>
    </row>
    <row r="81" spans="1:8" ht="15" x14ac:dyDescent="0.3">
      <c r="A81" s="143">
        <v>78</v>
      </c>
      <c r="B81" s="145"/>
      <c r="C81" s="146"/>
      <c r="D81" s="149"/>
      <c r="E81" s="147"/>
      <c r="F81" s="151"/>
      <c r="G81" s="151"/>
      <c r="H81" s="148"/>
    </row>
    <row r="82" spans="1:8" ht="15" x14ac:dyDescent="0.3">
      <c r="A82" s="143">
        <v>79</v>
      </c>
      <c r="B82" s="145"/>
      <c r="C82" s="146"/>
      <c r="D82" s="149"/>
      <c r="E82" s="147"/>
      <c r="F82" s="151"/>
      <c r="G82" s="151"/>
      <c r="H82" s="148"/>
    </row>
    <row r="83" spans="1:8" ht="15" x14ac:dyDescent="0.3">
      <c r="A83" s="143">
        <v>80</v>
      </c>
      <c r="B83" s="145"/>
      <c r="C83" s="146"/>
      <c r="D83" s="149"/>
      <c r="E83" s="147"/>
      <c r="F83" s="151"/>
      <c r="G83" s="151"/>
      <c r="H83" s="148"/>
    </row>
  </sheetData>
  <conditionalFormatting sqref="G4:G8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:G8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9:F8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4:F7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9"/>
  <sheetViews>
    <sheetView topLeftCell="D24" zoomScale="87" zoomScaleNormal="87" workbookViewId="0">
      <selection activeCell="V59" sqref="V59"/>
    </sheetView>
  </sheetViews>
  <sheetFormatPr defaultColWidth="9.140625" defaultRowHeight="13.5" x14ac:dyDescent="0.25"/>
  <cols>
    <col min="1" max="1" width="4.5703125" style="95" bestFit="1" customWidth="1"/>
    <col min="2" max="2" width="9.7109375" style="95" bestFit="1" customWidth="1"/>
    <col min="3" max="3" width="6.7109375" style="95" bestFit="1" customWidth="1"/>
    <col min="4" max="4" width="11.7109375" style="95" bestFit="1" customWidth="1"/>
    <col min="5" max="5" width="9.140625" style="103" customWidth="1"/>
    <col min="6" max="6" width="13" style="95" customWidth="1"/>
    <col min="7" max="8" width="5.85546875" style="95" customWidth="1"/>
    <col min="9" max="9" width="9.7109375" style="95" customWidth="1"/>
    <col min="10" max="10" width="6" style="95" bestFit="1" customWidth="1"/>
    <col min="11" max="11" width="4.85546875" style="95" bestFit="1" customWidth="1"/>
    <col min="12" max="12" width="8.7109375" style="95" bestFit="1" customWidth="1"/>
    <col min="13" max="13" width="9.140625" style="95"/>
    <col min="14" max="14" width="12.140625" style="95" bestFit="1" customWidth="1"/>
    <col min="15" max="15" width="11.7109375" style="95" bestFit="1" customWidth="1"/>
    <col min="16" max="16" width="12.42578125" style="95" bestFit="1" customWidth="1"/>
    <col min="17" max="17" width="12.140625" style="95" bestFit="1" customWidth="1"/>
    <col min="18" max="21" width="9.28515625" style="95" bestFit="1" customWidth="1"/>
    <col min="22" max="23" width="9.140625" style="95"/>
    <col min="24" max="24" width="9.28515625" style="95" bestFit="1" customWidth="1"/>
    <col min="25" max="27" width="9.140625" style="95"/>
    <col min="28" max="30" width="9.28515625" style="95" bestFit="1" customWidth="1"/>
    <col min="31" max="31" width="12.28515625" style="95" customWidth="1"/>
    <col min="32" max="32" width="10.140625" style="95" bestFit="1" customWidth="1"/>
    <col min="33" max="36" width="9.28515625" style="95" bestFit="1" customWidth="1"/>
    <col min="37" max="16384" width="9.140625" style="95"/>
  </cols>
  <sheetData>
    <row r="1" spans="1:37" ht="17.25" thickBot="1" x14ac:dyDescent="0.35">
      <c r="A1" s="88" t="s">
        <v>17</v>
      </c>
      <c r="B1" s="89"/>
      <c r="C1" s="90"/>
      <c r="D1" s="89"/>
      <c r="E1" s="91"/>
      <c r="F1" s="92" t="s">
        <v>5</v>
      </c>
      <c r="G1" s="92" t="s">
        <v>6</v>
      </c>
      <c r="H1" s="93" t="s">
        <v>7</v>
      </c>
      <c r="I1" s="94" t="s">
        <v>8</v>
      </c>
      <c r="J1" s="94" t="s">
        <v>9</v>
      </c>
      <c r="K1" s="94" t="s">
        <v>10</v>
      </c>
      <c r="L1" s="94" t="s">
        <v>11</v>
      </c>
      <c r="N1" s="135" t="s">
        <v>90</v>
      </c>
      <c r="O1" s="137" t="s">
        <v>91</v>
      </c>
      <c r="P1" s="136" t="s">
        <v>92</v>
      </c>
      <c r="Q1" s="136" t="s">
        <v>93</v>
      </c>
      <c r="R1" s="96" t="s">
        <v>24</v>
      </c>
      <c r="AB1" s="86"/>
      <c r="AC1" s="97" t="s">
        <v>18</v>
      </c>
      <c r="AD1" s="97"/>
      <c r="AE1" s="97"/>
      <c r="AF1" s="86"/>
      <c r="AG1" s="86"/>
      <c r="AH1" s="98">
        <f ca="1">RANDBETWEEN(100,150)</f>
        <v>108</v>
      </c>
      <c r="AI1" s="98">
        <f ca="1">RANDBETWEEN(5,15)</f>
        <v>8</v>
      </c>
      <c r="AJ1" s="98">
        <v>0.1</v>
      </c>
      <c r="AK1" s="86"/>
    </row>
    <row r="2" spans="1:37" ht="17.25" thickBot="1" x14ac:dyDescent="0.35">
      <c r="A2" s="99" t="s">
        <v>4</v>
      </c>
      <c r="B2" s="100" t="s">
        <v>26</v>
      </c>
      <c r="C2" s="101" t="s">
        <v>19</v>
      </c>
      <c r="D2" s="102" t="s">
        <v>23</v>
      </c>
      <c r="F2" s="104" t="str">
        <f ca="1">G2&amp;" - "&amp;H2</f>
        <v>800 - 1600</v>
      </c>
      <c r="G2" s="105">
        <f ca="1">Y4</f>
        <v>800</v>
      </c>
      <c r="H2" s="106">
        <f t="shared" ref="H2:H14" ca="1" si="0">G2+$Y$3</f>
        <v>1600</v>
      </c>
      <c r="I2" s="107">
        <f ca="1">COUNTIF($C$3:$C$77, "&lt;"&amp;H2)</f>
        <v>8</v>
      </c>
      <c r="J2" s="107">
        <f ca="1">I2</f>
        <v>8</v>
      </c>
      <c r="K2" s="108">
        <f t="shared" ref="K2:K14" ca="1" si="1">J2/$J$15</f>
        <v>0.10666666666666667</v>
      </c>
      <c r="L2" s="109">
        <f t="shared" ref="L2:L14" ca="1" si="2">I2/$J$15</f>
        <v>0.10666666666666667</v>
      </c>
      <c r="N2" s="129" t="s">
        <v>12</v>
      </c>
      <c r="O2" s="132">
        <f ca="1">AVERAGE(B$3:B$77)</f>
        <v>4019.0133333333333</v>
      </c>
      <c r="P2" s="132">
        <f ca="1">AVERAGE(C$3:C$77)</f>
        <v>4019.0133333333333</v>
      </c>
      <c r="Q2" s="132">
        <f ca="1">AVERAGE(D$3:D$77)</f>
        <v>4019.0133333333333</v>
      </c>
      <c r="V2" s="95" t="s">
        <v>105</v>
      </c>
      <c r="Y2" s="95">
        <f ca="1">ROUND(O6/10,0)</f>
        <v>770</v>
      </c>
      <c r="AB2" s="86"/>
      <c r="AC2" s="98"/>
      <c r="AD2" s="98"/>
      <c r="AE2" s="98" t="s">
        <v>25</v>
      </c>
      <c r="AF2" s="86" t="s">
        <v>20</v>
      </c>
      <c r="AG2" s="86" t="s">
        <v>21</v>
      </c>
      <c r="AH2" s="86"/>
      <c r="AI2" s="87"/>
      <c r="AJ2" s="86"/>
      <c r="AK2" s="86"/>
    </row>
    <row r="3" spans="1:37" ht="16.5" x14ac:dyDescent="0.3">
      <c r="A3" s="9">
        <v>1</v>
      </c>
      <c r="B3" s="110">
        <f t="shared" ref="B3:B34" ca="1" si="3">INDEX($AG$3:$AG$77,RANK(AB3,$AB$3:$AB$77))</f>
        <v>4351</v>
      </c>
      <c r="C3" s="111">
        <f ca="1">SMALL($AG$3:$AG$77,AC3)</f>
        <v>1013</v>
      </c>
      <c r="D3" s="112">
        <f ca="1">AG3</f>
        <v>1013</v>
      </c>
      <c r="E3" s="113"/>
      <c r="F3" s="114" t="str">
        <f t="shared" ref="F3:F14" ca="1" si="4">G3&amp;" - "&amp;H3</f>
        <v>1600 - 2400</v>
      </c>
      <c r="G3" s="115">
        <f ca="1">H2</f>
        <v>1600</v>
      </c>
      <c r="H3" s="116">
        <f t="shared" ca="1" si="0"/>
        <v>2400</v>
      </c>
      <c r="I3" s="117">
        <f t="shared" ref="I3:I14" ca="1" si="5">COUNTIF($C$3:$C$77, "&lt;"&amp;H3)</f>
        <v>17</v>
      </c>
      <c r="J3" s="117">
        <f ca="1">I3-I2</f>
        <v>9</v>
      </c>
      <c r="K3" s="118">
        <f t="shared" ca="1" si="1"/>
        <v>0.12</v>
      </c>
      <c r="L3" s="119">
        <f t="shared" ca="1" si="2"/>
        <v>0.22666666666666666</v>
      </c>
      <c r="N3" s="154" t="s">
        <v>102</v>
      </c>
      <c r="O3" s="154">
        <f ca="1">MEDIAN(B$3:B$77)</f>
        <v>3980</v>
      </c>
      <c r="P3" s="154">
        <f ca="1">MEDIAN(C$3:C$77)</f>
        <v>3980</v>
      </c>
      <c r="Q3" s="154">
        <f ca="1">MEDIAN(D$3:D$77)</f>
        <v>3980</v>
      </c>
      <c r="V3" s="95" t="s">
        <v>106</v>
      </c>
      <c r="Y3" s="95">
        <f ca="1">ROUND(Y2,-LEN(Y2)+1)</f>
        <v>800</v>
      </c>
      <c r="AB3" s="86">
        <f t="shared" ref="AB3:AB66" ca="1" si="6">RAND()</f>
        <v>0.39791458099016286</v>
      </c>
      <c r="AC3" s="98">
        <v>1</v>
      </c>
      <c r="AD3" s="98">
        <v>1</v>
      </c>
      <c r="AE3" s="98">
        <f ca="1">INT($AH$1+$AI$1*AD3)</f>
        <v>116</v>
      </c>
      <c r="AF3" s="120">
        <f ca="1">(VLOOKUP(MOD(AD3,ROUNDUP($Y$7,0)),$V$8:$W$12,2)+7)+RAND()*VLOOKUP(MOD(AD3,ROUNDUP($Y$7,0)),$V$8:$W$12,2)</f>
        <v>8.7303481684423723</v>
      </c>
      <c r="AG3" s="86">
        <f ca="1">ROUND(AE3*AF3,0)</f>
        <v>1013</v>
      </c>
      <c r="AH3" s="86"/>
      <c r="AI3" s="87"/>
      <c r="AJ3" s="86"/>
      <c r="AK3" s="86"/>
    </row>
    <row r="4" spans="1:37" ht="16.5" x14ac:dyDescent="0.3">
      <c r="A4" s="9">
        <v>2</v>
      </c>
      <c r="B4" s="110">
        <f t="shared" ca="1" si="3"/>
        <v>2738</v>
      </c>
      <c r="C4" s="111">
        <f t="shared" ref="C4:C67" ca="1" si="7">SMALL($AG$3:$AG$77,AC4)</f>
        <v>1224</v>
      </c>
      <c r="D4" s="112">
        <f t="shared" ref="D4:D67" ca="1" si="8">AG4</f>
        <v>1224</v>
      </c>
      <c r="E4" s="113"/>
      <c r="F4" s="114" t="str">
        <f t="shared" ca="1" si="4"/>
        <v>2400 - 3200</v>
      </c>
      <c r="G4" s="115">
        <f t="shared" ref="G4:G13" ca="1" si="9">H3</f>
        <v>2400</v>
      </c>
      <c r="H4" s="116">
        <f t="shared" ca="1" si="0"/>
        <v>3200</v>
      </c>
      <c r="I4" s="117">
        <f t="shared" ca="1" si="5"/>
        <v>27</v>
      </c>
      <c r="J4" s="117">
        <f t="shared" ref="J4:J14" ca="1" si="10">I4-I3</f>
        <v>10</v>
      </c>
      <c r="K4" s="118">
        <f t="shared" ca="1" si="1"/>
        <v>0.13333333333333333</v>
      </c>
      <c r="L4" s="119">
        <f t="shared" ca="1" si="2"/>
        <v>0.36</v>
      </c>
      <c r="N4" s="130" t="s">
        <v>13</v>
      </c>
      <c r="O4" s="133">
        <f ca="1">MAX(B$3:B$77)</f>
        <v>8716</v>
      </c>
      <c r="P4" s="133">
        <f ca="1">MAX(C$3:C$77)</f>
        <v>8716</v>
      </c>
      <c r="Q4" s="133">
        <f ca="1">MAX(D$3:D$77)</f>
        <v>8716</v>
      </c>
      <c r="V4" s="95" t="s">
        <v>107</v>
      </c>
      <c r="Y4" s="95">
        <f ca="1">Y3*INT(O5/Y3)</f>
        <v>800</v>
      </c>
      <c r="AB4" s="86">
        <f t="shared" ca="1" si="6"/>
        <v>0.6952356442845169</v>
      </c>
      <c r="AC4" s="98">
        <v>2</v>
      </c>
      <c r="AD4" s="98">
        <v>2</v>
      </c>
      <c r="AE4" s="98">
        <f t="shared" ref="AE4:AE67" ca="1" si="11">INT($AH$1+$AI$1*AD4)</f>
        <v>124</v>
      </c>
      <c r="AF4" s="120">
        <f t="shared" ref="AF4:AF67" ca="1" si="12">(VLOOKUP(MOD(AD4,ROUNDUP($Y$7,0)),$V$8:$W$12,2)+7)+RAND()*VLOOKUP(MOD(AD4,ROUNDUP($Y$7,0)),$V$8:$W$12,2)</f>
        <v>9.8689022326959357</v>
      </c>
      <c r="AG4" s="86">
        <f t="shared" ref="AG4:AG67" ca="1" si="13">ROUND(AE4*AF4,0)</f>
        <v>1224</v>
      </c>
      <c r="AH4" s="86"/>
      <c r="AI4" s="87"/>
      <c r="AJ4" s="86"/>
      <c r="AK4" s="86"/>
    </row>
    <row r="5" spans="1:37" ht="16.5" x14ac:dyDescent="0.3">
      <c r="A5" s="9">
        <v>3</v>
      </c>
      <c r="B5" s="110">
        <f t="shared" ca="1" si="3"/>
        <v>1988</v>
      </c>
      <c r="C5" s="111">
        <f t="shared" ca="1" si="7"/>
        <v>1311</v>
      </c>
      <c r="D5" s="112">
        <f t="shared" ca="1" si="8"/>
        <v>1427</v>
      </c>
      <c r="E5" s="113"/>
      <c r="F5" s="114" t="str">
        <f t="shared" ca="1" si="4"/>
        <v>3200 - 4000</v>
      </c>
      <c r="G5" s="115">
        <f t="shared" ca="1" si="9"/>
        <v>3200</v>
      </c>
      <c r="H5" s="116">
        <f t="shared" ca="1" si="0"/>
        <v>4000</v>
      </c>
      <c r="I5" s="117">
        <f t="shared" ca="1" si="5"/>
        <v>38</v>
      </c>
      <c r="J5" s="117">
        <f t="shared" ca="1" si="10"/>
        <v>11</v>
      </c>
      <c r="K5" s="118">
        <f t="shared" ca="1" si="1"/>
        <v>0.14666666666666667</v>
      </c>
      <c r="L5" s="119">
        <f t="shared" ca="1" si="2"/>
        <v>0.50666666666666671</v>
      </c>
      <c r="N5" s="130" t="s">
        <v>14</v>
      </c>
      <c r="O5" s="133">
        <f ca="1">MIN(B$3:B$77)</f>
        <v>1013</v>
      </c>
      <c r="P5" s="133">
        <f ca="1">MIN(C$3:C$77)</f>
        <v>1013</v>
      </c>
      <c r="Q5" s="133">
        <f ca="1">MIN(D$3:D$77)</f>
        <v>1013</v>
      </c>
      <c r="V5" s="95" t="s">
        <v>104</v>
      </c>
      <c r="Y5" s="95">
        <f ca="1">ROUNDUP(O4/Y3,0)</f>
        <v>11</v>
      </c>
      <c r="AB5" s="86">
        <f t="shared" ca="1" si="6"/>
        <v>0.79191461189562995</v>
      </c>
      <c r="AC5" s="98">
        <v>3</v>
      </c>
      <c r="AD5" s="98">
        <v>3</v>
      </c>
      <c r="AE5" s="98">
        <f t="shared" ca="1" si="11"/>
        <v>132</v>
      </c>
      <c r="AF5" s="120">
        <f t="shared" ca="1" si="12"/>
        <v>10.807628310038798</v>
      </c>
      <c r="AG5" s="86">
        <f t="shared" ca="1" si="13"/>
        <v>1427</v>
      </c>
      <c r="AH5" s="86"/>
      <c r="AI5" s="87"/>
      <c r="AJ5" s="86"/>
      <c r="AK5" s="86"/>
    </row>
    <row r="6" spans="1:37" ht="16.5" x14ac:dyDescent="0.3">
      <c r="A6" s="9">
        <v>4</v>
      </c>
      <c r="B6" s="110">
        <f t="shared" ca="1" si="3"/>
        <v>1386</v>
      </c>
      <c r="C6" s="111">
        <f t="shared" ca="1" si="7"/>
        <v>1386</v>
      </c>
      <c r="D6" s="112">
        <f t="shared" ca="1" si="8"/>
        <v>1423</v>
      </c>
      <c r="E6" s="113"/>
      <c r="F6" s="114" t="str">
        <f t="shared" ca="1" si="4"/>
        <v>4000 - 4800</v>
      </c>
      <c r="G6" s="115">
        <f t="shared" ca="1" si="9"/>
        <v>4000</v>
      </c>
      <c r="H6" s="116">
        <f t="shared" ca="1" si="0"/>
        <v>4800</v>
      </c>
      <c r="I6" s="117">
        <f t="shared" ca="1" si="5"/>
        <v>50</v>
      </c>
      <c r="J6" s="117">
        <f t="shared" ca="1" si="10"/>
        <v>12</v>
      </c>
      <c r="K6" s="118">
        <f t="shared" ca="1" si="1"/>
        <v>0.16</v>
      </c>
      <c r="L6" s="119">
        <f t="shared" ca="1" si="2"/>
        <v>0.66666666666666663</v>
      </c>
      <c r="N6" s="130" t="s">
        <v>5</v>
      </c>
      <c r="O6" s="133">
        <f ca="1">O4-O5</f>
        <v>7703</v>
      </c>
      <c r="P6" s="133">
        <f ca="1">P4-P5</f>
        <v>7703</v>
      </c>
      <c r="Q6" s="133">
        <f ca="1">Q4-Q5</f>
        <v>7703</v>
      </c>
      <c r="V6" s="103" t="s">
        <v>108</v>
      </c>
      <c r="W6" s="103"/>
      <c r="X6" s="103"/>
      <c r="Y6" s="95">
        <f ca="1">Y5*Y3</f>
        <v>8800</v>
      </c>
      <c r="AB6" s="86">
        <f t="shared" ca="1" si="6"/>
        <v>0.91102319362810091</v>
      </c>
      <c r="AC6" s="98">
        <v>4</v>
      </c>
      <c r="AD6" s="98">
        <v>4</v>
      </c>
      <c r="AE6" s="98">
        <f t="shared" ca="1" si="11"/>
        <v>140</v>
      </c>
      <c r="AF6" s="120">
        <f t="shared" ca="1" si="12"/>
        <v>10.162338245606456</v>
      </c>
      <c r="AG6" s="86">
        <f t="shared" ca="1" si="13"/>
        <v>1423</v>
      </c>
      <c r="AH6" s="86"/>
      <c r="AI6" s="87"/>
      <c r="AJ6" s="86"/>
      <c r="AK6" s="86"/>
    </row>
    <row r="7" spans="1:37" ht="16.5" x14ac:dyDescent="0.3">
      <c r="A7" s="9">
        <v>5</v>
      </c>
      <c r="B7" s="110">
        <f t="shared" ca="1" si="3"/>
        <v>4617</v>
      </c>
      <c r="C7" s="111">
        <f t="shared" ca="1" si="7"/>
        <v>1423</v>
      </c>
      <c r="D7" s="112">
        <f t="shared" ca="1" si="8"/>
        <v>1311</v>
      </c>
      <c r="E7" s="113"/>
      <c r="F7" s="114" t="str">
        <f t="shared" ca="1" si="4"/>
        <v>4800 - 5600</v>
      </c>
      <c r="G7" s="115">
        <f t="shared" ca="1" si="9"/>
        <v>4800</v>
      </c>
      <c r="H7" s="116">
        <f t="shared" ca="1" si="0"/>
        <v>5600</v>
      </c>
      <c r="I7" s="117">
        <f t="shared" ca="1" si="5"/>
        <v>60</v>
      </c>
      <c r="J7" s="117">
        <f t="shared" ca="1" si="10"/>
        <v>10</v>
      </c>
      <c r="K7" s="118">
        <f t="shared" ca="1" si="1"/>
        <v>0.13333333333333333</v>
      </c>
      <c r="L7" s="119">
        <f t="shared" ca="1" si="2"/>
        <v>0.8</v>
      </c>
      <c r="N7" s="130" t="s">
        <v>15</v>
      </c>
      <c r="O7" s="133">
        <f ca="1">_xlfn.STDEV.S(B$3:B$77)</f>
        <v>1813.2317161842766</v>
      </c>
      <c r="P7" s="133">
        <f ca="1">_xlfn.STDEV.S(C$3:C$77)</f>
        <v>1813.2317161842766</v>
      </c>
      <c r="Q7" s="133">
        <f ca="1">_xlfn.STDEV.S(D$3:D$77)</f>
        <v>1813.2317161842766</v>
      </c>
      <c r="V7" s="95" t="s">
        <v>109</v>
      </c>
      <c r="Y7" s="95">
        <v>5</v>
      </c>
      <c r="AB7" s="86">
        <f t="shared" ca="1" si="6"/>
        <v>0.48879912138171677</v>
      </c>
      <c r="AC7" s="98">
        <v>5</v>
      </c>
      <c r="AD7" s="98">
        <v>5</v>
      </c>
      <c r="AE7" s="98">
        <f t="shared" ca="1" si="11"/>
        <v>148</v>
      </c>
      <c r="AF7" s="120">
        <f t="shared" ca="1" si="12"/>
        <v>8.8579151461722567</v>
      </c>
      <c r="AG7" s="86">
        <f t="shared" ca="1" si="13"/>
        <v>1311</v>
      </c>
      <c r="AH7" s="86"/>
      <c r="AI7" s="87"/>
      <c r="AJ7" s="86"/>
      <c r="AK7" s="86"/>
    </row>
    <row r="8" spans="1:37" ht="16.5" x14ac:dyDescent="0.3">
      <c r="A8" s="9">
        <v>6</v>
      </c>
      <c r="B8" s="110">
        <f t="shared" ca="1" si="3"/>
        <v>6081</v>
      </c>
      <c r="C8" s="111">
        <f t="shared" ca="1" si="7"/>
        <v>1427</v>
      </c>
      <c r="D8" s="112">
        <f t="shared" ca="1" si="8"/>
        <v>1386</v>
      </c>
      <c r="E8" s="113"/>
      <c r="F8" s="114" t="str">
        <f t="shared" ca="1" si="4"/>
        <v>5600 - 6400</v>
      </c>
      <c r="G8" s="115">
        <f t="shared" ca="1" si="9"/>
        <v>5600</v>
      </c>
      <c r="H8" s="116">
        <f t="shared" ca="1" si="0"/>
        <v>6400</v>
      </c>
      <c r="I8" s="117">
        <f t="shared" ca="1" si="5"/>
        <v>67</v>
      </c>
      <c r="J8" s="117">
        <f t="shared" ca="1" si="10"/>
        <v>7</v>
      </c>
      <c r="K8" s="118">
        <f t="shared" ca="1" si="1"/>
        <v>9.3333333333333338E-2</v>
      </c>
      <c r="L8" s="119">
        <f t="shared" ca="1" si="2"/>
        <v>0.89333333333333331</v>
      </c>
      <c r="N8" s="130" t="s">
        <v>16</v>
      </c>
      <c r="O8" s="133">
        <f ca="1">O7/O2</f>
        <v>0.45116339902271452</v>
      </c>
      <c r="P8" s="133">
        <f ca="1">P7/P2</f>
        <v>0.45116339902271452</v>
      </c>
      <c r="Q8" s="133">
        <f ca="1">Q7/Q2</f>
        <v>0.45116339902271452</v>
      </c>
      <c r="V8" s="95">
        <v>0</v>
      </c>
      <c r="W8" s="95">
        <v>1</v>
      </c>
      <c r="AB8" s="86">
        <f t="shared" ca="1" si="6"/>
        <v>4.3084556331252077E-4</v>
      </c>
      <c r="AC8" s="98">
        <v>6</v>
      </c>
      <c r="AD8" s="98">
        <v>6</v>
      </c>
      <c r="AE8" s="98">
        <f t="shared" ca="1" si="11"/>
        <v>156</v>
      </c>
      <c r="AF8" s="120">
        <f t="shared" ca="1" si="12"/>
        <v>8.8840186126929037</v>
      </c>
      <c r="AG8" s="86">
        <f t="shared" ca="1" si="13"/>
        <v>1386</v>
      </c>
      <c r="AH8" s="86"/>
      <c r="AI8" s="87"/>
      <c r="AJ8" s="86"/>
      <c r="AK8" s="86"/>
    </row>
    <row r="9" spans="1:37" ht="16.5" x14ac:dyDescent="0.3">
      <c r="A9" s="9">
        <v>7</v>
      </c>
      <c r="B9" s="110">
        <f t="shared" ca="1" si="3"/>
        <v>1427</v>
      </c>
      <c r="C9" s="111">
        <f t="shared" ca="1" si="7"/>
        <v>1590</v>
      </c>
      <c r="D9" s="112">
        <f t="shared" ca="1" si="8"/>
        <v>1562</v>
      </c>
      <c r="E9" s="113"/>
      <c r="F9" s="114" t="str">
        <f t="shared" ca="1" si="4"/>
        <v>6400 - 7200</v>
      </c>
      <c r="G9" s="115">
        <f t="shared" ca="1" si="9"/>
        <v>6400</v>
      </c>
      <c r="H9" s="116">
        <f t="shared" ca="1" si="0"/>
        <v>7200</v>
      </c>
      <c r="I9" s="117">
        <f t="shared" ca="1" si="5"/>
        <v>72</v>
      </c>
      <c r="J9" s="117">
        <f t="shared" ca="1" si="10"/>
        <v>5</v>
      </c>
      <c r="K9" s="118">
        <f t="shared" ca="1" si="1"/>
        <v>6.6666666666666666E-2</v>
      </c>
      <c r="L9" s="119">
        <f t="shared" ca="1" si="2"/>
        <v>0.96</v>
      </c>
      <c r="N9" s="154" t="s">
        <v>103</v>
      </c>
      <c r="O9" s="155">
        <f ca="1">O2/O3</f>
        <v>1.0098023450586264</v>
      </c>
      <c r="P9" s="155">
        <f t="shared" ref="P9:Q9" ca="1" si="14">P2/P3</f>
        <v>1.0098023450586264</v>
      </c>
      <c r="Q9" s="155">
        <f t="shared" ca="1" si="14"/>
        <v>1.0098023450586264</v>
      </c>
      <c r="V9" s="95">
        <v>1</v>
      </c>
      <c r="W9" s="95">
        <v>1</v>
      </c>
      <c r="AB9" s="86">
        <f t="shared" ca="1" si="6"/>
        <v>0.97172348124873231</v>
      </c>
      <c r="AC9" s="98">
        <v>8</v>
      </c>
      <c r="AD9" s="98">
        <v>7</v>
      </c>
      <c r="AE9" s="98">
        <f t="shared" ca="1" si="11"/>
        <v>164</v>
      </c>
      <c r="AF9" s="120">
        <f t="shared" ca="1" si="12"/>
        <v>9.5238239996436675</v>
      </c>
      <c r="AG9" s="86">
        <f t="shared" ca="1" si="13"/>
        <v>1562</v>
      </c>
      <c r="AH9" s="86"/>
      <c r="AI9" s="87"/>
      <c r="AJ9" s="86"/>
      <c r="AK9" s="86"/>
    </row>
    <row r="10" spans="1:37" ht="17.25" thickBot="1" x14ac:dyDescent="0.35">
      <c r="A10" s="9">
        <v>8</v>
      </c>
      <c r="B10" s="110">
        <f t="shared" ca="1" si="3"/>
        <v>6523</v>
      </c>
      <c r="C10" s="111">
        <f t="shared" ca="1" si="7"/>
        <v>1562</v>
      </c>
      <c r="D10" s="112">
        <f t="shared" ca="1" si="8"/>
        <v>2070</v>
      </c>
      <c r="E10" s="113"/>
      <c r="F10" s="114" t="str">
        <f t="shared" ca="1" si="4"/>
        <v>7200 - 8000</v>
      </c>
      <c r="G10" s="115">
        <f t="shared" ca="1" si="9"/>
        <v>7200</v>
      </c>
      <c r="H10" s="116">
        <f t="shared" ca="1" si="0"/>
        <v>8000</v>
      </c>
      <c r="I10" s="117">
        <f t="shared" ca="1" si="5"/>
        <v>74</v>
      </c>
      <c r="J10" s="117">
        <f t="shared" ca="1" si="10"/>
        <v>2</v>
      </c>
      <c r="K10" s="118">
        <f t="shared" ca="1" si="1"/>
        <v>2.6666666666666668E-2</v>
      </c>
      <c r="L10" s="119">
        <f t="shared" ca="1" si="2"/>
        <v>0.98666666666666669</v>
      </c>
      <c r="N10" s="131" t="s">
        <v>94</v>
      </c>
      <c r="O10" s="134">
        <f ca="1">O6/O2</f>
        <v>1.9166395732285868</v>
      </c>
      <c r="P10" s="134">
        <f ca="1">P6/P2</f>
        <v>1.9166395732285868</v>
      </c>
      <c r="Q10" s="134">
        <f ca="1">Q6/Q2</f>
        <v>1.9166395732285868</v>
      </c>
      <c r="V10" s="95">
        <v>2</v>
      </c>
      <c r="W10" s="95">
        <v>2</v>
      </c>
      <c r="AB10" s="86">
        <f t="shared" ca="1" si="6"/>
        <v>1.2587890481893238E-2</v>
      </c>
      <c r="AC10" s="98">
        <v>7</v>
      </c>
      <c r="AD10" s="98">
        <v>8</v>
      </c>
      <c r="AE10" s="98">
        <f ca="1">INT($AH$1+$AI$1*AD10)</f>
        <v>172</v>
      </c>
      <c r="AF10" s="120">
        <f t="shared" ca="1" si="12"/>
        <v>12.035762258727861</v>
      </c>
      <c r="AG10" s="86">
        <f t="shared" ca="1" si="13"/>
        <v>2070</v>
      </c>
      <c r="AH10" s="86"/>
      <c r="AI10" s="87"/>
      <c r="AJ10" s="86"/>
      <c r="AK10" s="86"/>
    </row>
    <row r="11" spans="1:37" ht="16.5" x14ac:dyDescent="0.3">
      <c r="A11" s="9">
        <v>9</v>
      </c>
      <c r="B11" s="110">
        <f t="shared" ca="1" si="3"/>
        <v>1311</v>
      </c>
      <c r="C11" s="111">
        <f t="shared" ca="1" si="7"/>
        <v>1986</v>
      </c>
      <c r="D11" s="112">
        <f t="shared" ca="1" si="8"/>
        <v>1693</v>
      </c>
      <c r="E11" s="113"/>
      <c r="F11" s="114" t="str">
        <f t="shared" ca="1" si="4"/>
        <v>8000 - 8800</v>
      </c>
      <c r="G11" s="115">
        <f t="shared" ca="1" si="9"/>
        <v>8000</v>
      </c>
      <c r="H11" s="116">
        <f t="shared" ca="1" si="0"/>
        <v>8800</v>
      </c>
      <c r="I11" s="117">
        <f t="shared" ca="1" si="5"/>
        <v>75</v>
      </c>
      <c r="J11" s="117">
        <f t="shared" ca="1" si="10"/>
        <v>1</v>
      </c>
      <c r="K11" s="118">
        <f t="shared" ca="1" si="1"/>
        <v>1.3333333333333334E-2</v>
      </c>
      <c r="L11" s="119">
        <f t="shared" ca="1" si="2"/>
        <v>1</v>
      </c>
      <c r="V11" s="95">
        <v>3</v>
      </c>
      <c r="W11" s="95">
        <v>3</v>
      </c>
      <c r="AB11" s="86">
        <f t="shared" ca="1" si="6"/>
        <v>0.93136535624541161</v>
      </c>
      <c r="AC11" s="98">
        <v>12</v>
      </c>
      <c r="AD11" s="98">
        <v>9</v>
      </c>
      <c r="AE11" s="98">
        <f t="shared" ca="1" si="11"/>
        <v>180</v>
      </c>
      <c r="AF11" s="120">
        <f t="shared" ca="1" si="12"/>
        <v>9.4073740635427807</v>
      </c>
      <c r="AG11" s="86">
        <f t="shared" ca="1" si="13"/>
        <v>1693</v>
      </c>
      <c r="AH11" s="86"/>
      <c r="AI11" s="87"/>
      <c r="AJ11" s="86"/>
      <c r="AK11" s="86"/>
    </row>
    <row r="12" spans="1:37" ht="16.5" x14ac:dyDescent="0.3">
      <c r="A12" s="9">
        <v>10</v>
      </c>
      <c r="B12" s="110">
        <f t="shared" ca="1" si="3"/>
        <v>4523</v>
      </c>
      <c r="C12" s="111">
        <f t="shared" ca="1" si="7"/>
        <v>1684</v>
      </c>
      <c r="D12" s="112">
        <f t="shared" ca="1" si="8"/>
        <v>1684</v>
      </c>
      <c r="E12" s="113"/>
      <c r="F12" s="114" t="str">
        <f t="shared" ca="1" si="4"/>
        <v>8800 - 9600</v>
      </c>
      <c r="G12" s="115">
        <f t="shared" ca="1" si="9"/>
        <v>8800</v>
      </c>
      <c r="H12" s="116">
        <f t="shared" ca="1" si="0"/>
        <v>9600</v>
      </c>
      <c r="I12" s="117">
        <f t="shared" ca="1" si="5"/>
        <v>75</v>
      </c>
      <c r="J12" s="117">
        <f t="shared" ca="1" si="10"/>
        <v>0</v>
      </c>
      <c r="K12" s="118">
        <f t="shared" ca="1" si="1"/>
        <v>0</v>
      </c>
      <c r="L12" s="119">
        <f t="shared" ca="1" si="2"/>
        <v>1</v>
      </c>
      <c r="V12" s="95">
        <v>4</v>
      </c>
      <c r="W12" s="95">
        <v>2</v>
      </c>
      <c r="AB12" s="86">
        <f t="shared" ca="1" si="6"/>
        <v>0.26711742499745983</v>
      </c>
      <c r="AC12" s="98">
        <v>9</v>
      </c>
      <c r="AD12" s="98">
        <v>10</v>
      </c>
      <c r="AE12" s="98">
        <f t="shared" ca="1" si="11"/>
        <v>188</v>
      </c>
      <c r="AF12" s="120">
        <f t="shared" ca="1" si="12"/>
        <v>8.9578736033193316</v>
      </c>
      <c r="AG12" s="86">
        <f t="shared" ca="1" si="13"/>
        <v>1684</v>
      </c>
      <c r="AH12" s="86"/>
      <c r="AI12" s="87"/>
      <c r="AJ12" s="86"/>
      <c r="AK12" s="86"/>
    </row>
    <row r="13" spans="1:37" ht="16.5" x14ac:dyDescent="0.3">
      <c r="A13" s="9">
        <v>11</v>
      </c>
      <c r="B13" s="110">
        <f t="shared" ca="1" si="3"/>
        <v>2070</v>
      </c>
      <c r="C13" s="111">
        <f t="shared" ca="1" si="7"/>
        <v>1693</v>
      </c>
      <c r="D13" s="112">
        <f t="shared" ca="1" si="8"/>
        <v>1590</v>
      </c>
      <c r="E13" s="113"/>
      <c r="F13" s="114" t="str">
        <f t="shared" ca="1" si="4"/>
        <v>9600 - 10400</v>
      </c>
      <c r="G13" s="115">
        <f t="shared" ca="1" si="9"/>
        <v>9600</v>
      </c>
      <c r="H13" s="116">
        <f t="shared" ca="1" si="0"/>
        <v>10400</v>
      </c>
      <c r="I13" s="117">
        <f t="shared" ca="1" si="5"/>
        <v>75</v>
      </c>
      <c r="J13" s="117">
        <f t="shared" ca="1" si="10"/>
        <v>0</v>
      </c>
      <c r="K13" s="118">
        <f t="shared" ca="1" si="1"/>
        <v>0</v>
      </c>
      <c r="L13" s="119">
        <f t="shared" ca="1" si="2"/>
        <v>1</v>
      </c>
      <c r="AB13" s="86">
        <f t="shared" ca="1" si="6"/>
        <v>0.90313130307167455</v>
      </c>
      <c r="AC13" s="98">
        <v>10</v>
      </c>
      <c r="AD13" s="98">
        <v>11</v>
      </c>
      <c r="AE13" s="98">
        <f t="shared" ca="1" si="11"/>
        <v>196</v>
      </c>
      <c r="AF13" s="120">
        <f t="shared" ca="1" si="12"/>
        <v>8.1143502705139525</v>
      </c>
      <c r="AG13" s="86">
        <f t="shared" ca="1" si="13"/>
        <v>1590</v>
      </c>
      <c r="AH13" s="86"/>
      <c r="AI13" s="87"/>
      <c r="AJ13" s="86"/>
      <c r="AK13" s="86"/>
    </row>
    <row r="14" spans="1:37" ht="17.25" thickBot="1" x14ac:dyDescent="0.35">
      <c r="A14" s="9">
        <v>12</v>
      </c>
      <c r="B14" s="110">
        <f t="shared" ca="1" si="3"/>
        <v>4052</v>
      </c>
      <c r="C14" s="111">
        <f t="shared" ca="1" si="7"/>
        <v>1928</v>
      </c>
      <c r="D14" s="112">
        <f t="shared" ca="1" si="8"/>
        <v>1986</v>
      </c>
      <c r="E14" s="113"/>
      <c r="F14" s="121" t="str">
        <f t="shared" ca="1" si="4"/>
        <v>10400 - 11200</v>
      </c>
      <c r="G14" s="122">
        <f ca="1">H13</f>
        <v>10400</v>
      </c>
      <c r="H14" s="123">
        <f t="shared" ca="1" si="0"/>
        <v>11200</v>
      </c>
      <c r="I14" s="124">
        <f t="shared" ca="1" si="5"/>
        <v>75</v>
      </c>
      <c r="J14" s="124">
        <f t="shared" ca="1" si="10"/>
        <v>0</v>
      </c>
      <c r="K14" s="125">
        <f t="shared" ca="1" si="1"/>
        <v>0</v>
      </c>
      <c r="L14" s="126">
        <f t="shared" ca="1" si="2"/>
        <v>1</v>
      </c>
      <c r="AB14" s="86">
        <f t="shared" ca="1" si="6"/>
        <v>0.33455764356815187</v>
      </c>
      <c r="AC14" s="98">
        <v>11</v>
      </c>
      <c r="AD14" s="98">
        <v>12</v>
      </c>
      <c r="AE14" s="98">
        <f t="shared" ca="1" si="11"/>
        <v>204</v>
      </c>
      <c r="AF14" s="120">
        <f t="shared" ca="1" si="12"/>
        <v>9.7367353445145479</v>
      </c>
      <c r="AG14" s="86">
        <f t="shared" ca="1" si="13"/>
        <v>1986</v>
      </c>
      <c r="AH14" s="86"/>
      <c r="AI14" s="87"/>
      <c r="AJ14" s="86"/>
      <c r="AK14" s="86"/>
    </row>
    <row r="15" spans="1:37" ht="16.5" x14ac:dyDescent="0.3">
      <c r="A15" s="9">
        <v>13</v>
      </c>
      <c r="B15" s="110">
        <f t="shared" ca="1" si="3"/>
        <v>5799</v>
      </c>
      <c r="C15" s="111">
        <f t="shared" ca="1" si="7"/>
        <v>2070</v>
      </c>
      <c r="D15" s="112">
        <f t="shared" ca="1" si="8"/>
        <v>2550</v>
      </c>
      <c r="E15" s="113"/>
      <c r="F15" s="127"/>
      <c r="G15" s="117"/>
      <c r="H15" s="117"/>
      <c r="I15" s="117"/>
      <c r="J15" s="117">
        <f ca="1">SUM(J2:J14)</f>
        <v>75</v>
      </c>
      <c r="K15" s="118">
        <f ca="1">SUM(K2:K14)</f>
        <v>0.99999999999999989</v>
      </c>
      <c r="L15" s="118"/>
      <c r="AB15" s="86">
        <f t="shared" ca="1" si="6"/>
        <v>4.1141428952043091E-2</v>
      </c>
      <c r="AC15" s="98">
        <v>14</v>
      </c>
      <c r="AD15" s="98">
        <v>13</v>
      </c>
      <c r="AE15" s="98">
        <f t="shared" ca="1" si="11"/>
        <v>212</v>
      </c>
      <c r="AF15" s="120">
        <f t="shared" ca="1" si="12"/>
        <v>12.026852122081497</v>
      </c>
      <c r="AG15" s="86">
        <f t="shared" ca="1" si="13"/>
        <v>2550</v>
      </c>
      <c r="AH15" s="86"/>
      <c r="AI15" s="87"/>
      <c r="AJ15" s="86"/>
      <c r="AK15" s="86"/>
    </row>
    <row r="16" spans="1:37" ht="16.5" x14ac:dyDescent="0.3">
      <c r="A16" s="9">
        <v>14</v>
      </c>
      <c r="B16" s="110">
        <f t="shared" ca="1" si="3"/>
        <v>1590</v>
      </c>
      <c r="C16" s="111">
        <f t="shared" ca="1" si="7"/>
        <v>2301</v>
      </c>
      <c r="D16" s="112">
        <f t="shared" ca="1" si="8"/>
        <v>2301</v>
      </c>
      <c r="E16" s="113"/>
      <c r="F16" s="152"/>
      <c r="G16" s="152"/>
      <c r="H16" s="152"/>
      <c r="I16" s="152"/>
      <c r="J16" s="103"/>
      <c r="K16" s="103"/>
      <c r="L16" s="152"/>
      <c r="M16" s="103"/>
      <c r="N16" s="103"/>
      <c r="Q16" s="103"/>
      <c r="R16" s="103"/>
      <c r="S16" s="103"/>
      <c r="T16" s="103"/>
      <c r="Y16" s="103"/>
      <c r="Z16" s="103"/>
      <c r="AB16" s="86">
        <f t="shared" ca="1" si="6"/>
        <v>0.88889940445096738</v>
      </c>
      <c r="AC16" s="98">
        <v>16</v>
      </c>
      <c r="AD16" s="98">
        <v>14</v>
      </c>
      <c r="AE16" s="98">
        <f t="shared" ca="1" si="11"/>
        <v>220</v>
      </c>
      <c r="AF16" s="120">
        <f t="shared" ca="1" si="12"/>
        <v>10.458070534743591</v>
      </c>
      <c r="AG16" s="86">
        <f t="shared" ca="1" si="13"/>
        <v>2301</v>
      </c>
      <c r="AH16" s="86"/>
      <c r="AI16" s="87"/>
      <c r="AJ16" s="86"/>
      <c r="AK16" s="86"/>
    </row>
    <row r="17" spans="1:37" ht="16.5" x14ac:dyDescent="0.3">
      <c r="A17" s="9">
        <v>15</v>
      </c>
      <c r="B17" s="110">
        <f t="shared" ca="1" si="3"/>
        <v>4190</v>
      </c>
      <c r="C17" s="111">
        <f t="shared" ca="1" si="7"/>
        <v>2403</v>
      </c>
      <c r="D17" s="112">
        <f t="shared" ca="1" si="8"/>
        <v>1988</v>
      </c>
      <c r="E17" s="113"/>
      <c r="F17" s="103"/>
      <c r="G17" s="103"/>
      <c r="H17" s="103"/>
      <c r="I17" s="103"/>
      <c r="J17" s="153"/>
      <c r="K17" s="153"/>
      <c r="L17" s="103"/>
      <c r="M17" s="103"/>
      <c r="N17" s="103"/>
      <c r="Q17" s="103"/>
      <c r="R17" s="103"/>
      <c r="S17" s="103"/>
      <c r="T17" s="103"/>
      <c r="Y17" s="103"/>
      <c r="Z17" s="103"/>
      <c r="AB17" s="86">
        <f t="shared" ca="1" si="6"/>
        <v>0.36541097392826394</v>
      </c>
      <c r="AC17" s="98">
        <v>18</v>
      </c>
      <c r="AD17" s="98">
        <v>15</v>
      </c>
      <c r="AE17" s="98">
        <f t="shared" ca="1" si="11"/>
        <v>228</v>
      </c>
      <c r="AF17" s="120">
        <f t="shared" ca="1" si="12"/>
        <v>8.7190237958779448</v>
      </c>
      <c r="AG17" s="86">
        <f t="shared" ca="1" si="13"/>
        <v>1988</v>
      </c>
      <c r="AH17" s="86"/>
      <c r="AI17" s="87"/>
      <c r="AJ17" s="86"/>
      <c r="AK17" s="86"/>
    </row>
    <row r="18" spans="1:37" ht="16.5" x14ac:dyDescent="0.3">
      <c r="A18" s="9">
        <v>16</v>
      </c>
      <c r="B18" s="110">
        <f t="shared" ca="1" si="3"/>
        <v>1224</v>
      </c>
      <c r="C18" s="111">
        <f t="shared" ca="1" si="7"/>
        <v>1988</v>
      </c>
      <c r="D18" s="112">
        <f t="shared" ca="1" si="8"/>
        <v>1928</v>
      </c>
      <c r="E18" s="113"/>
      <c r="F18" s="103"/>
      <c r="G18" s="103"/>
      <c r="H18" s="103"/>
      <c r="I18" s="103"/>
      <c r="J18" s="103"/>
      <c r="K18" s="103"/>
      <c r="L18" s="103"/>
      <c r="M18" s="103"/>
      <c r="N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B18" s="86">
        <f t="shared" ca="1" si="6"/>
        <v>0.98526909070976498</v>
      </c>
      <c r="AC18" s="98">
        <v>13</v>
      </c>
      <c r="AD18" s="98">
        <v>16</v>
      </c>
      <c r="AE18" s="98">
        <f t="shared" ca="1" si="11"/>
        <v>236</v>
      </c>
      <c r="AF18" s="120">
        <f t="shared" ca="1" si="12"/>
        <v>8.170688251643563</v>
      </c>
      <c r="AG18" s="86">
        <f t="shared" ca="1" si="13"/>
        <v>1928</v>
      </c>
      <c r="AH18" s="86"/>
      <c r="AI18" s="87"/>
      <c r="AJ18" s="86"/>
      <c r="AK18" s="86"/>
    </row>
    <row r="19" spans="1:37" ht="16.5" x14ac:dyDescent="0.3">
      <c r="A19" s="9">
        <v>17</v>
      </c>
      <c r="B19" s="110">
        <f t="shared" ca="1" si="3"/>
        <v>2955</v>
      </c>
      <c r="C19" s="111">
        <f t="shared" ca="1" si="7"/>
        <v>2352</v>
      </c>
      <c r="D19" s="112">
        <f t="shared" ca="1" si="8"/>
        <v>2418</v>
      </c>
      <c r="E19" s="11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B19" s="86">
        <f t="shared" ca="1" si="6"/>
        <v>0.64593074980144927</v>
      </c>
      <c r="AC19" s="98">
        <v>17</v>
      </c>
      <c r="AD19" s="98">
        <v>17</v>
      </c>
      <c r="AE19" s="98">
        <f t="shared" ca="1" si="11"/>
        <v>244</v>
      </c>
      <c r="AF19" s="120">
        <f t="shared" ca="1" si="12"/>
        <v>9.9104532566321257</v>
      </c>
      <c r="AG19" s="86">
        <f t="shared" ca="1" si="13"/>
        <v>2418</v>
      </c>
      <c r="AH19" s="86"/>
      <c r="AI19" s="87"/>
      <c r="AJ19" s="86"/>
      <c r="AK19" s="86"/>
    </row>
    <row r="20" spans="1:37" ht="16.5" x14ac:dyDescent="0.3">
      <c r="A20" s="9">
        <v>18</v>
      </c>
      <c r="B20" s="110">
        <f t="shared" ca="1" si="3"/>
        <v>4792</v>
      </c>
      <c r="C20" s="111">
        <f t="shared" ca="1" si="7"/>
        <v>2174</v>
      </c>
      <c r="D20" s="112">
        <f t="shared" ca="1" si="8"/>
        <v>3236</v>
      </c>
      <c r="E20" s="11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B20" s="86">
        <f t="shared" ca="1" si="6"/>
        <v>0.45672084403002877</v>
      </c>
      <c r="AC20" s="98">
        <v>15</v>
      </c>
      <c r="AD20" s="98">
        <v>18</v>
      </c>
      <c r="AE20" s="98">
        <f t="shared" ca="1" si="11"/>
        <v>252</v>
      </c>
      <c r="AF20" s="120">
        <f t="shared" ca="1" si="12"/>
        <v>12.841004091120862</v>
      </c>
      <c r="AG20" s="86">
        <f t="shared" ca="1" si="13"/>
        <v>3236</v>
      </c>
      <c r="AH20" s="86"/>
      <c r="AI20" s="87"/>
      <c r="AJ20" s="86"/>
      <c r="AK20" s="86"/>
    </row>
    <row r="21" spans="1:37" ht="16.5" x14ac:dyDescent="0.3">
      <c r="A21" s="9">
        <v>19</v>
      </c>
      <c r="B21" s="110">
        <f t="shared" ca="1" si="3"/>
        <v>5455</v>
      </c>
      <c r="C21" s="111">
        <f t="shared" ca="1" si="7"/>
        <v>2418</v>
      </c>
      <c r="D21" s="112">
        <f t="shared" ca="1" si="8"/>
        <v>2403</v>
      </c>
      <c r="E21" s="11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B21" s="86">
        <f t="shared" ca="1" si="6"/>
        <v>0.11420529325371676</v>
      </c>
      <c r="AC21" s="98">
        <v>19</v>
      </c>
      <c r="AD21" s="98">
        <v>19</v>
      </c>
      <c r="AE21" s="98">
        <f t="shared" ca="1" si="11"/>
        <v>260</v>
      </c>
      <c r="AF21" s="120">
        <f t="shared" ca="1" si="12"/>
        <v>9.2434097820113337</v>
      </c>
      <c r="AG21" s="86">
        <f t="shared" ca="1" si="13"/>
        <v>2403</v>
      </c>
      <c r="AH21" s="86"/>
      <c r="AI21" s="87"/>
      <c r="AJ21" s="86"/>
      <c r="AK21" s="86"/>
    </row>
    <row r="22" spans="1:37" ht="16.5" x14ac:dyDescent="0.3">
      <c r="A22" s="9">
        <v>20</v>
      </c>
      <c r="B22" s="110">
        <f t="shared" ca="1" si="3"/>
        <v>3236</v>
      </c>
      <c r="C22" s="111">
        <f t="shared" ca="1" si="7"/>
        <v>2550</v>
      </c>
      <c r="D22" s="112">
        <f t="shared" ca="1" si="8"/>
        <v>2174</v>
      </c>
      <c r="E22" s="11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B22" s="86">
        <f t="shared" ca="1" si="6"/>
        <v>0.76385772199255708</v>
      </c>
      <c r="AC22" s="98">
        <v>20</v>
      </c>
      <c r="AD22" s="98">
        <v>20</v>
      </c>
      <c r="AE22" s="98">
        <f t="shared" ca="1" si="11"/>
        <v>268</v>
      </c>
      <c r="AF22" s="120">
        <f t="shared" ca="1" si="12"/>
        <v>8.1112875222964309</v>
      </c>
      <c r="AG22" s="86">
        <f t="shared" ca="1" si="13"/>
        <v>2174</v>
      </c>
      <c r="AH22" s="86"/>
      <c r="AI22" s="87"/>
      <c r="AJ22" s="86"/>
      <c r="AK22" s="86"/>
    </row>
    <row r="23" spans="1:37" ht="16.5" x14ac:dyDescent="0.3">
      <c r="A23" s="9">
        <v>21</v>
      </c>
      <c r="B23" s="110">
        <f t="shared" ca="1" si="3"/>
        <v>5312</v>
      </c>
      <c r="C23" s="111">
        <f t="shared" ca="1" si="7"/>
        <v>2905</v>
      </c>
      <c r="D23" s="112">
        <f t="shared" ca="1" si="8"/>
        <v>2352</v>
      </c>
      <c r="E23" s="11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B23" s="86">
        <f t="shared" ca="1" si="6"/>
        <v>0.12518361182872784</v>
      </c>
      <c r="AC23" s="98">
        <v>24</v>
      </c>
      <c r="AD23" s="98">
        <v>21</v>
      </c>
      <c r="AE23" s="98">
        <f t="shared" ca="1" si="11"/>
        <v>276</v>
      </c>
      <c r="AF23" s="120">
        <f t="shared" ca="1" si="12"/>
        <v>8.5199346573959307</v>
      </c>
      <c r="AG23" s="86">
        <f t="shared" ca="1" si="13"/>
        <v>2352</v>
      </c>
      <c r="AH23" s="86"/>
      <c r="AI23" s="87"/>
      <c r="AJ23" s="86"/>
      <c r="AK23" s="86"/>
    </row>
    <row r="24" spans="1:37" ht="16.5" x14ac:dyDescent="0.3">
      <c r="A24" s="9">
        <v>22</v>
      </c>
      <c r="B24" s="110">
        <f t="shared" ca="1" si="3"/>
        <v>5016</v>
      </c>
      <c r="C24" s="111">
        <f t="shared" ca="1" si="7"/>
        <v>2738</v>
      </c>
      <c r="D24" s="112">
        <f t="shared" ca="1" si="8"/>
        <v>2738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B24" s="86">
        <f t="shared" ca="1" si="6"/>
        <v>0.22255994385005873</v>
      </c>
      <c r="AC24" s="98">
        <v>22</v>
      </c>
      <c r="AD24" s="98">
        <v>22</v>
      </c>
      <c r="AE24" s="98">
        <f t="shared" ca="1" si="11"/>
        <v>284</v>
      </c>
      <c r="AF24" s="120">
        <f t="shared" ca="1" si="12"/>
        <v>9.6399711277256586</v>
      </c>
      <c r="AG24" s="86">
        <f t="shared" ca="1" si="13"/>
        <v>2738</v>
      </c>
      <c r="AH24" s="86"/>
      <c r="AI24" s="87"/>
      <c r="AJ24" s="86"/>
      <c r="AK24" s="86"/>
    </row>
    <row r="25" spans="1:37" ht="16.5" x14ac:dyDescent="0.3">
      <c r="A25" s="9">
        <v>23</v>
      </c>
      <c r="B25" s="110">
        <f t="shared" ca="1" si="3"/>
        <v>2301</v>
      </c>
      <c r="C25" s="111">
        <f t="shared" ca="1" si="7"/>
        <v>2770</v>
      </c>
      <c r="D25" s="112">
        <f t="shared" ca="1" si="8"/>
        <v>3352</v>
      </c>
      <c r="E25" s="138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B25" s="86">
        <f t="shared" ca="1" si="6"/>
        <v>0.80103711548600864</v>
      </c>
      <c r="AC25" s="98">
        <v>23</v>
      </c>
      <c r="AD25" s="98">
        <v>23</v>
      </c>
      <c r="AE25" s="98">
        <f t="shared" ca="1" si="11"/>
        <v>292</v>
      </c>
      <c r="AF25" s="120">
        <f t="shared" ca="1" si="12"/>
        <v>11.479087853666329</v>
      </c>
      <c r="AG25" s="86">
        <f t="shared" ca="1" si="13"/>
        <v>3352</v>
      </c>
      <c r="AH25" s="86"/>
      <c r="AI25" s="87"/>
      <c r="AJ25" s="86"/>
      <c r="AK25" s="86"/>
    </row>
    <row r="26" spans="1:37" ht="16.5" x14ac:dyDescent="0.3">
      <c r="A26" s="9">
        <v>24</v>
      </c>
      <c r="B26" s="110">
        <f t="shared" ca="1" si="3"/>
        <v>2905</v>
      </c>
      <c r="C26" s="111">
        <f t="shared" ca="1" si="7"/>
        <v>2924</v>
      </c>
      <c r="D26" s="112">
        <f t="shared" ca="1" si="8"/>
        <v>2955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B26" s="86">
        <f t="shared" ca="1" si="6"/>
        <v>0.52440990590846215</v>
      </c>
      <c r="AC26" s="98">
        <v>25</v>
      </c>
      <c r="AD26" s="98">
        <v>24</v>
      </c>
      <c r="AE26" s="98">
        <f t="shared" ca="1" si="11"/>
        <v>300</v>
      </c>
      <c r="AF26" s="120">
        <f t="shared" ca="1" si="12"/>
        <v>9.8503619683226447</v>
      </c>
      <c r="AG26" s="86">
        <f t="shared" ca="1" si="13"/>
        <v>2955</v>
      </c>
      <c r="AH26" s="86"/>
      <c r="AI26" s="87"/>
      <c r="AJ26" s="86"/>
      <c r="AK26" s="86"/>
    </row>
    <row r="27" spans="1:37" ht="16.5" x14ac:dyDescent="0.3">
      <c r="A27" s="9">
        <v>25</v>
      </c>
      <c r="B27" s="110">
        <f t="shared" ca="1" si="3"/>
        <v>4444</v>
      </c>
      <c r="C27" s="111">
        <f t="shared" ca="1" si="7"/>
        <v>2641</v>
      </c>
      <c r="D27" s="112">
        <f t="shared" ca="1" si="8"/>
        <v>2770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Z27" s="139"/>
      <c r="AA27" s="139"/>
      <c r="AB27" s="86">
        <f t="shared" ca="1" si="6"/>
        <v>0.21677943970934677</v>
      </c>
      <c r="AC27" s="98">
        <v>21</v>
      </c>
      <c r="AD27" s="98">
        <v>25</v>
      </c>
      <c r="AE27" s="98">
        <f t="shared" ca="1" si="11"/>
        <v>308</v>
      </c>
      <c r="AF27" s="120">
        <f t="shared" ca="1" si="12"/>
        <v>8.9935888372379473</v>
      </c>
      <c r="AG27" s="86">
        <f t="shared" ca="1" si="13"/>
        <v>2770</v>
      </c>
      <c r="AH27" s="86"/>
      <c r="AI27" s="87"/>
      <c r="AJ27" s="86"/>
      <c r="AK27" s="86"/>
    </row>
    <row r="28" spans="1:37" ht="16.5" x14ac:dyDescent="0.3">
      <c r="A28" s="9">
        <v>26</v>
      </c>
      <c r="B28" s="110">
        <f t="shared" ca="1" si="3"/>
        <v>4954</v>
      </c>
      <c r="C28" s="111">
        <f t="shared" ca="1" si="7"/>
        <v>3140</v>
      </c>
      <c r="D28" s="112">
        <f t="shared" ca="1" si="8"/>
        <v>2641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Z28" s="139"/>
      <c r="AA28" s="139"/>
      <c r="AB28" s="86">
        <f t="shared" ca="1" si="6"/>
        <v>0.14761649928229981</v>
      </c>
      <c r="AC28" s="98">
        <v>27</v>
      </c>
      <c r="AD28" s="98">
        <v>26</v>
      </c>
      <c r="AE28" s="98">
        <f t="shared" ca="1" si="11"/>
        <v>316</v>
      </c>
      <c r="AF28" s="120">
        <f t="shared" ca="1" si="12"/>
        <v>8.3565590648390824</v>
      </c>
      <c r="AG28" s="86">
        <f t="shared" ca="1" si="13"/>
        <v>2641</v>
      </c>
      <c r="AH28" s="86"/>
      <c r="AI28" s="87"/>
      <c r="AJ28" s="86"/>
      <c r="AK28" s="86"/>
    </row>
    <row r="29" spans="1:37" ht="16.5" x14ac:dyDescent="0.3">
      <c r="A29" s="9">
        <v>27</v>
      </c>
      <c r="B29" s="110">
        <f t="shared" ca="1" si="3"/>
        <v>2418</v>
      </c>
      <c r="C29" s="111">
        <f t="shared" ca="1" si="7"/>
        <v>2955</v>
      </c>
      <c r="D29" s="112">
        <f t="shared" ca="1" si="8"/>
        <v>3547</v>
      </c>
      <c r="E29" s="138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Z29" s="139"/>
      <c r="AA29" s="139"/>
      <c r="AB29" s="86">
        <f t="shared" ca="1" si="6"/>
        <v>0.77147059810150254</v>
      </c>
      <c r="AC29" s="98">
        <v>26</v>
      </c>
      <c r="AD29" s="98">
        <v>27</v>
      </c>
      <c r="AE29" s="98">
        <f t="shared" ca="1" si="11"/>
        <v>324</v>
      </c>
      <c r="AF29" s="120">
        <f t="shared" ca="1" si="12"/>
        <v>10.946931004651457</v>
      </c>
      <c r="AG29" s="86">
        <f t="shared" ca="1" si="13"/>
        <v>3547</v>
      </c>
      <c r="AH29" s="86"/>
      <c r="AI29" s="87"/>
      <c r="AJ29" s="86"/>
      <c r="AK29" s="86"/>
    </row>
    <row r="30" spans="1:37" ht="16.5" x14ac:dyDescent="0.3">
      <c r="A30" s="9">
        <v>28</v>
      </c>
      <c r="B30" s="110">
        <f t="shared" ca="1" si="3"/>
        <v>1684</v>
      </c>
      <c r="C30" s="111">
        <f t="shared" ca="1" si="7"/>
        <v>3547</v>
      </c>
      <c r="D30" s="112">
        <f t="shared" ca="1" si="8"/>
        <v>3677</v>
      </c>
      <c r="E30" s="138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Z30" s="139"/>
      <c r="AA30" s="139"/>
      <c r="AB30" s="86">
        <f t="shared" ca="1" si="6"/>
        <v>0.90093325307853089</v>
      </c>
      <c r="AC30" s="98">
        <v>33</v>
      </c>
      <c r="AD30" s="98">
        <v>28</v>
      </c>
      <c r="AE30" s="98">
        <f t="shared" ca="1" si="11"/>
        <v>332</v>
      </c>
      <c r="AF30" s="120">
        <f t="shared" ca="1" si="12"/>
        <v>11.074423274732604</v>
      </c>
      <c r="AG30" s="86">
        <f t="shared" ca="1" si="13"/>
        <v>3677</v>
      </c>
      <c r="AH30" s="86"/>
      <c r="AI30" s="87"/>
      <c r="AJ30" s="86"/>
      <c r="AK30" s="86"/>
    </row>
    <row r="31" spans="1:37" ht="16.5" x14ac:dyDescent="0.3">
      <c r="A31" s="9">
        <v>29</v>
      </c>
      <c r="B31" s="110">
        <f t="shared" ca="1" si="3"/>
        <v>5420</v>
      </c>
      <c r="C31" s="111">
        <f t="shared" ca="1" si="7"/>
        <v>3579</v>
      </c>
      <c r="D31" s="112">
        <f t="shared" ca="1" si="8"/>
        <v>3462</v>
      </c>
      <c r="E31" s="138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Z31" s="139"/>
      <c r="AA31" s="139"/>
      <c r="AB31" s="86">
        <f t="shared" ca="1" si="6"/>
        <v>0.38939629902600592</v>
      </c>
      <c r="AC31" s="98">
        <v>34</v>
      </c>
      <c r="AD31" s="98">
        <v>29</v>
      </c>
      <c r="AE31" s="98">
        <f t="shared" ca="1" si="11"/>
        <v>340</v>
      </c>
      <c r="AF31" s="120">
        <f t="shared" ca="1" si="12"/>
        <v>10.18358744739823</v>
      </c>
      <c r="AG31" s="86">
        <f t="shared" ca="1" si="13"/>
        <v>3462</v>
      </c>
      <c r="AH31" s="86"/>
      <c r="AI31" s="87"/>
      <c r="AJ31" s="86"/>
      <c r="AK31" s="86"/>
    </row>
    <row r="32" spans="1:37" ht="16.5" x14ac:dyDescent="0.3">
      <c r="A32" s="9">
        <v>30</v>
      </c>
      <c r="B32" s="110">
        <f t="shared" ca="1" si="3"/>
        <v>6070</v>
      </c>
      <c r="C32" s="111">
        <f t="shared" ca="1" si="7"/>
        <v>3236</v>
      </c>
      <c r="D32" s="112">
        <f t="shared" ca="1" si="8"/>
        <v>2905</v>
      </c>
      <c r="E32" s="138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86">
        <f t="shared" ca="1" si="6"/>
        <v>0.30407038433375944</v>
      </c>
      <c r="AC32" s="98">
        <v>28</v>
      </c>
      <c r="AD32" s="98">
        <v>30</v>
      </c>
      <c r="AE32" s="98">
        <f t="shared" ca="1" si="11"/>
        <v>348</v>
      </c>
      <c r="AF32" s="120">
        <f t="shared" ca="1" si="12"/>
        <v>8.3480302478367641</v>
      </c>
      <c r="AG32" s="86">
        <f t="shared" ca="1" si="13"/>
        <v>2905</v>
      </c>
      <c r="AH32" s="86"/>
      <c r="AI32" s="87"/>
      <c r="AJ32" s="86"/>
      <c r="AK32" s="86"/>
    </row>
    <row r="33" spans="1:37" ht="16.5" x14ac:dyDescent="0.3">
      <c r="A33" s="9">
        <v>31</v>
      </c>
      <c r="B33" s="110">
        <f t="shared" ca="1" si="3"/>
        <v>2174</v>
      </c>
      <c r="C33" s="111">
        <f t="shared" ca="1" si="7"/>
        <v>3352</v>
      </c>
      <c r="D33" s="112">
        <f t="shared" ca="1" si="8"/>
        <v>2924</v>
      </c>
      <c r="E33" s="138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86">
        <f t="shared" ca="1" si="6"/>
        <v>0.72830047223327343</v>
      </c>
      <c r="AC33" s="98">
        <v>30</v>
      </c>
      <c r="AD33" s="98">
        <v>31</v>
      </c>
      <c r="AE33" s="98">
        <f t="shared" ca="1" si="11"/>
        <v>356</v>
      </c>
      <c r="AF33" s="120">
        <f t="shared" ca="1" si="12"/>
        <v>8.2121149044511483</v>
      </c>
      <c r="AG33" s="86">
        <f t="shared" ca="1" si="13"/>
        <v>2924</v>
      </c>
      <c r="AH33" s="86"/>
      <c r="AI33" s="87"/>
      <c r="AJ33" s="86"/>
      <c r="AK33" s="86"/>
    </row>
    <row r="34" spans="1:37" ht="16.5" x14ac:dyDescent="0.3">
      <c r="A34" s="9">
        <v>32</v>
      </c>
      <c r="B34" s="110">
        <f t="shared" ca="1" si="3"/>
        <v>2403</v>
      </c>
      <c r="C34" s="111">
        <f t="shared" ca="1" si="7"/>
        <v>3318</v>
      </c>
      <c r="D34" s="112">
        <f t="shared" ca="1" si="8"/>
        <v>3980</v>
      </c>
      <c r="E34" s="138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86">
        <f t="shared" ca="1" si="6"/>
        <v>0.74406550382432857</v>
      </c>
      <c r="AC34" s="98">
        <v>29</v>
      </c>
      <c r="AD34" s="98">
        <v>32</v>
      </c>
      <c r="AE34" s="98">
        <f t="shared" ca="1" si="11"/>
        <v>364</v>
      </c>
      <c r="AF34" s="120">
        <f t="shared" ca="1" si="12"/>
        <v>10.933256161632293</v>
      </c>
      <c r="AG34" s="86">
        <f t="shared" ca="1" si="13"/>
        <v>3980</v>
      </c>
      <c r="AH34" s="86"/>
      <c r="AI34" s="87"/>
      <c r="AJ34" s="86"/>
      <c r="AK34" s="86"/>
    </row>
    <row r="35" spans="1:37" ht="16.5" x14ac:dyDescent="0.3">
      <c r="A35" s="9">
        <v>33</v>
      </c>
      <c r="B35" s="110">
        <f t="shared" ref="B35:B67" ca="1" si="15">INDEX($AG$3:$AG$77,RANK(AB35,$AB$3:$AB$77))</f>
        <v>7356</v>
      </c>
      <c r="C35" s="111">
        <f t="shared" ca="1" si="7"/>
        <v>3446</v>
      </c>
      <c r="D35" s="112">
        <f t="shared" ca="1" si="8"/>
        <v>4617</v>
      </c>
      <c r="E35" s="138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86">
        <f t="shared" ca="1" si="6"/>
        <v>3.3710293955145576E-2</v>
      </c>
      <c r="AC35" s="98">
        <v>31</v>
      </c>
      <c r="AD35" s="98">
        <v>33</v>
      </c>
      <c r="AE35" s="98">
        <f t="shared" ca="1" si="11"/>
        <v>372</v>
      </c>
      <c r="AF35" s="120">
        <f t="shared" ca="1" si="12"/>
        <v>12.410560860142375</v>
      </c>
      <c r="AG35" s="86">
        <f t="shared" ca="1" si="13"/>
        <v>4617</v>
      </c>
      <c r="AH35" s="86"/>
      <c r="AI35" s="87"/>
      <c r="AJ35" s="86"/>
      <c r="AK35" s="86"/>
    </row>
    <row r="36" spans="1:37" ht="16.5" x14ac:dyDescent="0.3">
      <c r="A36" s="9">
        <v>34</v>
      </c>
      <c r="B36" s="110">
        <f t="shared" ca="1" si="15"/>
        <v>4600</v>
      </c>
      <c r="C36" s="111">
        <f t="shared" ca="1" si="7"/>
        <v>3462</v>
      </c>
      <c r="D36" s="112">
        <f t="shared" ca="1" si="8"/>
        <v>4055</v>
      </c>
      <c r="E36" s="138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86">
        <f t="shared" ca="1" si="6"/>
        <v>0.20843232547145552</v>
      </c>
      <c r="AC36" s="98">
        <v>32</v>
      </c>
      <c r="AD36" s="98">
        <v>34</v>
      </c>
      <c r="AE36" s="98">
        <f t="shared" ca="1" si="11"/>
        <v>380</v>
      </c>
      <c r="AF36" s="120">
        <f t="shared" ca="1" si="12"/>
        <v>10.670130795817954</v>
      </c>
      <c r="AG36" s="86">
        <f t="shared" ca="1" si="13"/>
        <v>4055</v>
      </c>
      <c r="AH36" s="86"/>
      <c r="AI36" s="87"/>
      <c r="AJ36" s="86"/>
      <c r="AK36" s="86"/>
    </row>
    <row r="37" spans="1:37" ht="16.5" x14ac:dyDescent="0.3">
      <c r="A37" s="9">
        <v>35</v>
      </c>
      <c r="B37" s="110">
        <f t="shared" ca="1" si="15"/>
        <v>3980</v>
      </c>
      <c r="C37" s="111">
        <f t="shared" ca="1" si="7"/>
        <v>3677</v>
      </c>
      <c r="D37" s="112">
        <f t="shared" ca="1" si="8"/>
        <v>3140</v>
      </c>
      <c r="E37" s="138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86">
        <f t="shared" ca="1" si="6"/>
        <v>0.5091547432271355</v>
      </c>
      <c r="AC37" s="98">
        <v>35</v>
      </c>
      <c r="AD37" s="98">
        <v>35</v>
      </c>
      <c r="AE37" s="98">
        <f t="shared" ca="1" si="11"/>
        <v>388</v>
      </c>
      <c r="AF37" s="120">
        <f t="shared" ca="1" si="12"/>
        <v>8.0936793846909065</v>
      </c>
      <c r="AG37" s="86">
        <f t="shared" ca="1" si="13"/>
        <v>3140</v>
      </c>
      <c r="AH37" s="86"/>
      <c r="AI37" s="87"/>
      <c r="AJ37" s="86"/>
      <c r="AK37" s="86"/>
    </row>
    <row r="38" spans="1:37" ht="16.5" x14ac:dyDescent="0.3">
      <c r="A38" s="9">
        <v>36</v>
      </c>
      <c r="B38" s="110">
        <f t="shared" ca="1" si="15"/>
        <v>2550</v>
      </c>
      <c r="C38" s="111">
        <f t="shared" ca="1" si="7"/>
        <v>4052</v>
      </c>
      <c r="D38" s="112">
        <f t="shared" ca="1" si="8"/>
        <v>3318</v>
      </c>
      <c r="E38" s="138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86">
        <f t="shared" ca="1" si="6"/>
        <v>0.82381586141832286</v>
      </c>
      <c r="AC38" s="98">
        <v>39</v>
      </c>
      <c r="AD38" s="98">
        <v>36</v>
      </c>
      <c r="AE38" s="98">
        <f t="shared" ca="1" si="11"/>
        <v>396</v>
      </c>
      <c r="AF38" s="120">
        <f t="shared" ca="1" si="12"/>
        <v>8.3789789715938277</v>
      </c>
      <c r="AG38" s="86">
        <f t="shared" ca="1" si="13"/>
        <v>3318</v>
      </c>
      <c r="AH38" s="86"/>
      <c r="AI38" s="87"/>
      <c r="AJ38" s="86"/>
      <c r="AK38" s="86"/>
    </row>
    <row r="39" spans="1:37" ht="16.5" x14ac:dyDescent="0.3">
      <c r="A39" s="9">
        <v>37</v>
      </c>
      <c r="B39" s="110">
        <f t="shared" ca="1" si="15"/>
        <v>3819</v>
      </c>
      <c r="C39" s="111">
        <f t="shared" ca="1" si="7"/>
        <v>3819</v>
      </c>
      <c r="D39" s="112">
        <f t="shared" ca="1" si="8"/>
        <v>3819</v>
      </c>
      <c r="E39" s="138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86">
        <f t="shared" ca="1" si="6"/>
        <v>0.47108930213266731</v>
      </c>
      <c r="AC39" s="98">
        <v>36</v>
      </c>
      <c r="AD39" s="98">
        <v>37</v>
      </c>
      <c r="AE39" s="98">
        <f t="shared" ca="1" si="11"/>
        <v>404</v>
      </c>
      <c r="AF39" s="120">
        <f t="shared" ca="1" si="12"/>
        <v>9.4517871608046491</v>
      </c>
      <c r="AG39" s="86">
        <f t="shared" ca="1" si="13"/>
        <v>3819</v>
      </c>
      <c r="AH39" s="86"/>
      <c r="AI39" s="87"/>
      <c r="AJ39" s="86"/>
      <c r="AK39" s="86"/>
    </row>
    <row r="40" spans="1:37" ht="16.5" x14ac:dyDescent="0.3">
      <c r="A40" s="9">
        <v>38</v>
      </c>
      <c r="B40" s="110">
        <f t="shared" ca="1" si="15"/>
        <v>1562</v>
      </c>
      <c r="C40" s="111">
        <f t="shared" ca="1" si="7"/>
        <v>3882</v>
      </c>
      <c r="D40" s="112">
        <f t="shared" ca="1" si="8"/>
        <v>4792</v>
      </c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86">
        <f t="shared" ca="1" si="6"/>
        <v>0.90675147580983884</v>
      </c>
      <c r="AC40" s="98">
        <v>37</v>
      </c>
      <c r="AD40" s="98">
        <v>38</v>
      </c>
      <c r="AE40" s="98">
        <f t="shared" ca="1" si="11"/>
        <v>412</v>
      </c>
      <c r="AF40" s="120">
        <f t="shared" ca="1" si="12"/>
        <v>11.632060540833614</v>
      </c>
      <c r="AG40" s="86">
        <f t="shared" ca="1" si="13"/>
        <v>4792</v>
      </c>
      <c r="AH40" s="86"/>
      <c r="AI40" s="87"/>
      <c r="AJ40" s="86"/>
      <c r="AK40" s="86"/>
    </row>
    <row r="41" spans="1:37" ht="16.5" x14ac:dyDescent="0.3">
      <c r="A41" s="9">
        <v>39</v>
      </c>
      <c r="B41" s="110">
        <f t="shared" ca="1" si="15"/>
        <v>4500</v>
      </c>
      <c r="C41" s="111">
        <f t="shared" ca="1" si="7"/>
        <v>3980</v>
      </c>
      <c r="D41" s="112">
        <f t="shared" ca="1" si="8"/>
        <v>4500</v>
      </c>
      <c r="E41" s="138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86">
        <f t="shared" ca="1" si="6"/>
        <v>0.44850080396161929</v>
      </c>
      <c r="AC41" s="98">
        <v>38</v>
      </c>
      <c r="AD41" s="98">
        <v>39</v>
      </c>
      <c r="AE41" s="98">
        <f t="shared" ca="1" si="11"/>
        <v>420</v>
      </c>
      <c r="AF41" s="120">
        <f t="shared" ca="1" si="12"/>
        <v>10.713603843541822</v>
      </c>
      <c r="AG41" s="86">
        <f t="shared" ca="1" si="13"/>
        <v>4500</v>
      </c>
      <c r="AH41" s="86"/>
      <c r="AI41" s="87"/>
      <c r="AJ41" s="86"/>
      <c r="AK41" s="86"/>
    </row>
    <row r="42" spans="1:37" ht="16.5" x14ac:dyDescent="0.3">
      <c r="A42" s="9">
        <v>40</v>
      </c>
      <c r="B42" s="110">
        <f t="shared" ca="1" si="15"/>
        <v>5566</v>
      </c>
      <c r="C42" s="111">
        <f t="shared" ca="1" si="7"/>
        <v>4190</v>
      </c>
      <c r="D42" s="112">
        <f t="shared" ca="1" si="8"/>
        <v>3446</v>
      </c>
      <c r="E42" s="138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86">
        <f t="shared" ca="1" si="6"/>
        <v>4.0913222176118258E-2</v>
      </c>
      <c r="AC42" s="98">
        <v>41</v>
      </c>
      <c r="AD42" s="98">
        <v>40</v>
      </c>
      <c r="AE42" s="98">
        <f t="shared" ca="1" si="11"/>
        <v>428</v>
      </c>
      <c r="AF42" s="120">
        <f t="shared" ca="1" si="12"/>
        <v>8.0503150867749333</v>
      </c>
      <c r="AG42" s="86">
        <f t="shared" ca="1" si="13"/>
        <v>3446</v>
      </c>
      <c r="AH42" s="86"/>
      <c r="AI42" s="87"/>
      <c r="AJ42" s="86"/>
      <c r="AK42" s="86"/>
    </row>
    <row r="43" spans="1:37" ht="16.5" x14ac:dyDescent="0.3">
      <c r="A43" s="9">
        <v>41</v>
      </c>
      <c r="B43" s="110">
        <f t="shared" ca="1" si="15"/>
        <v>2770</v>
      </c>
      <c r="C43" s="111">
        <f t="shared" ca="1" si="7"/>
        <v>4055</v>
      </c>
      <c r="D43" s="112">
        <f t="shared" ca="1" si="8"/>
        <v>3579</v>
      </c>
      <c r="E43" s="138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86">
        <f t="shared" ca="1" si="6"/>
        <v>0.6335274020260605</v>
      </c>
      <c r="AC43" s="98">
        <v>40</v>
      </c>
      <c r="AD43" s="98">
        <v>41</v>
      </c>
      <c r="AE43" s="98">
        <f t="shared" ca="1" si="11"/>
        <v>436</v>
      </c>
      <c r="AF43" s="120">
        <f t="shared" ca="1" si="12"/>
        <v>8.2090168333438509</v>
      </c>
      <c r="AG43" s="86">
        <f t="shared" ca="1" si="13"/>
        <v>3579</v>
      </c>
      <c r="AH43" s="86"/>
      <c r="AI43" s="87"/>
      <c r="AJ43" s="86"/>
      <c r="AK43" s="86"/>
    </row>
    <row r="44" spans="1:37" ht="16.5" x14ac:dyDescent="0.3">
      <c r="A44" s="9">
        <v>42</v>
      </c>
      <c r="B44" s="110">
        <f t="shared" ca="1" si="15"/>
        <v>1693</v>
      </c>
      <c r="C44" s="111">
        <f t="shared" ca="1" si="7"/>
        <v>4559</v>
      </c>
      <c r="D44" s="112">
        <f t="shared" ca="1" si="8"/>
        <v>4351</v>
      </c>
      <c r="E44" s="138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86">
        <f t="shared" ca="1" si="6"/>
        <v>0.90242211711969644</v>
      </c>
      <c r="AC44" s="98">
        <v>46</v>
      </c>
      <c r="AD44" s="98">
        <v>42</v>
      </c>
      <c r="AE44" s="98">
        <f t="shared" ca="1" si="11"/>
        <v>444</v>
      </c>
      <c r="AF44" s="120">
        <f t="shared" ca="1" si="12"/>
        <v>9.7990026441829183</v>
      </c>
      <c r="AG44" s="86">
        <f t="shared" ca="1" si="13"/>
        <v>4351</v>
      </c>
      <c r="AH44" s="86"/>
      <c r="AI44" s="87"/>
      <c r="AJ44" s="86"/>
      <c r="AK44" s="86"/>
    </row>
    <row r="45" spans="1:37" ht="16.5" x14ac:dyDescent="0.3">
      <c r="A45" s="9">
        <v>43</v>
      </c>
      <c r="B45" s="110">
        <f t="shared" ca="1" si="15"/>
        <v>2641</v>
      </c>
      <c r="C45" s="111">
        <f t="shared" ca="1" si="7"/>
        <v>4500</v>
      </c>
      <c r="D45" s="112">
        <f t="shared" ca="1" si="8"/>
        <v>5420</v>
      </c>
      <c r="E45" s="138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86">
        <f t="shared" ca="1" si="6"/>
        <v>0.5872348629812012</v>
      </c>
      <c r="AC45" s="98">
        <v>44</v>
      </c>
      <c r="AD45" s="98">
        <v>43</v>
      </c>
      <c r="AE45" s="98">
        <f t="shared" ca="1" si="11"/>
        <v>452</v>
      </c>
      <c r="AF45" s="120">
        <f t="shared" ca="1" si="12"/>
        <v>11.990750020985598</v>
      </c>
      <c r="AG45" s="86">
        <f t="shared" ca="1" si="13"/>
        <v>5420</v>
      </c>
      <c r="AH45" s="86"/>
      <c r="AI45" s="87"/>
      <c r="AJ45" s="86"/>
      <c r="AK45" s="86"/>
    </row>
    <row r="46" spans="1:37" ht="16.5" x14ac:dyDescent="0.3">
      <c r="A46" s="9">
        <v>44</v>
      </c>
      <c r="B46" s="110">
        <f t="shared" ca="1" si="15"/>
        <v>5568</v>
      </c>
      <c r="C46" s="111">
        <f t="shared" ca="1" si="7"/>
        <v>4523</v>
      </c>
      <c r="D46" s="112">
        <f t="shared" ca="1" si="8"/>
        <v>4190</v>
      </c>
      <c r="E46" s="138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86">
        <f t="shared" ca="1" si="6"/>
        <v>0.13123848487584822</v>
      </c>
      <c r="AC46" s="95">
        <v>45</v>
      </c>
      <c r="AD46" s="98">
        <v>44</v>
      </c>
      <c r="AE46" s="98">
        <f t="shared" ca="1" si="11"/>
        <v>460</v>
      </c>
      <c r="AF46" s="120">
        <f t="shared" ca="1" si="12"/>
        <v>9.1092549025278231</v>
      </c>
      <c r="AG46" s="86">
        <f t="shared" ca="1" si="13"/>
        <v>4190</v>
      </c>
      <c r="AH46" s="86"/>
      <c r="AI46" s="87"/>
      <c r="AJ46" s="86"/>
      <c r="AK46" s="86"/>
    </row>
    <row r="47" spans="1:37" ht="16.5" x14ac:dyDescent="0.3">
      <c r="A47" s="9">
        <v>45</v>
      </c>
      <c r="B47" s="110">
        <f t="shared" ca="1" si="15"/>
        <v>4559</v>
      </c>
      <c r="C47" s="111">
        <f t="shared" ca="1" si="7"/>
        <v>4600</v>
      </c>
      <c r="D47" s="112">
        <f t="shared" ca="1" si="8"/>
        <v>3882</v>
      </c>
      <c r="E47" s="138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86">
        <f t="shared" ca="1" si="6"/>
        <v>0.26773075631701748</v>
      </c>
      <c r="AC47" s="98">
        <v>47</v>
      </c>
      <c r="AD47" s="98">
        <v>45</v>
      </c>
      <c r="AE47" s="98">
        <f t="shared" ca="1" si="11"/>
        <v>468</v>
      </c>
      <c r="AF47" s="120">
        <f t="shared" ca="1" si="12"/>
        <v>8.2943305164917369</v>
      </c>
      <c r="AG47" s="86">
        <f t="shared" ca="1" si="13"/>
        <v>3882</v>
      </c>
      <c r="AH47" s="86"/>
      <c r="AI47" s="87"/>
      <c r="AJ47" s="86"/>
      <c r="AK47" s="86"/>
    </row>
    <row r="48" spans="1:37" ht="16.5" x14ac:dyDescent="0.3">
      <c r="A48" s="9">
        <v>46</v>
      </c>
      <c r="B48" s="110">
        <f t="shared" ca="1" si="15"/>
        <v>7199</v>
      </c>
      <c r="C48" s="111">
        <f t="shared" ca="1" si="7"/>
        <v>4617</v>
      </c>
      <c r="D48" s="112">
        <f t="shared" ca="1" si="8"/>
        <v>4052</v>
      </c>
      <c r="E48" s="138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86">
        <f t="shared" ca="1" si="6"/>
        <v>8.14541006500068E-2</v>
      </c>
      <c r="AC48" s="98">
        <v>48</v>
      </c>
      <c r="AD48" s="98">
        <v>46</v>
      </c>
      <c r="AE48" s="98">
        <f t="shared" ca="1" si="11"/>
        <v>476</v>
      </c>
      <c r="AF48" s="120">
        <f t="shared" ca="1" si="12"/>
        <v>8.5119331973703343</v>
      </c>
      <c r="AG48" s="86">
        <f t="shared" ca="1" si="13"/>
        <v>4052</v>
      </c>
      <c r="AH48" s="86"/>
      <c r="AI48" s="87"/>
      <c r="AJ48" s="86"/>
      <c r="AK48" s="86"/>
    </row>
    <row r="49" spans="1:37" ht="16.5" x14ac:dyDescent="0.3">
      <c r="A49" s="9">
        <v>47</v>
      </c>
      <c r="B49" s="110">
        <f t="shared" ca="1" si="15"/>
        <v>4055</v>
      </c>
      <c r="C49" s="111">
        <f t="shared" ca="1" si="7"/>
        <v>4351</v>
      </c>
      <c r="D49" s="112">
        <f t="shared" ca="1" si="8"/>
        <v>5294</v>
      </c>
      <c r="E49" s="138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86">
        <f t="shared" ca="1" si="6"/>
        <v>0.48823933302642353</v>
      </c>
      <c r="AC49" s="98">
        <v>42</v>
      </c>
      <c r="AD49" s="98">
        <v>47</v>
      </c>
      <c r="AE49" s="98">
        <f t="shared" ca="1" si="11"/>
        <v>484</v>
      </c>
      <c r="AF49" s="120">
        <f t="shared" ca="1" si="12"/>
        <v>10.938299247678248</v>
      </c>
      <c r="AG49" s="86">
        <f t="shared" ca="1" si="13"/>
        <v>5294</v>
      </c>
      <c r="AH49" s="86"/>
      <c r="AI49" s="87"/>
      <c r="AJ49" s="86"/>
      <c r="AK49" s="86"/>
    </row>
    <row r="50" spans="1:37" ht="16.5" x14ac:dyDescent="0.3">
      <c r="A50" s="9">
        <v>48</v>
      </c>
      <c r="B50" s="110">
        <f t="shared" ca="1" si="15"/>
        <v>2352</v>
      </c>
      <c r="C50" s="111">
        <f t="shared" ca="1" si="7"/>
        <v>4444</v>
      </c>
      <c r="D50" s="112">
        <f t="shared" ca="1" si="8"/>
        <v>6070</v>
      </c>
      <c r="E50" s="138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86">
        <f t="shared" ca="1" si="6"/>
        <v>0.71749791394956552</v>
      </c>
      <c r="AC50" s="98">
        <v>43</v>
      </c>
      <c r="AD50" s="98">
        <v>48</v>
      </c>
      <c r="AE50" s="98">
        <f t="shared" ca="1" si="11"/>
        <v>492</v>
      </c>
      <c r="AF50" s="120">
        <f t="shared" ca="1" si="12"/>
        <v>12.337655902607981</v>
      </c>
      <c r="AG50" s="86">
        <f t="shared" ca="1" si="13"/>
        <v>6070</v>
      </c>
      <c r="AH50" s="86"/>
      <c r="AI50" s="87"/>
      <c r="AJ50" s="86"/>
      <c r="AK50" s="86"/>
    </row>
    <row r="51" spans="1:37" ht="16.5" x14ac:dyDescent="0.3">
      <c r="A51" s="9">
        <v>49</v>
      </c>
      <c r="B51" s="110">
        <f t="shared" ca="1" si="15"/>
        <v>5294</v>
      </c>
      <c r="C51" s="111">
        <f t="shared" ca="1" si="7"/>
        <v>4792</v>
      </c>
      <c r="D51" s="112">
        <f t="shared" ca="1" si="8"/>
        <v>4983</v>
      </c>
      <c r="E51" s="138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86">
        <f t="shared" ca="1" si="6"/>
        <v>0.30910030622631046</v>
      </c>
      <c r="AC51" s="98">
        <v>50</v>
      </c>
      <c r="AD51" s="98">
        <v>49</v>
      </c>
      <c r="AE51" s="98">
        <f t="shared" ca="1" si="11"/>
        <v>500</v>
      </c>
      <c r="AF51" s="120">
        <f t="shared" ca="1" si="12"/>
        <v>9.9653364631880539</v>
      </c>
      <c r="AG51" s="86">
        <f t="shared" ca="1" si="13"/>
        <v>4983</v>
      </c>
      <c r="AH51" s="86"/>
      <c r="AI51" s="87"/>
      <c r="AJ51" s="86"/>
      <c r="AK51" s="86"/>
    </row>
    <row r="52" spans="1:37" ht="16.5" x14ac:dyDescent="0.3">
      <c r="A52" s="9">
        <v>50</v>
      </c>
      <c r="B52" s="110">
        <f t="shared" ca="1" si="15"/>
        <v>4983</v>
      </c>
      <c r="C52" s="111">
        <f t="shared" ca="1" si="7"/>
        <v>4792</v>
      </c>
      <c r="D52" s="112">
        <f t="shared" ca="1" si="8"/>
        <v>4559</v>
      </c>
      <c r="E52" s="138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86">
        <f t="shared" ca="1" si="6"/>
        <v>0.28745336643330166</v>
      </c>
      <c r="AC52" s="98">
        <v>49</v>
      </c>
      <c r="AD52" s="98">
        <v>50</v>
      </c>
      <c r="AE52" s="98">
        <f t="shared" ca="1" si="11"/>
        <v>508</v>
      </c>
      <c r="AF52" s="120">
        <f t="shared" ca="1" si="12"/>
        <v>8.9743626342332021</v>
      </c>
      <c r="AG52" s="86">
        <f t="shared" ca="1" si="13"/>
        <v>4559</v>
      </c>
      <c r="AH52" s="86"/>
      <c r="AI52" s="87"/>
      <c r="AJ52" s="86"/>
      <c r="AK52" s="86"/>
    </row>
    <row r="53" spans="1:37" ht="16.5" x14ac:dyDescent="0.3">
      <c r="A53" s="9">
        <v>51</v>
      </c>
      <c r="B53" s="110">
        <f t="shared" ca="1" si="15"/>
        <v>3352</v>
      </c>
      <c r="C53" s="111">
        <f t="shared" ca="1" si="7"/>
        <v>4954</v>
      </c>
      <c r="D53" s="112">
        <f t="shared" ca="1" si="8"/>
        <v>4523</v>
      </c>
      <c r="E53" s="138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86">
        <f t="shared" ca="1" si="6"/>
        <v>0.65281060325274609</v>
      </c>
      <c r="AC53" s="98">
        <v>51</v>
      </c>
      <c r="AD53" s="98">
        <v>51</v>
      </c>
      <c r="AE53" s="98">
        <f t="shared" ca="1" si="11"/>
        <v>516</v>
      </c>
      <c r="AF53" s="120">
        <f t="shared" ca="1" si="12"/>
        <v>8.7663788780440228</v>
      </c>
      <c r="AG53" s="86">
        <f t="shared" ca="1" si="13"/>
        <v>4523</v>
      </c>
      <c r="AH53" s="86"/>
      <c r="AI53" s="87"/>
      <c r="AJ53" s="86"/>
      <c r="AK53" s="86"/>
    </row>
    <row r="54" spans="1:37" ht="16.5" x14ac:dyDescent="0.3">
      <c r="A54" s="9">
        <v>52</v>
      </c>
      <c r="B54" s="110">
        <f t="shared" ca="1" si="15"/>
        <v>8716</v>
      </c>
      <c r="C54" s="111">
        <f t="shared" ca="1" si="7"/>
        <v>5294</v>
      </c>
      <c r="D54" s="112">
        <f t="shared" ca="1" si="8"/>
        <v>5356</v>
      </c>
      <c r="E54" s="138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86">
        <f t="shared" ca="1" si="6"/>
        <v>3.0488596197729145E-2</v>
      </c>
      <c r="AC54" s="98">
        <v>54</v>
      </c>
      <c r="AD54" s="98">
        <v>52</v>
      </c>
      <c r="AE54" s="98">
        <f t="shared" ca="1" si="11"/>
        <v>524</v>
      </c>
      <c r="AF54" s="120">
        <f t="shared" ca="1" si="12"/>
        <v>10.222328237028593</v>
      </c>
      <c r="AG54" s="86">
        <f t="shared" ca="1" si="13"/>
        <v>5356</v>
      </c>
      <c r="AH54" s="86"/>
      <c r="AI54" s="87"/>
      <c r="AJ54" s="86"/>
      <c r="AK54" s="86"/>
    </row>
    <row r="55" spans="1:37" ht="16.5" x14ac:dyDescent="0.3">
      <c r="A55" s="9">
        <v>53</v>
      </c>
      <c r="B55" s="110">
        <f t="shared" ca="1" si="15"/>
        <v>5668</v>
      </c>
      <c r="C55" s="111">
        <f t="shared" ca="1" si="7"/>
        <v>5016</v>
      </c>
      <c r="D55" s="112">
        <f t="shared" ca="1" si="8"/>
        <v>6262</v>
      </c>
      <c r="E55" s="138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86">
        <f t="shared" ca="1" si="6"/>
        <v>0.16917842975623965</v>
      </c>
      <c r="AC55" s="98">
        <v>53</v>
      </c>
      <c r="AD55" s="98">
        <v>53</v>
      </c>
      <c r="AE55" s="98">
        <f t="shared" ca="1" si="11"/>
        <v>532</v>
      </c>
      <c r="AF55" s="120">
        <f t="shared" ca="1" si="12"/>
        <v>11.770486377992599</v>
      </c>
      <c r="AG55" s="86">
        <f t="shared" ca="1" si="13"/>
        <v>6262</v>
      </c>
      <c r="AH55" s="86"/>
      <c r="AI55" s="86"/>
      <c r="AJ55" s="86"/>
      <c r="AK55" s="86"/>
    </row>
    <row r="56" spans="1:37" ht="16.5" x14ac:dyDescent="0.3">
      <c r="A56" s="9">
        <v>54</v>
      </c>
      <c r="B56" s="110">
        <f t="shared" ca="1" si="15"/>
        <v>3446</v>
      </c>
      <c r="C56" s="111">
        <f t="shared" ca="1" si="7"/>
        <v>4983</v>
      </c>
      <c r="D56" s="112">
        <f t="shared" ca="1" si="8"/>
        <v>5016</v>
      </c>
      <c r="E56" s="138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86">
        <f t="shared" ca="1" si="6"/>
        <v>0.43640299091750512</v>
      </c>
      <c r="AC56" s="98">
        <v>52</v>
      </c>
      <c r="AD56" s="98">
        <v>54</v>
      </c>
      <c r="AE56" s="98">
        <f t="shared" ca="1" si="11"/>
        <v>540</v>
      </c>
      <c r="AF56" s="120">
        <f t="shared" ca="1" si="12"/>
        <v>9.2889262655064933</v>
      </c>
      <c r="AG56" s="86">
        <f t="shared" ca="1" si="13"/>
        <v>5016</v>
      </c>
      <c r="AH56" s="86"/>
      <c r="AI56" s="86"/>
      <c r="AJ56" s="86"/>
      <c r="AK56" s="86"/>
    </row>
    <row r="57" spans="1:37" ht="16.5" x14ac:dyDescent="0.3">
      <c r="A57" s="9">
        <v>55</v>
      </c>
      <c r="B57" s="110">
        <f t="shared" ca="1" si="15"/>
        <v>3140</v>
      </c>
      <c r="C57" s="111">
        <f t="shared" ca="1" si="7"/>
        <v>5312</v>
      </c>
      <c r="D57" s="112">
        <f t="shared" ca="1" si="8"/>
        <v>4444</v>
      </c>
      <c r="E57" s="138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86">
        <f t="shared" ca="1" si="6"/>
        <v>0.4800617761460122</v>
      </c>
      <c r="AC57" s="98">
        <v>55</v>
      </c>
      <c r="AD57" s="98">
        <v>55</v>
      </c>
      <c r="AE57" s="98">
        <f t="shared" ca="1" si="11"/>
        <v>548</v>
      </c>
      <c r="AF57" s="120">
        <f t="shared" ca="1" si="12"/>
        <v>8.1095411683806464</v>
      </c>
      <c r="AG57" s="86">
        <f t="shared" ca="1" si="13"/>
        <v>4444</v>
      </c>
      <c r="AH57" s="86"/>
      <c r="AI57" s="86"/>
      <c r="AJ57" s="86"/>
      <c r="AK57" s="86"/>
    </row>
    <row r="58" spans="1:37" ht="16.5" x14ac:dyDescent="0.3">
      <c r="A58" s="9">
        <v>56</v>
      </c>
      <c r="B58" s="110">
        <f t="shared" ca="1" si="15"/>
        <v>7087</v>
      </c>
      <c r="C58" s="111">
        <f t="shared" ca="1" si="7"/>
        <v>5356</v>
      </c>
      <c r="D58" s="112">
        <f t="shared" ca="1" si="8"/>
        <v>4600</v>
      </c>
      <c r="E58" s="113"/>
      <c r="AB58" s="86">
        <f t="shared" ca="1" si="6"/>
        <v>0.19289629832344957</v>
      </c>
      <c r="AC58" s="98">
        <v>56</v>
      </c>
      <c r="AD58" s="98">
        <v>56</v>
      </c>
      <c r="AE58" s="98">
        <f t="shared" ca="1" si="11"/>
        <v>556</v>
      </c>
      <c r="AF58" s="120">
        <f t="shared" ca="1" si="12"/>
        <v>8.2727702445358222</v>
      </c>
      <c r="AG58" s="86">
        <f t="shared" ca="1" si="13"/>
        <v>4600</v>
      </c>
      <c r="AH58" s="86"/>
      <c r="AI58" s="86"/>
      <c r="AJ58" s="86"/>
      <c r="AK58" s="86"/>
    </row>
    <row r="59" spans="1:37" ht="16.5" x14ac:dyDescent="0.3">
      <c r="A59" s="9">
        <v>57</v>
      </c>
      <c r="B59" s="110">
        <f t="shared" ca="1" si="15"/>
        <v>1928</v>
      </c>
      <c r="C59" s="111">
        <f t="shared" ca="1" si="7"/>
        <v>5455</v>
      </c>
      <c r="D59" s="112">
        <f t="shared" ca="1" si="8"/>
        <v>5881</v>
      </c>
      <c r="E59" s="113"/>
      <c r="AB59" s="86">
        <f t="shared" ca="1" si="6"/>
        <v>0.78775323102148853</v>
      </c>
      <c r="AC59" s="98">
        <v>58</v>
      </c>
      <c r="AD59" s="98">
        <v>57</v>
      </c>
      <c r="AE59" s="98">
        <f t="shared" ca="1" si="11"/>
        <v>564</v>
      </c>
      <c r="AF59" s="120">
        <f t="shared" ca="1" si="12"/>
        <v>10.427018070033261</v>
      </c>
      <c r="AG59" s="86">
        <f t="shared" ca="1" si="13"/>
        <v>5881</v>
      </c>
      <c r="AH59" s="86"/>
      <c r="AI59" s="86"/>
      <c r="AJ59" s="86"/>
      <c r="AK59" s="86"/>
    </row>
    <row r="60" spans="1:37" ht="16.5" x14ac:dyDescent="0.3">
      <c r="A60" s="9">
        <v>58</v>
      </c>
      <c r="B60" s="110">
        <f t="shared" ca="1" si="15"/>
        <v>3318</v>
      </c>
      <c r="C60" s="111">
        <f t="shared" ca="1" si="7"/>
        <v>5668</v>
      </c>
      <c r="D60" s="112">
        <f t="shared" ca="1" si="8"/>
        <v>7087</v>
      </c>
      <c r="E60" s="113"/>
      <c r="AB60" s="86">
        <f t="shared" ca="1" si="6"/>
        <v>0.47681977762480943</v>
      </c>
      <c r="AC60" s="98">
        <v>62</v>
      </c>
      <c r="AD60" s="98">
        <v>58</v>
      </c>
      <c r="AE60" s="98">
        <f t="shared" ca="1" si="11"/>
        <v>572</v>
      </c>
      <c r="AF60" s="120">
        <f t="shared" ca="1" si="12"/>
        <v>12.389065125173181</v>
      </c>
      <c r="AG60" s="86">
        <f t="shared" ca="1" si="13"/>
        <v>7087</v>
      </c>
      <c r="AH60" s="86"/>
      <c r="AI60" s="86"/>
      <c r="AJ60" s="86"/>
      <c r="AK60" s="86"/>
    </row>
    <row r="61" spans="1:37" ht="16.5" x14ac:dyDescent="0.3">
      <c r="A61" s="9">
        <v>59</v>
      </c>
      <c r="B61" s="110">
        <f t="shared" ca="1" si="15"/>
        <v>5651</v>
      </c>
      <c r="C61" s="111">
        <f t="shared" ca="1" si="7"/>
        <v>5420</v>
      </c>
      <c r="D61" s="112">
        <f t="shared" ca="1" si="8"/>
        <v>5668</v>
      </c>
      <c r="E61" s="113"/>
      <c r="AB61" s="86">
        <f t="shared" ca="1" si="6"/>
        <v>0.12882374245426176</v>
      </c>
      <c r="AC61" s="98">
        <v>57</v>
      </c>
      <c r="AD61" s="98">
        <v>59</v>
      </c>
      <c r="AE61" s="98">
        <f t="shared" ca="1" si="11"/>
        <v>580</v>
      </c>
      <c r="AF61" s="120">
        <f t="shared" ca="1" si="12"/>
        <v>9.7729023324511459</v>
      </c>
      <c r="AG61" s="86">
        <f t="shared" ca="1" si="13"/>
        <v>5668</v>
      </c>
      <c r="AH61" s="86"/>
      <c r="AI61" s="86"/>
      <c r="AJ61" s="86"/>
      <c r="AK61" s="86"/>
    </row>
    <row r="62" spans="1:37" ht="16.5" x14ac:dyDescent="0.3">
      <c r="A62" s="9">
        <v>60</v>
      </c>
      <c r="B62" s="110">
        <f t="shared" ca="1" si="15"/>
        <v>1423</v>
      </c>
      <c r="C62" s="111">
        <f t="shared" ca="1" si="7"/>
        <v>5566</v>
      </c>
      <c r="D62" s="112">
        <f t="shared" ca="1" si="8"/>
        <v>4792</v>
      </c>
      <c r="E62" s="113"/>
      <c r="AB62" s="86">
        <f t="shared" ca="1" si="6"/>
        <v>0.96643694425857063</v>
      </c>
      <c r="AC62" s="98">
        <v>59</v>
      </c>
      <c r="AD62" s="98">
        <v>60</v>
      </c>
      <c r="AE62" s="98">
        <f t="shared" ca="1" si="11"/>
        <v>588</v>
      </c>
      <c r="AF62" s="120">
        <f t="shared" ca="1" si="12"/>
        <v>8.1495259968582161</v>
      </c>
      <c r="AG62" s="86">
        <f t="shared" ca="1" si="13"/>
        <v>4792</v>
      </c>
      <c r="AH62" s="86"/>
      <c r="AI62" s="86"/>
      <c r="AJ62" s="86"/>
      <c r="AK62" s="86"/>
    </row>
    <row r="63" spans="1:37" ht="16.5" x14ac:dyDescent="0.3">
      <c r="A63" s="9">
        <v>61</v>
      </c>
      <c r="B63" s="110">
        <f t="shared" ca="1" si="15"/>
        <v>7623</v>
      </c>
      <c r="C63" s="111">
        <f t="shared" ca="1" si="7"/>
        <v>5568</v>
      </c>
      <c r="D63" s="112">
        <f t="shared" ca="1" si="8"/>
        <v>4954</v>
      </c>
      <c r="E63" s="113"/>
      <c r="AB63" s="86">
        <f t="shared" ca="1" si="6"/>
        <v>8.657837319088435E-2</v>
      </c>
      <c r="AC63" s="98">
        <v>60</v>
      </c>
      <c r="AD63" s="98">
        <v>61</v>
      </c>
      <c r="AE63" s="98">
        <f t="shared" ca="1" si="11"/>
        <v>596</v>
      </c>
      <c r="AF63" s="120">
        <f t="shared" ca="1" si="12"/>
        <v>8.3118998813415814</v>
      </c>
      <c r="AG63" s="86">
        <f t="shared" ca="1" si="13"/>
        <v>4954</v>
      </c>
      <c r="AH63" s="86"/>
      <c r="AI63" s="86"/>
      <c r="AJ63" s="86"/>
      <c r="AK63" s="86"/>
    </row>
    <row r="64" spans="1:37" ht="16.5" x14ac:dyDescent="0.3">
      <c r="A64" s="9">
        <v>62</v>
      </c>
      <c r="B64" s="110">
        <f t="shared" ca="1" si="15"/>
        <v>3579</v>
      </c>
      <c r="C64" s="111">
        <f t="shared" ca="1" si="7"/>
        <v>5651</v>
      </c>
      <c r="D64" s="112">
        <f t="shared" ca="1" si="8"/>
        <v>5568</v>
      </c>
      <c r="E64" s="113"/>
      <c r="AB64" s="86">
        <f t="shared" ca="1" si="6"/>
        <v>0.40031511390322994</v>
      </c>
      <c r="AC64" s="98">
        <v>61</v>
      </c>
      <c r="AD64" s="98">
        <v>62</v>
      </c>
      <c r="AE64" s="98">
        <f t="shared" ca="1" si="11"/>
        <v>604</v>
      </c>
      <c r="AF64" s="120">
        <f t="shared" ca="1" si="12"/>
        <v>9.218796944212702</v>
      </c>
      <c r="AG64" s="86">
        <f t="shared" ca="1" si="13"/>
        <v>5568</v>
      </c>
      <c r="AH64" s="86"/>
      <c r="AI64" s="86"/>
      <c r="AJ64" s="86"/>
      <c r="AK64" s="86"/>
    </row>
    <row r="65" spans="1:38" ht="16.5" x14ac:dyDescent="0.3">
      <c r="A65" s="9">
        <v>63</v>
      </c>
      <c r="B65" s="110">
        <f t="shared" ca="1" si="15"/>
        <v>6262</v>
      </c>
      <c r="C65" s="111">
        <f t="shared" ca="1" si="7"/>
        <v>5881</v>
      </c>
      <c r="D65" s="112">
        <f t="shared" ca="1" si="8"/>
        <v>6688</v>
      </c>
      <c r="E65" s="113"/>
      <c r="AB65" s="86">
        <f t="shared" ca="1" si="6"/>
        <v>0.22991000027574671</v>
      </c>
      <c r="AC65" s="98">
        <v>64</v>
      </c>
      <c r="AD65" s="98">
        <v>63</v>
      </c>
      <c r="AE65" s="98">
        <f t="shared" ca="1" si="11"/>
        <v>612</v>
      </c>
      <c r="AF65" s="120">
        <f t="shared" ca="1" si="12"/>
        <v>10.928624560166593</v>
      </c>
      <c r="AG65" s="86">
        <f t="shared" ca="1" si="13"/>
        <v>6688</v>
      </c>
      <c r="AH65" s="86"/>
      <c r="AI65" s="86"/>
      <c r="AJ65" s="86"/>
      <c r="AK65" s="86"/>
    </row>
    <row r="66" spans="1:38" ht="16.5" x14ac:dyDescent="0.3">
      <c r="A66" s="9">
        <v>64</v>
      </c>
      <c r="B66" s="110">
        <f t="shared" ca="1" si="15"/>
        <v>6569</v>
      </c>
      <c r="C66" s="111">
        <f t="shared" ca="1" si="7"/>
        <v>5799</v>
      </c>
      <c r="D66" s="112">
        <f t="shared" ca="1" si="8"/>
        <v>5651</v>
      </c>
      <c r="E66" s="113"/>
      <c r="AB66" s="86">
        <f t="shared" ca="1" si="6"/>
        <v>0.10255085824023991</v>
      </c>
      <c r="AC66" s="98">
        <v>63</v>
      </c>
      <c r="AD66" s="98">
        <v>64</v>
      </c>
      <c r="AE66" s="98">
        <f t="shared" ca="1" si="11"/>
        <v>620</v>
      </c>
      <c r="AF66" s="120">
        <f t="shared" ca="1" si="12"/>
        <v>9.1143008722905385</v>
      </c>
      <c r="AG66" s="86">
        <f t="shared" ca="1" si="13"/>
        <v>5651</v>
      </c>
      <c r="AH66" s="86"/>
      <c r="AI66" s="86"/>
      <c r="AJ66" s="86"/>
      <c r="AK66" s="86"/>
    </row>
    <row r="67" spans="1:38" ht="16.5" x14ac:dyDescent="0.3">
      <c r="A67" s="9">
        <v>65</v>
      </c>
      <c r="B67" s="110">
        <f t="shared" ca="1" si="15"/>
        <v>1013</v>
      </c>
      <c r="C67" s="111">
        <f t="shared" ca="1" si="7"/>
        <v>6523</v>
      </c>
      <c r="D67" s="112">
        <f t="shared" ca="1" si="8"/>
        <v>5312</v>
      </c>
      <c r="E67" s="113"/>
      <c r="AB67" s="86">
        <f t="shared" ref="AB67:AB77" ca="1" si="16">RAND()</f>
        <v>0.99912403370804337</v>
      </c>
      <c r="AC67" s="98">
        <v>68</v>
      </c>
      <c r="AD67" s="98">
        <v>65</v>
      </c>
      <c r="AE67" s="98">
        <f t="shared" ca="1" si="11"/>
        <v>628</v>
      </c>
      <c r="AF67" s="120">
        <f t="shared" ca="1" si="12"/>
        <v>8.4591487415051017</v>
      </c>
      <c r="AG67" s="86">
        <f t="shared" ca="1" si="13"/>
        <v>5312</v>
      </c>
      <c r="AH67" s="86"/>
      <c r="AI67" s="86"/>
      <c r="AJ67" s="86"/>
      <c r="AK67" s="86"/>
    </row>
    <row r="68" spans="1:38" ht="16.5" x14ac:dyDescent="0.3">
      <c r="A68" s="9">
        <v>66</v>
      </c>
      <c r="B68" s="110">
        <f t="shared" ref="B68:B77" ca="1" si="17">INDEX($AG$3:$AG$77,RANK(AB68,$AB$3:$AB$77))</f>
        <v>1986</v>
      </c>
      <c r="C68" s="111">
        <f t="shared" ref="C68:C77" ca="1" si="18">SMALL($AG$3:$AG$77,AC68)</f>
        <v>6081</v>
      </c>
      <c r="D68" s="112">
        <f t="shared" ref="D68:D77" ca="1" si="19">AG68</f>
        <v>5455</v>
      </c>
      <c r="E68" s="113"/>
      <c r="AB68" s="86">
        <f t="shared" ca="1" si="16"/>
        <v>0.85620824196854817</v>
      </c>
      <c r="AC68" s="98">
        <v>66</v>
      </c>
      <c r="AD68" s="98">
        <v>66</v>
      </c>
      <c r="AE68" s="98">
        <f t="shared" ref="AE68:AE77" ca="1" si="20">INT($AH$1+$AI$1*AD68)</f>
        <v>636</v>
      </c>
      <c r="AF68" s="120">
        <f t="shared" ref="AF68:AF77" ca="1" si="21">(VLOOKUP(MOD(AD68,ROUNDUP($Y$7,0)),$V$8:$W$12,2)+7)+RAND()*VLOOKUP(MOD(AD68,ROUNDUP($Y$7,0)),$V$8:$W$12,2)</f>
        <v>8.5770471543320799</v>
      </c>
      <c r="AG68" s="86">
        <f t="shared" ref="AG68:AG76" ca="1" si="22">ROUND(AE68*AF68,0)</f>
        <v>5455</v>
      </c>
      <c r="AH68" s="86"/>
      <c r="AI68" s="86"/>
      <c r="AJ68" s="86"/>
      <c r="AK68" s="86"/>
    </row>
    <row r="69" spans="1:38" ht="16.5" x14ac:dyDescent="0.3">
      <c r="A69" s="9">
        <v>67</v>
      </c>
      <c r="B69" s="110">
        <f t="shared" ca="1" si="17"/>
        <v>2924</v>
      </c>
      <c r="C69" s="111">
        <f t="shared" ca="1" si="18"/>
        <v>6262</v>
      </c>
      <c r="D69" s="112">
        <f t="shared" ca="1" si="19"/>
        <v>6569</v>
      </c>
      <c r="E69" s="113"/>
      <c r="AB69" s="86">
        <f t="shared" ca="1" si="16"/>
        <v>0.50950206571003953</v>
      </c>
      <c r="AC69" s="98">
        <v>67</v>
      </c>
      <c r="AD69" s="98">
        <v>67</v>
      </c>
      <c r="AE69" s="98">
        <f t="shared" ca="1" si="20"/>
        <v>644</v>
      </c>
      <c r="AF69" s="120">
        <f t="shared" ca="1" si="21"/>
        <v>10.200864099060155</v>
      </c>
      <c r="AG69" s="86">
        <f t="shared" ca="1" si="22"/>
        <v>6569</v>
      </c>
      <c r="AH69" s="86"/>
      <c r="AI69" s="86"/>
      <c r="AJ69" s="86"/>
      <c r="AK69" s="86"/>
    </row>
    <row r="70" spans="1:38" ht="16.5" x14ac:dyDescent="0.3">
      <c r="A70" s="9">
        <v>68</v>
      </c>
      <c r="B70" s="110">
        <f t="shared" ca="1" si="17"/>
        <v>5881</v>
      </c>
      <c r="C70" s="111">
        <f t="shared" ca="1" si="18"/>
        <v>6070</v>
      </c>
      <c r="D70" s="112">
        <f t="shared" ca="1" si="19"/>
        <v>7623</v>
      </c>
      <c r="E70" s="113"/>
      <c r="AB70" s="86">
        <f t="shared" ca="1" si="16"/>
        <v>0.19454397009037727</v>
      </c>
      <c r="AC70" s="98">
        <v>65</v>
      </c>
      <c r="AD70" s="98">
        <v>68</v>
      </c>
      <c r="AE70" s="98">
        <f t="shared" ca="1" si="20"/>
        <v>652</v>
      </c>
      <c r="AF70" s="120">
        <f t="shared" ca="1" si="21"/>
        <v>11.691810412464458</v>
      </c>
      <c r="AG70" s="86">
        <f t="shared" ca="1" si="22"/>
        <v>7623</v>
      </c>
      <c r="AH70" s="86"/>
      <c r="AI70" s="86"/>
      <c r="AJ70" s="86"/>
      <c r="AK70" s="86"/>
    </row>
    <row r="71" spans="1:38" ht="16.5" x14ac:dyDescent="0.3">
      <c r="A71" s="9">
        <v>69</v>
      </c>
      <c r="B71" s="110">
        <f t="shared" ca="1" si="17"/>
        <v>3462</v>
      </c>
      <c r="C71" s="111">
        <f t="shared" ca="1" si="18"/>
        <v>6569</v>
      </c>
      <c r="D71" s="112">
        <f t="shared" ca="1" si="19"/>
        <v>7199</v>
      </c>
      <c r="E71" s="113"/>
      <c r="AB71" s="86">
        <f t="shared" ca="1" si="16"/>
        <v>0.54729905787607369</v>
      </c>
      <c r="AC71" s="98">
        <v>69</v>
      </c>
      <c r="AD71" s="98">
        <v>69</v>
      </c>
      <c r="AE71" s="98">
        <f t="shared" ca="1" si="20"/>
        <v>660</v>
      </c>
      <c r="AF71" s="120">
        <f t="shared" ca="1" si="21"/>
        <v>10.907886143560075</v>
      </c>
      <c r="AG71" s="86">
        <f t="shared" ca="1" si="22"/>
        <v>7199</v>
      </c>
      <c r="AH71" s="86"/>
      <c r="AI71" s="86"/>
      <c r="AJ71" s="86"/>
      <c r="AK71" s="86"/>
    </row>
    <row r="72" spans="1:38" ht="16.5" x14ac:dyDescent="0.3">
      <c r="A72" s="9">
        <v>70</v>
      </c>
      <c r="B72" s="110">
        <f t="shared" ca="1" si="17"/>
        <v>5356</v>
      </c>
      <c r="C72" s="111">
        <f t="shared" ca="1" si="18"/>
        <v>6688</v>
      </c>
      <c r="D72" s="112">
        <f t="shared" ca="1" si="19"/>
        <v>5799</v>
      </c>
      <c r="E72" s="113"/>
      <c r="AB72" s="86">
        <f t="shared" ca="1" si="16"/>
        <v>0.25607797922050934</v>
      </c>
      <c r="AC72" s="98">
        <v>70</v>
      </c>
      <c r="AD72" s="98">
        <v>70</v>
      </c>
      <c r="AE72" s="98">
        <f t="shared" ca="1" si="20"/>
        <v>668</v>
      </c>
      <c r="AF72" s="120">
        <f t="shared" ca="1" si="21"/>
        <v>8.6808500505641337</v>
      </c>
      <c r="AG72" s="86">
        <f t="shared" ca="1" si="22"/>
        <v>5799</v>
      </c>
      <c r="AH72" s="86"/>
      <c r="AI72" s="86"/>
      <c r="AJ72" s="86"/>
      <c r="AK72" s="86"/>
    </row>
    <row r="73" spans="1:38" ht="16.5" x14ac:dyDescent="0.3">
      <c r="A73" s="9">
        <v>71</v>
      </c>
      <c r="B73" s="110">
        <f t="shared" ca="1" si="17"/>
        <v>6688</v>
      </c>
      <c r="C73" s="111">
        <f t="shared" ca="1" si="18"/>
        <v>7199</v>
      </c>
      <c r="D73" s="112">
        <f t="shared" ca="1" si="19"/>
        <v>5566</v>
      </c>
      <c r="E73" s="113"/>
      <c r="AB73" s="86">
        <f t="shared" ca="1" si="16"/>
        <v>0.12983930519087117</v>
      </c>
      <c r="AC73" s="98">
        <v>72</v>
      </c>
      <c r="AD73" s="98">
        <v>71</v>
      </c>
      <c r="AE73" s="98">
        <f t="shared" ca="1" si="20"/>
        <v>676</v>
      </c>
      <c r="AF73" s="120">
        <f t="shared" ca="1" si="21"/>
        <v>8.2331779351477188</v>
      </c>
      <c r="AG73" s="86">
        <f t="shared" ca="1" si="22"/>
        <v>5566</v>
      </c>
      <c r="AH73" s="86"/>
      <c r="AI73" s="86"/>
      <c r="AJ73" s="86"/>
      <c r="AK73" s="86"/>
    </row>
    <row r="74" spans="1:38" ht="16.5" x14ac:dyDescent="0.3">
      <c r="A74" s="9">
        <v>72</v>
      </c>
      <c r="B74" s="110">
        <f t="shared" ca="1" si="17"/>
        <v>4792</v>
      </c>
      <c r="C74" s="111">
        <f t="shared" ca="1" si="18"/>
        <v>8716</v>
      </c>
      <c r="D74" s="112">
        <f t="shared" ca="1" si="19"/>
        <v>7356</v>
      </c>
      <c r="E74" s="113"/>
      <c r="AB74" s="86">
        <f t="shared" ca="1" si="16"/>
        <v>0.15702418968993126</v>
      </c>
      <c r="AC74" s="98">
        <v>75</v>
      </c>
      <c r="AD74" s="98">
        <v>72</v>
      </c>
      <c r="AE74" s="98">
        <f t="shared" ca="1" si="20"/>
        <v>684</v>
      </c>
      <c r="AF74" s="120">
        <f t="shared" ca="1" si="21"/>
        <v>10.753812421070721</v>
      </c>
      <c r="AG74" s="86">
        <f t="shared" ca="1" si="22"/>
        <v>7356</v>
      </c>
      <c r="AH74" s="86"/>
      <c r="AI74" s="86"/>
      <c r="AJ74" s="86"/>
      <c r="AK74" s="86"/>
    </row>
    <row r="75" spans="1:38" ht="16.5" x14ac:dyDescent="0.3">
      <c r="A75" s="9">
        <v>73</v>
      </c>
      <c r="B75" s="110">
        <f t="shared" ca="1" si="17"/>
        <v>3547</v>
      </c>
      <c r="C75" s="111">
        <f t="shared" ca="1" si="18"/>
        <v>7087</v>
      </c>
      <c r="D75" s="112">
        <f t="shared" ca="1" si="19"/>
        <v>8716</v>
      </c>
      <c r="E75" s="113"/>
      <c r="AB75" s="86">
        <f t="shared" ca="1" si="16"/>
        <v>0.54976944149769269</v>
      </c>
      <c r="AC75" s="98">
        <v>71</v>
      </c>
      <c r="AD75" s="98">
        <v>73</v>
      </c>
      <c r="AE75" s="98">
        <f t="shared" ca="1" si="20"/>
        <v>692</v>
      </c>
      <c r="AF75" s="120">
        <f t="shared" ca="1" si="21"/>
        <v>12.595316734891764</v>
      </c>
      <c r="AG75" s="86">
        <f t="shared" ca="1" si="22"/>
        <v>8716</v>
      </c>
      <c r="AH75" s="86"/>
      <c r="AI75" s="86"/>
      <c r="AJ75" s="86"/>
      <c r="AK75" s="86"/>
    </row>
    <row r="76" spans="1:38" ht="16.5" x14ac:dyDescent="0.3">
      <c r="A76" s="9">
        <v>74</v>
      </c>
      <c r="B76" s="110">
        <f t="shared" ca="1" si="17"/>
        <v>3677</v>
      </c>
      <c r="C76" s="111">
        <f t="shared" ca="1" si="18"/>
        <v>7356</v>
      </c>
      <c r="D76" s="112">
        <f t="shared" ca="1" si="19"/>
        <v>6523</v>
      </c>
      <c r="E76" s="113"/>
      <c r="AB76" s="86">
        <f t="shared" ca="1" si="16"/>
        <v>0.54929521113240354</v>
      </c>
      <c r="AC76" s="98">
        <v>73</v>
      </c>
      <c r="AD76" s="98">
        <v>74</v>
      </c>
      <c r="AE76" s="98">
        <f t="shared" ca="1" si="20"/>
        <v>700</v>
      </c>
      <c r="AF76" s="120">
        <f t="shared" ca="1" si="21"/>
        <v>9.3192352973526926</v>
      </c>
      <c r="AG76" s="86">
        <f t="shared" ca="1" si="22"/>
        <v>6523</v>
      </c>
      <c r="AH76" s="86"/>
      <c r="AI76" s="86"/>
      <c r="AJ76" s="86"/>
      <c r="AK76" s="86"/>
    </row>
    <row r="77" spans="1:38" ht="16.5" x14ac:dyDescent="0.3">
      <c r="A77" s="9">
        <v>75</v>
      </c>
      <c r="B77" s="110">
        <f t="shared" ca="1" si="17"/>
        <v>3882</v>
      </c>
      <c r="C77" s="111">
        <f t="shared" ca="1" si="18"/>
        <v>7623</v>
      </c>
      <c r="D77" s="112">
        <f t="shared" ca="1" si="19"/>
        <v>6081</v>
      </c>
      <c r="E77" s="113"/>
      <c r="AB77" s="86">
        <f t="shared" ca="1" si="16"/>
        <v>0.36393807428682623</v>
      </c>
      <c r="AC77" s="98">
        <v>74</v>
      </c>
      <c r="AD77" s="98">
        <v>75</v>
      </c>
      <c r="AE77" s="98">
        <f t="shared" ca="1" si="20"/>
        <v>708</v>
      </c>
      <c r="AF77" s="120">
        <f t="shared" ca="1" si="21"/>
        <v>8.5896687067809889</v>
      </c>
      <c r="AG77" s="86">
        <f ca="1">ROUND(AE77*AF77,0)</f>
        <v>6081</v>
      </c>
      <c r="AH77" s="86"/>
      <c r="AI77" s="86"/>
      <c r="AJ77" s="86"/>
      <c r="AK77" s="86"/>
    </row>
    <row r="78" spans="1:38" ht="16.5" x14ac:dyDescent="0.3">
      <c r="A78" s="75"/>
      <c r="B78" s="75"/>
      <c r="C78" s="75"/>
      <c r="D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</row>
    <row r="79" spans="1:38" ht="16.5" x14ac:dyDescent="0.3">
      <c r="A79" s="75"/>
      <c r="B79" s="75"/>
      <c r="C79" s="75"/>
      <c r="D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</row>
    <row r="80" spans="1:38" ht="16.5" x14ac:dyDescent="0.3">
      <c r="A80" s="75"/>
      <c r="B80" s="75"/>
      <c r="C80" s="75"/>
      <c r="D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</row>
    <row r="81" spans="1:38" ht="16.5" x14ac:dyDescent="0.3">
      <c r="A81" s="75"/>
      <c r="B81" s="75"/>
      <c r="C81" s="75"/>
      <c r="D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</row>
    <row r="82" spans="1:38" ht="16.5" x14ac:dyDescent="0.3"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</row>
    <row r="83" spans="1:38" ht="16.5" x14ac:dyDescent="0.3"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</row>
    <row r="84" spans="1:38" ht="16.5" x14ac:dyDescent="0.3"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</row>
    <row r="85" spans="1:38" ht="16.5" x14ac:dyDescent="0.3"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</row>
    <row r="86" spans="1:38" ht="16.5" x14ac:dyDescent="0.3"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</row>
    <row r="87" spans="1:38" ht="16.5" x14ac:dyDescent="0.3"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</row>
    <row r="88" spans="1:38" ht="16.5" x14ac:dyDescent="0.3"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</row>
    <row r="89" spans="1:38" ht="16.5" x14ac:dyDescent="0.3"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</row>
  </sheetData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zoomScale="96" zoomScaleNormal="96" workbookViewId="0">
      <selection activeCell="G29" sqref="G29"/>
    </sheetView>
  </sheetViews>
  <sheetFormatPr defaultRowHeight="15" x14ac:dyDescent="0.25"/>
  <cols>
    <col min="2" max="3" width="4.85546875" customWidth="1"/>
    <col min="4" max="4" width="10" bestFit="1" customWidth="1"/>
    <col min="5" max="6" width="7.85546875" bestFit="1" customWidth="1"/>
    <col min="7" max="9" width="7.85546875" style="11" customWidth="1"/>
    <col min="10" max="10" width="27.140625" bestFit="1" customWidth="1"/>
    <col min="11" max="11" width="18.140625" bestFit="1" customWidth="1"/>
    <col min="12" max="12" width="11.7109375" bestFit="1" customWidth="1"/>
    <col min="13" max="13" width="14.5703125" bestFit="1" customWidth="1"/>
    <col min="14" max="14" width="12" bestFit="1" customWidth="1"/>
    <col min="15" max="15" width="8.85546875" bestFit="1" customWidth="1"/>
    <col min="16" max="16" width="13.42578125" bestFit="1" customWidth="1"/>
    <col min="17" max="17" width="11" bestFit="1" customWidth="1"/>
  </cols>
  <sheetData>
    <row r="1" spans="1:17" ht="15.75" thickBot="1" x14ac:dyDescent="0.3">
      <c r="G1" s="37" t="s">
        <v>60</v>
      </c>
      <c r="H1" s="37" t="s">
        <v>61</v>
      </c>
      <c r="I1" s="37" t="s">
        <v>62</v>
      </c>
      <c r="J1" s="37" t="s">
        <v>63</v>
      </c>
    </row>
    <row r="2" spans="1:17" ht="15.75" thickBot="1" x14ac:dyDescent="0.3">
      <c r="A2" s="10" t="s">
        <v>58</v>
      </c>
      <c r="B2" s="24" t="s">
        <v>28</v>
      </c>
      <c r="C2" s="26" t="s">
        <v>0</v>
      </c>
      <c r="D2" s="26" t="s">
        <v>29</v>
      </c>
      <c r="E2" s="25" t="s">
        <v>30</v>
      </c>
      <c r="F2" s="26" t="s">
        <v>59</v>
      </c>
      <c r="G2" s="1">
        <f>AVERAGE(C3:C52)</f>
        <v>29.88</v>
      </c>
      <c r="H2" s="34">
        <f>SUM(E3:E52)</f>
        <v>15075.296710684273</v>
      </c>
      <c r="I2" s="34">
        <f>SUM(F3:F52)</f>
        <v>16831.280000000006</v>
      </c>
      <c r="J2">
        <f>1-H2/I2</f>
        <v>0.10432856498826781</v>
      </c>
      <c r="K2" t="s">
        <v>31</v>
      </c>
      <c r="Q2" t="s">
        <v>46</v>
      </c>
    </row>
    <row r="3" spans="1:17" ht="15.75" thickBot="1" x14ac:dyDescent="0.3">
      <c r="A3" s="27">
        <f ca="1">'0.ArdiData'!C3</f>
        <v>1013</v>
      </c>
      <c r="B3" s="28">
        <v>1</v>
      </c>
      <c r="C3" s="76">
        <v>26</v>
      </c>
      <c r="D3" s="78">
        <f>$L$20+$L$21*B3</f>
        <v>19.818823529411763</v>
      </c>
      <c r="E3" s="29">
        <f>(C3-D3)^2</f>
        <v>38.206942560553664</v>
      </c>
      <c r="F3" s="79">
        <f>(C3-$G$2)^2</f>
        <v>15.054399999999992</v>
      </c>
      <c r="G3"/>
      <c r="H3"/>
      <c r="I3"/>
    </row>
    <row r="4" spans="1:17" x14ac:dyDescent="0.25">
      <c r="A4" s="27">
        <f ca="1">'0.ArdiData'!C4</f>
        <v>1224</v>
      </c>
      <c r="B4" s="28">
        <v>2</v>
      </c>
      <c r="C4" s="76">
        <v>22</v>
      </c>
      <c r="D4" s="78">
        <f t="shared" ref="D4:D52" si="0">$L$20+$L$21*B4</f>
        <v>20.229483793517407</v>
      </c>
      <c r="E4" s="29">
        <f t="shared" ref="E4:E34" si="1">(C4-D4)^2</f>
        <v>3.1347276374175133</v>
      </c>
      <c r="F4" s="79">
        <f t="shared" ref="F4:F34" si="2">(C4-$G$2)^2</f>
        <v>62.094399999999986</v>
      </c>
      <c r="G4" s="35"/>
      <c r="H4" s="35"/>
      <c r="I4" s="35"/>
      <c r="K4" s="13" t="s">
        <v>32</v>
      </c>
      <c r="L4" s="13"/>
    </row>
    <row r="5" spans="1:17" x14ac:dyDescent="0.25">
      <c r="A5" s="27">
        <f ca="1">'0.ArdiData'!C5</f>
        <v>1311</v>
      </c>
      <c r="B5" s="28">
        <v>3</v>
      </c>
      <c r="C5" s="76">
        <v>11</v>
      </c>
      <c r="D5" s="78">
        <f t="shared" si="0"/>
        <v>20.640144057623047</v>
      </c>
      <c r="E5" s="29">
        <f t="shared" si="1"/>
        <v>92.932377451724946</v>
      </c>
      <c r="F5" s="79">
        <f t="shared" si="2"/>
        <v>356.45439999999996</v>
      </c>
      <c r="G5" s="35"/>
      <c r="H5" s="35"/>
      <c r="I5" s="35"/>
      <c r="J5" s="14" t="s">
        <v>33</v>
      </c>
      <c r="K5" s="15" t="s">
        <v>34</v>
      </c>
      <c r="L5" s="16">
        <v>0.32299932660652342</v>
      </c>
      <c r="M5" s="17">
        <f>CORREL(B3:B52,C3:C52)</f>
        <v>0.32299932660652309</v>
      </c>
    </row>
    <row r="6" spans="1:17" x14ac:dyDescent="0.25">
      <c r="A6" s="27">
        <f ca="1">'0.ArdiData'!C6</f>
        <v>1386</v>
      </c>
      <c r="B6" s="28">
        <v>4</v>
      </c>
      <c r="C6" s="76">
        <v>3</v>
      </c>
      <c r="D6" s="78">
        <f t="shared" si="0"/>
        <v>21.050804321728691</v>
      </c>
      <c r="E6" s="29">
        <f t="shared" si="1"/>
        <v>325.83153666133921</v>
      </c>
      <c r="F6" s="79">
        <f t="shared" si="2"/>
        <v>722.53439999999989</v>
      </c>
      <c r="G6" s="35"/>
      <c r="H6" s="35"/>
      <c r="I6" s="35"/>
      <c r="J6" s="14" t="s">
        <v>35</v>
      </c>
      <c r="K6" s="15" t="s">
        <v>36</v>
      </c>
      <c r="L6" s="16">
        <v>0.10432856498826758</v>
      </c>
      <c r="M6" s="17">
        <f>M5^2</f>
        <v>0.10432856498826737</v>
      </c>
      <c r="N6" s="84">
        <f>1-H2/I2</f>
        <v>0.10432856498826781</v>
      </c>
    </row>
    <row r="7" spans="1:17" x14ac:dyDescent="0.25">
      <c r="A7" s="27">
        <f ca="1">'0.ArdiData'!C7</f>
        <v>1423</v>
      </c>
      <c r="B7" s="28">
        <v>5</v>
      </c>
      <c r="C7" s="76">
        <v>28</v>
      </c>
      <c r="D7" s="78">
        <f t="shared" si="0"/>
        <v>21.461464585834332</v>
      </c>
      <c r="E7" s="29">
        <f t="shared" si="1"/>
        <v>42.752445362298609</v>
      </c>
      <c r="F7" s="79">
        <f t="shared" si="2"/>
        <v>3.5343999999999962</v>
      </c>
      <c r="G7" s="35"/>
      <c r="H7" s="35"/>
      <c r="I7" s="35"/>
      <c r="K7" s="18" t="s">
        <v>37</v>
      </c>
      <c r="L7" s="19">
        <v>8.566874342552315E-2</v>
      </c>
    </row>
    <row r="8" spans="1:17" x14ac:dyDescent="0.25">
      <c r="A8" s="27">
        <f ca="1">'0.ArdiData'!C8</f>
        <v>1427</v>
      </c>
      <c r="B8" s="28">
        <v>6</v>
      </c>
      <c r="C8" s="76">
        <v>13</v>
      </c>
      <c r="D8" s="78">
        <f t="shared" si="0"/>
        <v>21.872124849939976</v>
      </c>
      <c r="E8" s="29">
        <f t="shared" si="1"/>
        <v>78.714599352922434</v>
      </c>
      <c r="F8" s="79">
        <f t="shared" si="2"/>
        <v>284.93439999999998</v>
      </c>
      <c r="G8" s="35"/>
      <c r="H8" s="35"/>
      <c r="I8" s="35"/>
      <c r="K8" s="15" t="s">
        <v>38</v>
      </c>
      <c r="L8" s="16">
        <v>17.721983000572738</v>
      </c>
      <c r="M8" s="17">
        <f>SQRT(SUM(E3:E52)/(COUNT(E3:E52)-2))</f>
        <v>17.721983000572738</v>
      </c>
    </row>
    <row r="9" spans="1:17" ht="15.75" thickBot="1" x14ac:dyDescent="0.3">
      <c r="A9" s="27">
        <f ca="1">'0.ArdiData'!C9</f>
        <v>1590</v>
      </c>
      <c r="B9" s="28">
        <v>7</v>
      </c>
      <c r="C9" s="76">
        <v>8</v>
      </c>
      <c r="D9" s="78">
        <f t="shared" si="0"/>
        <v>22.282785114045616</v>
      </c>
      <c r="E9" s="29">
        <f t="shared" si="1"/>
        <v>203.99795061400303</v>
      </c>
      <c r="F9" s="79">
        <f t="shared" si="2"/>
        <v>478.73439999999994</v>
      </c>
      <c r="G9" s="35"/>
      <c r="H9" s="35"/>
      <c r="I9" s="35"/>
      <c r="K9" s="20" t="s">
        <v>39</v>
      </c>
      <c r="L9" s="20">
        <v>50</v>
      </c>
      <c r="M9" s="17">
        <f>COUNT(C3:C52)</f>
        <v>50</v>
      </c>
    </row>
    <row r="10" spans="1:17" x14ac:dyDescent="0.25">
      <c r="A10" s="27">
        <f ca="1">'0.ArdiData'!C10</f>
        <v>1562</v>
      </c>
      <c r="B10" s="28">
        <v>8</v>
      </c>
      <c r="C10" s="76">
        <v>7</v>
      </c>
      <c r="D10" s="78">
        <f t="shared" si="0"/>
        <v>22.69344537815126</v>
      </c>
      <c r="E10" s="29">
        <f t="shared" si="1"/>
        <v>246.28422783701714</v>
      </c>
      <c r="F10" s="79">
        <f t="shared" si="2"/>
        <v>523.49439999999993</v>
      </c>
      <c r="G10" s="35"/>
      <c r="H10" s="35"/>
      <c r="I10" s="35"/>
    </row>
    <row r="11" spans="1:17" ht="15.75" thickBot="1" x14ac:dyDescent="0.3">
      <c r="A11" s="27">
        <f ca="1">'0.ArdiData'!C11</f>
        <v>1986</v>
      </c>
      <c r="B11" s="28">
        <v>9</v>
      </c>
      <c r="C11" s="76">
        <v>32</v>
      </c>
      <c r="D11" s="78">
        <f t="shared" si="0"/>
        <v>23.104105642256901</v>
      </c>
      <c r="E11" s="29">
        <f t="shared" si="1"/>
        <v>79.136936424125508</v>
      </c>
      <c r="F11" s="79">
        <f t="shared" si="2"/>
        <v>4.4944000000000042</v>
      </c>
      <c r="G11" s="35"/>
      <c r="H11" s="35"/>
      <c r="I11" s="35"/>
      <c r="K11" t="s">
        <v>40</v>
      </c>
    </row>
    <row r="12" spans="1:17" x14ac:dyDescent="0.25">
      <c r="A12" s="27">
        <f ca="1">'0.ArdiData'!C12</f>
        <v>1684</v>
      </c>
      <c r="B12" s="28">
        <v>10</v>
      </c>
      <c r="C12" s="76">
        <v>41</v>
      </c>
      <c r="D12" s="78">
        <f t="shared" si="0"/>
        <v>23.514765906362545</v>
      </c>
      <c r="E12" s="29">
        <f t="shared" si="1"/>
        <v>305.73341130930163</v>
      </c>
      <c r="F12" s="79">
        <f t="shared" si="2"/>
        <v>123.65440000000002</v>
      </c>
      <c r="G12" s="35"/>
      <c r="H12" s="35"/>
      <c r="I12" s="35"/>
      <c r="K12" s="21"/>
      <c r="L12" s="21" t="s">
        <v>41</v>
      </c>
      <c r="M12" s="21" t="s">
        <v>42</v>
      </c>
      <c r="N12" s="21" t="s">
        <v>43</v>
      </c>
      <c r="O12" s="21" t="s">
        <v>44</v>
      </c>
      <c r="P12" s="21" t="s">
        <v>45</v>
      </c>
    </row>
    <row r="13" spans="1:17" x14ac:dyDescent="0.25">
      <c r="A13" s="27">
        <f ca="1">'0.ArdiData'!C13</f>
        <v>1693</v>
      </c>
      <c r="B13" s="28">
        <v>11</v>
      </c>
      <c r="C13" s="76">
        <v>9</v>
      </c>
      <c r="D13" s="78">
        <f t="shared" si="0"/>
        <v>23.925426170468185</v>
      </c>
      <c r="E13" s="29">
        <f t="shared" si="1"/>
        <v>222.76834637009659</v>
      </c>
      <c r="F13" s="79">
        <f t="shared" si="2"/>
        <v>435.97439999999995</v>
      </c>
      <c r="G13" s="35"/>
      <c r="H13" s="35"/>
      <c r="I13" s="35"/>
      <c r="K13" s="18" t="s">
        <v>46</v>
      </c>
      <c r="L13" s="58">
        <v>1</v>
      </c>
      <c r="M13" s="81">
        <v>1755.9832893157291</v>
      </c>
      <c r="N13" s="81">
        <v>1755.9832893157291</v>
      </c>
      <c r="O13" s="81">
        <v>5.5910805276169686</v>
      </c>
      <c r="P13" s="81">
        <v>2.2144150363479678E-2</v>
      </c>
    </row>
    <row r="14" spans="1:17" x14ac:dyDescent="0.25">
      <c r="A14" s="27">
        <f ca="1">'0.ArdiData'!C14</f>
        <v>1928</v>
      </c>
      <c r="B14" s="28">
        <v>12</v>
      </c>
      <c r="C14" s="76">
        <v>14</v>
      </c>
      <c r="D14" s="78">
        <f t="shared" si="0"/>
        <v>24.336086434573829</v>
      </c>
      <c r="E14" s="29">
        <f t="shared" si="1"/>
        <v>106.83468278298113</v>
      </c>
      <c r="F14" s="79">
        <f t="shared" si="2"/>
        <v>252.17439999999996</v>
      </c>
      <c r="G14" s="35"/>
      <c r="H14" s="35"/>
      <c r="I14" s="35"/>
      <c r="K14" s="18" t="s">
        <v>47</v>
      </c>
      <c r="L14" s="58">
        <v>48</v>
      </c>
      <c r="M14" s="81">
        <v>15075.296710684277</v>
      </c>
      <c r="N14" s="81">
        <v>314.06868147258911</v>
      </c>
      <c r="O14" s="81"/>
      <c r="P14" s="81"/>
    </row>
    <row r="15" spans="1:17" ht="15.75" thickBot="1" x14ac:dyDescent="0.3">
      <c r="A15" s="27">
        <f ca="1">'0.ArdiData'!C15</f>
        <v>2070</v>
      </c>
      <c r="B15" s="28">
        <v>13</v>
      </c>
      <c r="C15" s="76">
        <v>35</v>
      </c>
      <c r="D15" s="78">
        <f t="shared" si="0"/>
        <v>24.74674669867947</v>
      </c>
      <c r="E15" s="29">
        <f t="shared" si="1"/>
        <v>105.12920326104035</v>
      </c>
      <c r="F15" s="79">
        <f t="shared" si="2"/>
        <v>26.214400000000012</v>
      </c>
      <c r="G15" s="35"/>
      <c r="H15" s="35"/>
      <c r="I15" s="35"/>
      <c r="K15" s="22" t="s">
        <v>48</v>
      </c>
      <c r="L15" s="82">
        <v>49</v>
      </c>
      <c r="M15" s="83">
        <v>16831.280000000006</v>
      </c>
      <c r="N15" s="83"/>
      <c r="O15" s="83"/>
      <c r="P15" s="83"/>
    </row>
    <row r="16" spans="1:17" ht="15.75" thickBot="1" x14ac:dyDescent="0.3">
      <c r="A16" s="27">
        <f ca="1">'0.ArdiData'!C16</f>
        <v>2301</v>
      </c>
      <c r="B16" s="28">
        <v>14</v>
      </c>
      <c r="C16" s="76">
        <v>39</v>
      </c>
      <c r="D16" s="78">
        <f t="shared" si="0"/>
        <v>25.15740696278511</v>
      </c>
      <c r="E16" s="29">
        <f t="shared" si="1"/>
        <v>191.61738199395015</v>
      </c>
      <c r="F16" s="79">
        <f t="shared" si="2"/>
        <v>83.17440000000002</v>
      </c>
      <c r="G16" s="35"/>
      <c r="H16" s="35"/>
      <c r="I16" s="35"/>
    </row>
    <row r="17" spans="1:17" x14ac:dyDescent="0.25">
      <c r="A17" s="27">
        <f ca="1">'0.ArdiData'!C17</f>
        <v>2403</v>
      </c>
      <c r="B17" s="28">
        <v>15</v>
      </c>
      <c r="C17" s="76">
        <v>28</v>
      </c>
      <c r="D17" s="78">
        <f t="shared" si="0"/>
        <v>25.568067226890754</v>
      </c>
      <c r="E17" s="29">
        <f t="shared" si="1"/>
        <v>5.9142970129228258</v>
      </c>
      <c r="F17" s="79">
        <f t="shared" si="2"/>
        <v>3.5343999999999962</v>
      </c>
      <c r="G17" s="35"/>
      <c r="H17" s="35"/>
      <c r="I17" s="35"/>
      <c r="K17" s="21"/>
      <c r="L17" s="21" t="s">
        <v>49</v>
      </c>
      <c r="M17" s="21" t="s">
        <v>38</v>
      </c>
      <c r="N17" s="21" t="s">
        <v>50</v>
      </c>
      <c r="O17" s="21" t="s">
        <v>51</v>
      </c>
      <c r="P17" s="21" t="s">
        <v>52</v>
      </c>
      <c r="Q17" s="21" t="s">
        <v>53</v>
      </c>
    </row>
    <row r="18" spans="1:17" x14ac:dyDescent="0.25">
      <c r="A18" s="27">
        <f ca="1">'0.ArdiData'!C18</f>
        <v>1988</v>
      </c>
      <c r="B18" s="28">
        <v>16</v>
      </c>
      <c r="C18" s="76">
        <v>19</v>
      </c>
      <c r="D18" s="78">
        <f t="shared" si="0"/>
        <v>25.978727490996398</v>
      </c>
      <c r="E18" s="29">
        <f t="shared" si="1"/>
        <v>48.702637393588887</v>
      </c>
      <c r="F18" s="79">
        <f t="shared" si="2"/>
        <v>118.37439999999998</v>
      </c>
      <c r="G18" s="35"/>
      <c r="H18" s="35"/>
      <c r="I18" s="35"/>
      <c r="J18" s="14" t="s">
        <v>54</v>
      </c>
      <c r="K18" s="15" t="s">
        <v>55</v>
      </c>
      <c r="L18" s="19">
        <v>19.408163265306122</v>
      </c>
      <c r="M18" s="81">
        <v>5.0886778547249945</v>
      </c>
      <c r="N18" s="81">
        <v>3.8139893739363053</v>
      </c>
      <c r="O18" s="81">
        <v>3.9045739200275012E-4</v>
      </c>
      <c r="P18" s="81">
        <v>9.1766907002433395</v>
      </c>
      <c r="Q18" s="81">
        <v>29.639635830368903</v>
      </c>
    </row>
    <row r="19" spans="1:17" ht="15.75" thickBot="1" x14ac:dyDescent="0.3">
      <c r="A19" s="27">
        <f ca="1">'0.ArdiData'!C19</f>
        <v>2352</v>
      </c>
      <c r="B19" s="28">
        <v>17</v>
      </c>
      <c r="C19" s="76">
        <v>68</v>
      </c>
      <c r="D19" s="78">
        <f t="shared" si="0"/>
        <v>26.389387755102039</v>
      </c>
      <c r="E19" s="29">
        <f t="shared" si="1"/>
        <v>1731.4430513952525</v>
      </c>
      <c r="F19" s="79">
        <f t="shared" si="2"/>
        <v>1453.1344000000004</v>
      </c>
      <c r="G19" s="35"/>
      <c r="H19" s="35"/>
      <c r="I19" s="35"/>
      <c r="J19" s="14" t="s">
        <v>56</v>
      </c>
      <c r="K19" s="20" t="s">
        <v>57</v>
      </c>
      <c r="L19" s="23">
        <v>0.41066026410564221</v>
      </c>
      <c r="M19" s="83">
        <v>0.17367400060101817</v>
      </c>
      <c r="N19" s="83">
        <v>2.3645465797097249</v>
      </c>
      <c r="O19" s="85">
        <v>2.2144150363479765E-2</v>
      </c>
      <c r="P19" s="85">
        <v>6.146528200158341E-2</v>
      </c>
      <c r="Q19" s="85">
        <v>0.75985524620970102</v>
      </c>
    </row>
    <row r="20" spans="1:17" x14ac:dyDescent="0.25">
      <c r="A20" s="27">
        <f ca="1">'0.ArdiData'!C20</f>
        <v>2174</v>
      </c>
      <c r="B20" s="28">
        <v>18</v>
      </c>
      <c r="C20" s="76">
        <v>16</v>
      </c>
      <c r="D20" s="78">
        <f t="shared" si="0"/>
        <v>26.800048019207679</v>
      </c>
      <c r="E20" s="29">
        <f t="shared" si="1"/>
        <v>116.64103721719172</v>
      </c>
      <c r="F20" s="79">
        <f t="shared" si="2"/>
        <v>192.65439999999998</v>
      </c>
      <c r="G20" s="35"/>
      <c r="H20" s="35"/>
      <c r="I20" s="35"/>
      <c r="K20" s="17" t="s">
        <v>55</v>
      </c>
      <c r="L20" s="17">
        <f>INTERCEPT(C3:C52,B3:B52)</f>
        <v>19.408163265306122</v>
      </c>
    </row>
    <row r="21" spans="1:17" x14ac:dyDescent="0.25">
      <c r="A21" s="27">
        <f ca="1">'0.ArdiData'!C21</f>
        <v>2418</v>
      </c>
      <c r="B21" s="28">
        <v>19</v>
      </c>
      <c r="C21" s="76">
        <v>27</v>
      </c>
      <c r="D21" s="78">
        <f t="shared" si="0"/>
        <v>27.210708283313323</v>
      </c>
      <c r="E21" s="29">
        <f t="shared" si="1"/>
        <v>4.4397980656847746E-2</v>
      </c>
      <c r="F21" s="79">
        <f t="shared" si="2"/>
        <v>8.2943999999999942</v>
      </c>
      <c r="G21" s="35"/>
      <c r="H21" s="35"/>
      <c r="I21" s="35"/>
      <c r="K21" s="17" t="s">
        <v>57</v>
      </c>
      <c r="L21" s="17">
        <f>SLOPE(C3:C52,B3:B52)</f>
        <v>0.41066026410564216</v>
      </c>
    </row>
    <row r="22" spans="1:17" x14ac:dyDescent="0.25">
      <c r="A22" s="27">
        <f ca="1">'0.ArdiData'!C22</f>
        <v>2550</v>
      </c>
      <c r="B22" s="28">
        <v>20</v>
      </c>
      <c r="C22" s="76">
        <v>10</v>
      </c>
      <c r="D22" s="78">
        <f t="shared" si="0"/>
        <v>27.621368547418967</v>
      </c>
      <c r="E22" s="29">
        <f t="shared" si="1"/>
        <v>310.51262948396646</v>
      </c>
      <c r="F22" s="79">
        <f t="shared" si="2"/>
        <v>395.21439999999996</v>
      </c>
      <c r="G22" s="35"/>
      <c r="H22" s="35"/>
      <c r="I22" s="35"/>
      <c r="M22" s="33">
        <f>H2</f>
        <v>15075.296710684273</v>
      </c>
    </row>
    <row r="23" spans="1:17" x14ac:dyDescent="0.25">
      <c r="A23" s="27">
        <f ca="1">'0.ArdiData'!C23</f>
        <v>2905</v>
      </c>
      <c r="B23" s="28">
        <v>21</v>
      </c>
      <c r="C23" s="76">
        <v>27</v>
      </c>
      <c r="D23" s="78">
        <f t="shared" si="0"/>
        <v>28.032028811524608</v>
      </c>
      <c r="E23" s="29">
        <f t="shared" si="1"/>
        <v>1.0650834678168946</v>
      </c>
      <c r="F23" s="79">
        <f t="shared" si="2"/>
        <v>8.2943999999999942</v>
      </c>
      <c r="G23" s="35"/>
      <c r="H23" s="35"/>
      <c r="I23" s="35"/>
    </row>
    <row r="24" spans="1:17" x14ac:dyDescent="0.25">
      <c r="A24" s="27">
        <f ca="1">'0.ArdiData'!C24</f>
        <v>2738</v>
      </c>
      <c r="B24" s="28">
        <v>22</v>
      </c>
      <c r="C24" s="76">
        <v>38</v>
      </c>
      <c r="D24" s="78">
        <f t="shared" si="0"/>
        <v>28.442689075630248</v>
      </c>
      <c r="E24" s="29">
        <f t="shared" si="1"/>
        <v>91.342192105077402</v>
      </c>
      <c r="F24" s="79">
        <f t="shared" si="2"/>
        <v>65.934400000000011</v>
      </c>
      <c r="G24" s="35"/>
      <c r="H24" s="35"/>
      <c r="I24" s="35"/>
    </row>
    <row r="25" spans="1:17" x14ac:dyDescent="0.25">
      <c r="A25" s="27">
        <f ca="1">'0.ArdiData'!C25</f>
        <v>2770</v>
      </c>
      <c r="B25" s="28">
        <v>23</v>
      </c>
      <c r="C25" s="76">
        <v>38</v>
      </c>
      <c r="D25" s="78">
        <f t="shared" si="0"/>
        <v>28.853349339735892</v>
      </c>
      <c r="E25" s="29">
        <f t="shared" si="1"/>
        <v>83.661218300909837</v>
      </c>
      <c r="F25" s="79">
        <f t="shared" si="2"/>
        <v>65.934400000000011</v>
      </c>
      <c r="G25" s="35"/>
      <c r="H25" s="35"/>
      <c r="I25" s="35"/>
    </row>
    <row r="26" spans="1:17" x14ac:dyDescent="0.25">
      <c r="A26" s="27">
        <f ca="1">'0.ArdiData'!C26</f>
        <v>2924</v>
      </c>
      <c r="B26" s="28">
        <v>24</v>
      </c>
      <c r="C26" s="76">
        <v>32</v>
      </c>
      <c r="D26" s="78">
        <f t="shared" si="0"/>
        <v>29.264009603841533</v>
      </c>
      <c r="E26" s="29">
        <f t="shared" si="1"/>
        <v>7.4856434478713654</v>
      </c>
      <c r="F26" s="79">
        <f t="shared" si="2"/>
        <v>4.4944000000000042</v>
      </c>
      <c r="G26" s="35"/>
      <c r="H26" s="35"/>
      <c r="I26" s="35"/>
    </row>
    <row r="27" spans="1:17" x14ac:dyDescent="0.25">
      <c r="A27" s="27">
        <f ca="1">'0.ArdiData'!C27</f>
        <v>2641</v>
      </c>
      <c r="B27" s="28">
        <v>25</v>
      </c>
      <c r="C27" s="76">
        <v>36</v>
      </c>
      <c r="D27" s="78">
        <f t="shared" si="0"/>
        <v>29.674669867947173</v>
      </c>
      <c r="E27" s="29">
        <f t="shared" si="1"/>
        <v>40.009801279455431</v>
      </c>
      <c r="F27" s="79">
        <f t="shared" si="2"/>
        <v>37.454400000000014</v>
      </c>
      <c r="G27" s="35"/>
      <c r="H27" s="35"/>
      <c r="I27" s="35"/>
    </row>
    <row r="28" spans="1:17" x14ac:dyDescent="0.25">
      <c r="A28" s="27">
        <f ca="1">'0.ArdiData'!C28</f>
        <v>3140</v>
      </c>
      <c r="B28" s="28">
        <v>26</v>
      </c>
      <c r="C28" s="76">
        <v>53</v>
      </c>
      <c r="D28" s="78">
        <f t="shared" si="0"/>
        <v>30.085330132052817</v>
      </c>
      <c r="E28" s="29">
        <f t="shared" si="1"/>
        <v>525.08209515700651</v>
      </c>
      <c r="F28" s="79">
        <f t="shared" si="2"/>
        <v>534.53440000000001</v>
      </c>
      <c r="G28" s="35"/>
      <c r="H28" s="35"/>
      <c r="I28" s="35"/>
    </row>
    <row r="29" spans="1:17" x14ac:dyDescent="0.25">
      <c r="A29" s="27">
        <f ca="1">'0.ArdiData'!C29</f>
        <v>2955</v>
      </c>
      <c r="B29" s="28">
        <v>27</v>
      </c>
      <c r="C29" s="76">
        <v>45</v>
      </c>
      <c r="D29" s="78">
        <f t="shared" si="0"/>
        <v>30.495990396158462</v>
      </c>
      <c r="E29" s="29">
        <f t="shared" si="1"/>
        <v>210.36629458832758</v>
      </c>
      <c r="F29" s="79">
        <f t="shared" si="2"/>
        <v>228.61440000000002</v>
      </c>
      <c r="G29" s="35"/>
      <c r="H29" s="35"/>
      <c r="I29" s="35"/>
    </row>
    <row r="30" spans="1:17" x14ac:dyDescent="0.25">
      <c r="A30" s="27">
        <f ca="1">'0.ArdiData'!C30</f>
        <v>3547</v>
      </c>
      <c r="B30" s="28">
        <v>28</v>
      </c>
      <c r="C30" s="76">
        <v>23</v>
      </c>
      <c r="D30" s="78">
        <f t="shared" si="0"/>
        <v>30.906650660264102</v>
      </c>
      <c r="E30" s="29">
        <f t="shared" si="1"/>
        <v>62.515124663454763</v>
      </c>
      <c r="F30" s="79">
        <f t="shared" si="2"/>
        <v>47.334399999999988</v>
      </c>
      <c r="G30" s="35"/>
      <c r="H30" s="35"/>
      <c r="I30" s="35"/>
    </row>
    <row r="31" spans="1:17" x14ac:dyDescent="0.25">
      <c r="A31" s="27">
        <f ca="1">'0.ArdiData'!C31</f>
        <v>3579</v>
      </c>
      <c r="B31" s="28">
        <v>29</v>
      </c>
      <c r="C31" s="76">
        <v>16</v>
      </c>
      <c r="D31" s="78">
        <f t="shared" si="0"/>
        <v>31.317310924369743</v>
      </c>
      <c r="E31" s="29">
        <f t="shared" si="1"/>
        <v>234.62001395381665</v>
      </c>
      <c r="F31" s="79">
        <f t="shared" si="2"/>
        <v>192.65439999999998</v>
      </c>
      <c r="G31" s="35"/>
      <c r="H31" s="35"/>
      <c r="I31" s="35"/>
    </row>
    <row r="32" spans="1:17" x14ac:dyDescent="0.25">
      <c r="A32" s="27">
        <f ca="1">'0.ArdiData'!C32</f>
        <v>3236</v>
      </c>
      <c r="B32" s="28">
        <v>30</v>
      </c>
      <c r="C32" s="76">
        <v>20</v>
      </c>
      <c r="D32" s="78">
        <f t="shared" si="0"/>
        <v>31.727971188475387</v>
      </c>
      <c r="E32" s="29">
        <f t="shared" si="1"/>
        <v>137.54530819770878</v>
      </c>
      <c r="F32" s="79">
        <f t="shared" si="2"/>
        <v>97.614399999999975</v>
      </c>
      <c r="G32" s="35"/>
      <c r="H32" s="35"/>
      <c r="I32" s="35"/>
    </row>
    <row r="33" spans="1:9" x14ac:dyDescent="0.25">
      <c r="A33" s="27">
        <f ca="1">'0.ArdiData'!C33</f>
        <v>3352</v>
      </c>
      <c r="B33" s="28">
        <v>31</v>
      </c>
      <c r="C33" s="76">
        <v>29</v>
      </c>
      <c r="D33" s="78">
        <f t="shared" si="0"/>
        <v>32.138631452581031</v>
      </c>
      <c r="E33" s="29">
        <f t="shared" si="1"/>
        <v>9.8510073951309103</v>
      </c>
      <c r="F33" s="79">
        <f t="shared" si="2"/>
        <v>0.7743999999999982</v>
      </c>
      <c r="G33" s="35"/>
      <c r="H33" s="35"/>
      <c r="I33" s="35"/>
    </row>
    <row r="34" spans="1:9" x14ac:dyDescent="0.25">
      <c r="A34" s="27">
        <f ca="1">'0.ArdiData'!C34</f>
        <v>3318</v>
      </c>
      <c r="B34" s="28">
        <v>32</v>
      </c>
      <c r="C34" s="76">
        <v>78</v>
      </c>
      <c r="D34" s="78">
        <f t="shared" si="0"/>
        <v>32.549291716686668</v>
      </c>
      <c r="E34" s="29">
        <f t="shared" si="1"/>
        <v>2065.7668834548472</v>
      </c>
      <c r="F34" s="79">
        <f t="shared" si="2"/>
        <v>2315.5344000000005</v>
      </c>
      <c r="G34" s="35"/>
      <c r="H34" s="35"/>
      <c r="I34" s="35"/>
    </row>
    <row r="35" spans="1:9" x14ac:dyDescent="0.25">
      <c r="A35" s="27">
        <f ca="1">'0.ArdiData'!C35</f>
        <v>3446</v>
      </c>
      <c r="B35" s="28">
        <v>33</v>
      </c>
      <c r="C35" s="76">
        <v>3</v>
      </c>
      <c r="D35" s="78">
        <f t="shared" si="0"/>
        <v>32.959951980792312</v>
      </c>
      <c r="E35" s="29">
        <f t="shared" ref="E35:E52" si="3">(C35-D35)^2</f>
        <v>897.59872269138111</v>
      </c>
      <c r="F35" s="79">
        <f t="shared" ref="F35:F52" si="4">(C35-$G$2)^2</f>
        <v>722.53439999999989</v>
      </c>
      <c r="G35" s="35"/>
      <c r="H35" s="35"/>
      <c r="I35" s="35"/>
    </row>
    <row r="36" spans="1:9" x14ac:dyDescent="0.25">
      <c r="A36" s="27">
        <f ca="1">'0.ArdiData'!C36</f>
        <v>3462</v>
      </c>
      <c r="B36" s="28">
        <v>34</v>
      </c>
      <c r="C36" s="76">
        <v>31</v>
      </c>
      <c r="D36" s="78">
        <f t="shared" si="0"/>
        <v>33.370612244897956</v>
      </c>
      <c r="E36" s="29">
        <f t="shared" si="3"/>
        <v>5.619802415660125</v>
      </c>
      <c r="F36" s="79">
        <f t="shared" si="4"/>
        <v>1.2544000000000022</v>
      </c>
      <c r="G36" s="35"/>
      <c r="H36" s="35"/>
      <c r="I36" s="35"/>
    </row>
    <row r="37" spans="1:9" x14ac:dyDescent="0.25">
      <c r="A37" s="27">
        <f ca="1">'0.ArdiData'!C37</f>
        <v>3677</v>
      </c>
      <c r="B37" s="28">
        <v>35</v>
      </c>
      <c r="C37" s="76">
        <v>12</v>
      </c>
      <c r="D37" s="78">
        <f t="shared" si="0"/>
        <v>33.7812725090036</v>
      </c>
      <c r="E37" s="29">
        <f t="shared" si="3"/>
        <v>474.42383211147597</v>
      </c>
      <c r="F37" s="79">
        <f t="shared" si="4"/>
        <v>319.69439999999997</v>
      </c>
      <c r="G37" s="35"/>
      <c r="H37" s="35"/>
      <c r="I37" s="35"/>
    </row>
    <row r="38" spans="1:9" x14ac:dyDescent="0.25">
      <c r="A38" s="27">
        <f ca="1">'0.ArdiData'!C38</f>
        <v>4052</v>
      </c>
      <c r="B38" s="28">
        <v>36</v>
      </c>
      <c r="C38" s="76">
        <v>55</v>
      </c>
      <c r="D38" s="78">
        <f t="shared" si="0"/>
        <v>34.191932773109244</v>
      </c>
      <c r="E38" s="29">
        <f t="shared" si="3"/>
        <v>432.97566171880516</v>
      </c>
      <c r="F38" s="79">
        <f t="shared" si="4"/>
        <v>631.01440000000002</v>
      </c>
      <c r="G38" s="35"/>
      <c r="H38" s="35"/>
      <c r="I38" s="35"/>
    </row>
    <row r="39" spans="1:9" x14ac:dyDescent="0.25">
      <c r="A39" s="27">
        <f ca="1">'0.ArdiData'!C39</f>
        <v>3819</v>
      </c>
      <c r="B39" s="28">
        <v>37</v>
      </c>
      <c r="C39" s="76">
        <v>20</v>
      </c>
      <c r="D39" s="78">
        <f t="shared" si="0"/>
        <v>34.602593037214881</v>
      </c>
      <c r="E39" s="29">
        <f t="shared" si="3"/>
        <v>213.2357234105165</v>
      </c>
      <c r="F39" s="79">
        <f t="shared" si="4"/>
        <v>97.614399999999975</v>
      </c>
      <c r="G39" s="35"/>
      <c r="H39" s="35"/>
      <c r="I39" s="35"/>
    </row>
    <row r="40" spans="1:9" x14ac:dyDescent="0.25">
      <c r="A40" s="27">
        <f ca="1">'0.ArdiData'!C40</f>
        <v>3882</v>
      </c>
      <c r="B40" s="28">
        <v>38</v>
      </c>
      <c r="C40" s="76">
        <v>6</v>
      </c>
      <c r="D40" s="78">
        <f t="shared" si="0"/>
        <v>35.013253301320525</v>
      </c>
      <c r="E40" s="29">
        <f t="shared" si="3"/>
        <v>841.76886712658631</v>
      </c>
      <c r="F40" s="79">
        <f t="shared" si="4"/>
        <v>570.25439999999992</v>
      </c>
      <c r="G40" s="35"/>
      <c r="H40" s="35"/>
      <c r="I40" s="35"/>
    </row>
    <row r="41" spans="1:9" x14ac:dyDescent="0.25">
      <c r="A41" s="27">
        <f ca="1">'0.ArdiData'!C41</f>
        <v>3980</v>
      </c>
      <c r="B41" s="28">
        <v>39</v>
      </c>
      <c r="C41" s="76">
        <v>59</v>
      </c>
      <c r="D41" s="78">
        <f t="shared" si="0"/>
        <v>35.423913565426162</v>
      </c>
      <c r="E41" s="29">
        <f t="shared" si="3"/>
        <v>555.83185157049661</v>
      </c>
      <c r="F41" s="79">
        <f t="shared" si="4"/>
        <v>847.97440000000006</v>
      </c>
      <c r="G41" s="35"/>
      <c r="H41" s="35"/>
      <c r="I41" s="35"/>
    </row>
    <row r="42" spans="1:9" x14ac:dyDescent="0.25">
      <c r="A42" s="27">
        <f ca="1">'0.ArdiData'!C42</f>
        <v>4190</v>
      </c>
      <c r="B42" s="28">
        <v>40</v>
      </c>
      <c r="C42" s="76">
        <v>51</v>
      </c>
      <c r="D42" s="78">
        <f t="shared" si="0"/>
        <v>35.834573829531806</v>
      </c>
      <c r="E42" s="29">
        <f t="shared" si="3"/>
        <v>229.99015093192159</v>
      </c>
      <c r="F42" s="79">
        <f t="shared" si="4"/>
        <v>446.05440000000004</v>
      </c>
      <c r="G42" s="35"/>
      <c r="H42" s="35"/>
      <c r="I42" s="35"/>
    </row>
    <row r="43" spans="1:9" x14ac:dyDescent="0.25">
      <c r="A43" s="27">
        <f ca="1">'0.ArdiData'!C43</f>
        <v>4055</v>
      </c>
      <c r="B43" s="28">
        <v>41</v>
      </c>
      <c r="C43" s="76">
        <v>2</v>
      </c>
      <c r="D43" s="78">
        <f t="shared" si="0"/>
        <v>36.24523409363745</v>
      </c>
      <c r="E43" s="29">
        <f t="shared" si="3"/>
        <v>1172.7360581280288</v>
      </c>
      <c r="F43" s="79">
        <f t="shared" si="4"/>
        <v>777.2944</v>
      </c>
      <c r="G43" s="35"/>
      <c r="H43" s="35"/>
      <c r="I43" s="35"/>
    </row>
    <row r="44" spans="1:9" x14ac:dyDescent="0.25">
      <c r="A44" s="27">
        <f ca="1">'0.ArdiData'!C44</f>
        <v>4559</v>
      </c>
      <c r="B44" s="28">
        <v>42</v>
      </c>
      <c r="C44" s="76">
        <v>67</v>
      </c>
      <c r="D44" s="78">
        <f t="shared" si="0"/>
        <v>36.655894357743094</v>
      </c>
      <c r="E44" s="29">
        <f t="shared" si="3"/>
        <v>920.76474722844739</v>
      </c>
      <c r="F44" s="79">
        <f t="shared" si="4"/>
        <v>1377.8944000000004</v>
      </c>
      <c r="G44" s="35"/>
      <c r="H44" s="35"/>
      <c r="I44" s="35"/>
    </row>
    <row r="45" spans="1:9" x14ac:dyDescent="0.25">
      <c r="A45" s="27">
        <f ca="1">'0.ArdiData'!C45</f>
        <v>4500</v>
      </c>
      <c r="B45" s="28">
        <v>43</v>
      </c>
      <c r="C45" s="76">
        <v>65</v>
      </c>
      <c r="D45" s="78">
        <f t="shared" si="0"/>
        <v>37.066554621848738</v>
      </c>
      <c r="E45" s="29">
        <f t="shared" si="3"/>
        <v>780.27737069416014</v>
      </c>
      <c r="F45" s="79">
        <f t="shared" si="4"/>
        <v>1233.4144000000003</v>
      </c>
      <c r="G45" s="35"/>
      <c r="H45" s="35"/>
      <c r="I45" s="35"/>
    </row>
    <row r="46" spans="1:9" x14ac:dyDescent="0.25">
      <c r="A46" s="27">
        <f ca="1">'0.ArdiData'!C46</f>
        <v>4523</v>
      </c>
      <c r="B46" s="28">
        <v>44</v>
      </c>
      <c r="C46" s="76">
        <v>43</v>
      </c>
      <c r="D46" s="78">
        <f t="shared" si="0"/>
        <v>37.477214885954382</v>
      </c>
      <c r="E46" s="29">
        <f t="shared" si="3"/>
        <v>30.501155415923872</v>
      </c>
      <c r="F46" s="79">
        <f t="shared" si="4"/>
        <v>172.13440000000003</v>
      </c>
      <c r="G46" s="35"/>
      <c r="H46" s="35"/>
      <c r="I46" s="35"/>
    </row>
    <row r="47" spans="1:9" x14ac:dyDescent="0.25">
      <c r="A47" s="27">
        <f ca="1">'0.ArdiData'!C47</f>
        <v>4600</v>
      </c>
      <c r="B47" s="28">
        <v>45</v>
      </c>
      <c r="C47" s="76">
        <v>27</v>
      </c>
      <c r="D47" s="78">
        <f t="shared" si="0"/>
        <v>37.887875150060019</v>
      </c>
      <c r="E47" s="29">
        <f t="shared" si="3"/>
        <v>118.54582528329448</v>
      </c>
      <c r="F47" s="79">
        <f t="shared" si="4"/>
        <v>8.2943999999999942</v>
      </c>
      <c r="G47" s="35"/>
      <c r="H47" s="35"/>
      <c r="I47" s="35"/>
    </row>
    <row r="48" spans="1:9" x14ac:dyDescent="0.25">
      <c r="A48" s="27">
        <f ca="1">'0.ArdiData'!C48</f>
        <v>4617</v>
      </c>
      <c r="B48" s="28">
        <v>46</v>
      </c>
      <c r="C48" s="76">
        <v>31</v>
      </c>
      <c r="D48" s="78">
        <f t="shared" si="0"/>
        <v>38.298535414165663</v>
      </c>
      <c r="E48" s="29">
        <f t="shared" si="3"/>
        <v>53.268619191830346</v>
      </c>
      <c r="F48" s="79">
        <f t="shared" si="4"/>
        <v>1.2544000000000022</v>
      </c>
      <c r="G48" s="35"/>
      <c r="H48" s="35"/>
      <c r="I48" s="35"/>
    </row>
    <row r="49" spans="1:10" x14ac:dyDescent="0.25">
      <c r="A49" s="27">
        <f ca="1">'0.ArdiData'!C49</f>
        <v>4351</v>
      </c>
      <c r="B49" s="28">
        <v>47</v>
      </c>
      <c r="C49" s="76">
        <v>43</v>
      </c>
      <c r="D49" s="78">
        <f t="shared" si="0"/>
        <v>38.7091956782713</v>
      </c>
      <c r="E49" s="29">
        <f t="shared" si="3"/>
        <v>18.41100172736569</v>
      </c>
      <c r="F49" s="79">
        <f t="shared" si="4"/>
        <v>172.13440000000003</v>
      </c>
      <c r="G49" s="35"/>
      <c r="H49" s="35"/>
      <c r="I49" s="35"/>
    </row>
    <row r="50" spans="1:10" x14ac:dyDescent="0.25">
      <c r="A50" s="27">
        <f ca="1">'0.ArdiData'!C50</f>
        <v>4444</v>
      </c>
      <c r="B50" s="28">
        <v>48</v>
      </c>
      <c r="C50" s="76">
        <v>15</v>
      </c>
      <c r="D50" s="78">
        <f t="shared" si="0"/>
        <v>39.119855942376944</v>
      </c>
      <c r="E50" s="29">
        <f t="shared" si="3"/>
        <v>581.76745068101638</v>
      </c>
      <c r="F50" s="79">
        <f t="shared" si="4"/>
        <v>221.41439999999997</v>
      </c>
      <c r="G50" s="35"/>
      <c r="H50" s="35"/>
      <c r="I50" s="35"/>
    </row>
    <row r="51" spans="1:10" x14ac:dyDescent="0.25">
      <c r="A51" s="27">
        <f ca="1">'0.ArdiData'!C51</f>
        <v>4792</v>
      </c>
      <c r="B51" s="28">
        <v>49</v>
      </c>
      <c r="C51" s="76">
        <v>37</v>
      </c>
      <c r="D51" s="78">
        <f t="shared" si="0"/>
        <v>39.530516206482588</v>
      </c>
      <c r="E51" s="29">
        <f t="shared" si="3"/>
        <v>6.4035122712710271</v>
      </c>
      <c r="F51" s="79">
        <f t="shared" si="4"/>
        <v>50.694400000000016</v>
      </c>
      <c r="G51" s="35"/>
      <c r="H51" s="35"/>
      <c r="I51" s="35"/>
    </row>
    <row r="52" spans="1:10" ht="15.75" thickBot="1" x14ac:dyDescent="0.3">
      <c r="A52" s="30">
        <f ca="1">'0.ArdiData'!C52</f>
        <v>4792</v>
      </c>
      <c r="B52" s="31">
        <v>50</v>
      </c>
      <c r="C52" s="77">
        <v>36</v>
      </c>
      <c r="D52" s="78">
        <f t="shared" si="0"/>
        <v>39.941176470588232</v>
      </c>
      <c r="E52" s="32">
        <f t="shared" si="3"/>
        <v>15.532871972318313</v>
      </c>
      <c r="F52" s="80">
        <f t="shared" si="4"/>
        <v>37.454400000000014</v>
      </c>
      <c r="G52" s="35"/>
      <c r="H52" s="35"/>
      <c r="I52" s="35"/>
    </row>
    <row r="53" spans="1:10" ht="15.75" customHeight="1" x14ac:dyDescent="0.25">
      <c r="B53" s="12">
        <v>51</v>
      </c>
      <c r="G53" s="36"/>
      <c r="H53" s="36"/>
      <c r="I53" s="36"/>
      <c r="J53" s="34">
        <f>1-H2/I2</f>
        <v>0.10432856498826781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zoomScale="98" zoomScaleNormal="98" workbookViewId="0">
      <selection activeCell="P69" sqref="P69"/>
    </sheetView>
  </sheetViews>
  <sheetFormatPr defaultColWidth="9.140625" defaultRowHeight="12.75" x14ac:dyDescent="0.2"/>
  <cols>
    <col min="1" max="1" width="4.42578125" style="3" bestFit="1" customWidth="1"/>
    <col min="2" max="2" width="9.5703125" style="3" bestFit="1" customWidth="1"/>
    <col min="3" max="3" width="6.28515625" style="3" bestFit="1" customWidth="1"/>
    <col min="4" max="4" width="8.42578125" style="3" bestFit="1" customWidth="1"/>
    <col min="5" max="5" width="6.28515625" style="3" customWidth="1"/>
    <col min="6" max="7" width="8" style="3" bestFit="1" customWidth="1"/>
    <col min="8" max="8" width="7.140625" style="3" bestFit="1" customWidth="1"/>
    <col min="9" max="9" width="6.28515625" style="3" bestFit="1" customWidth="1"/>
    <col min="10" max="10" width="6.28515625" style="3" customWidth="1"/>
    <col min="11" max="11" width="11.5703125" style="3" bestFit="1" customWidth="1"/>
    <col min="12" max="12" width="8" style="3" bestFit="1" customWidth="1"/>
    <col min="13" max="13" width="9.140625" style="3"/>
    <col min="14" max="14" width="6.42578125" style="3" customWidth="1"/>
    <col min="15" max="23" width="4" style="3" customWidth="1"/>
    <col min="24" max="16384" width="9.140625" style="3"/>
  </cols>
  <sheetData>
    <row r="1" spans="1:24" x14ac:dyDescent="0.2">
      <c r="A1" s="2" t="str">
        <f>[2]ArdiData!A2</f>
        <v>Per.</v>
      </c>
      <c r="B1" s="49" t="s">
        <v>66</v>
      </c>
      <c r="C1" s="6" t="s">
        <v>22</v>
      </c>
      <c r="D1" s="48" t="s">
        <v>72</v>
      </c>
      <c r="E1" s="54" t="s">
        <v>71</v>
      </c>
      <c r="F1" s="54" t="s">
        <v>70</v>
      </c>
      <c r="G1" s="46" t="s">
        <v>3</v>
      </c>
      <c r="H1" s="46" t="s">
        <v>2</v>
      </c>
      <c r="I1" s="47" t="s">
        <v>1</v>
      </c>
      <c r="J1" s="47" t="s">
        <v>69</v>
      </c>
      <c r="K1" s="46" t="s">
        <v>65</v>
      </c>
      <c r="L1" s="46" t="s">
        <v>64</v>
      </c>
      <c r="M1" s="52" t="s">
        <v>68</v>
      </c>
      <c r="N1" s="45">
        <f>0.2</f>
        <v>0.2</v>
      </c>
      <c r="O1" s="3" t="str">
        <f>" F(next) ~ N ( "&amp;ROUND(F78,0)&amp;", "&amp;ROUND(1.25*I77,0)&amp;")"</f>
        <v xml:space="preserve"> F(next) ~ N ( 11080, 664)</v>
      </c>
      <c r="R1" s="44"/>
    </row>
    <row r="2" spans="1:24" x14ac:dyDescent="0.2">
      <c r="A2" s="2">
        <v>0</v>
      </c>
      <c r="B2" s="53"/>
      <c r="C2" s="6"/>
      <c r="D2" s="6">
        <f>INTERCEPT(C3:C77,A3:A77)</f>
        <v>971.1200942372725</v>
      </c>
      <c r="E2" s="6">
        <f>SLOPE(C3:C77,A3:A77)</f>
        <v>101.48836362296417</v>
      </c>
      <c r="F2" s="6"/>
      <c r="G2" s="46"/>
      <c r="H2" s="46"/>
      <c r="I2" s="47"/>
      <c r="J2" s="47"/>
      <c r="K2" s="46"/>
      <c r="L2" s="46"/>
      <c r="M2" s="52" t="s">
        <v>67</v>
      </c>
      <c r="N2" s="45">
        <v>0.6</v>
      </c>
      <c r="R2" s="44"/>
    </row>
    <row r="3" spans="1:24" x14ac:dyDescent="0.2">
      <c r="A3" s="2">
        <f>[2]ArdiData!A3</f>
        <v>1</v>
      </c>
      <c r="B3" s="43">
        <f ca="1">'0.ArdiData'!C3</f>
        <v>1013</v>
      </c>
      <c r="C3" s="42">
        <v>1113.3499253558266</v>
      </c>
      <c r="D3" s="3">
        <f t="shared" ref="D3:D34" si="0">$N$1*C3+(1-$N$1)*F3</f>
        <v>1080.7567513593549</v>
      </c>
      <c r="E3" s="42">
        <f t="shared" ref="E3:E34" si="1">$N$2*(D3-D2)+(1-$N$2)*E2</f>
        <v>106.37733972243511</v>
      </c>
      <c r="F3" s="42">
        <f t="shared" ref="F3:F34" si="2">D2+E2</f>
        <v>1072.6084578602367</v>
      </c>
      <c r="G3" s="41">
        <f t="shared" ref="G3:G34" si="3">C3-F3</f>
        <v>40.741467495589859</v>
      </c>
      <c r="H3" s="41">
        <f t="shared" ref="H3:H34" si="4">ABS(G3)</f>
        <v>40.741467495589859</v>
      </c>
      <c r="I3" s="39">
        <f>SUM(H$3:H3)/COUNT(H$3:H3)</f>
        <v>40.741467495589859</v>
      </c>
      <c r="J3" s="39">
        <f>SUM(G$3:G3)/I3</f>
        <v>1</v>
      </c>
      <c r="K3" s="40">
        <f t="shared" ref="K3:K34" si="5">(G3-$G$78)^2</f>
        <v>30.869763613761691</v>
      </c>
      <c r="L3" s="39" t="e">
        <f>SQRT(SUM(K$3:K3)/(COUNT(K$3:K3)-1))</f>
        <v>#DIV/0!</v>
      </c>
    </row>
    <row r="4" spans="1:24" x14ac:dyDescent="0.2">
      <c r="A4" s="2">
        <f>[2]ArdiData!A4</f>
        <v>2</v>
      </c>
      <c r="B4" s="43">
        <f ca="1">'0.ArdiData'!C4</f>
        <v>1224</v>
      </c>
      <c r="C4" s="42">
        <v>1222.4509615075469</v>
      </c>
      <c r="D4" s="3">
        <f t="shared" si="0"/>
        <v>1194.1974651669416</v>
      </c>
      <c r="E4" s="42">
        <f t="shared" si="1"/>
        <v>110.61536417352605</v>
      </c>
      <c r="F4" s="42">
        <f t="shared" si="2"/>
        <v>1187.1340910817901</v>
      </c>
      <c r="G4" s="41">
        <f t="shared" si="3"/>
        <v>35.316870425756861</v>
      </c>
      <c r="H4" s="41">
        <f t="shared" si="4"/>
        <v>35.316870425756861</v>
      </c>
      <c r="I4" s="39">
        <f>SUM(H$3:H4)/COUNT(H$3:H4)</f>
        <v>38.02916896067336</v>
      </c>
      <c r="J4" s="39">
        <f>SUM(G$3:G4)/I4</f>
        <v>2</v>
      </c>
      <c r="K4" s="40">
        <f t="shared" si="5"/>
        <v>1.7281576635303535E-2</v>
      </c>
      <c r="L4" s="39">
        <f>SQRT(SUM(K$3:K4)/(COUNT(K$3:K4)-1))</f>
        <v>5.5576114645049621</v>
      </c>
    </row>
    <row r="5" spans="1:24" x14ac:dyDescent="0.2">
      <c r="A5" s="2">
        <f>[2]ArdiData!A5</f>
        <v>3</v>
      </c>
      <c r="B5" s="43">
        <f ca="1">'0.ArdiData'!C5</f>
        <v>1311</v>
      </c>
      <c r="C5" s="42">
        <v>1815.9308993190284</v>
      </c>
      <c r="D5" s="3">
        <f t="shared" si="0"/>
        <v>1407.0364433361801</v>
      </c>
      <c r="E5" s="42">
        <f t="shared" si="1"/>
        <v>171.94953257095355</v>
      </c>
      <c r="F5" s="42">
        <f t="shared" si="2"/>
        <v>1304.8128293404677</v>
      </c>
      <c r="G5" s="41">
        <f t="shared" si="3"/>
        <v>511.1180699785607</v>
      </c>
      <c r="H5" s="41">
        <f t="shared" si="4"/>
        <v>511.1180699785607</v>
      </c>
      <c r="I5" s="39">
        <f>SUM(H$3:H5)/COUNT(H$3:H5)</f>
        <v>195.72546929996915</v>
      </c>
      <c r="J5" s="39">
        <f>SUM(G$3:G5)/I5</f>
        <v>3</v>
      </c>
      <c r="K5" s="40">
        <f t="shared" si="5"/>
        <v>226511.89586797569</v>
      </c>
      <c r="L5" s="39">
        <f>SQRT(SUM(K$3:K5)/(COUNT(K$3:K5)-1))</f>
        <v>336.55815464282404</v>
      </c>
      <c r="M5" s="44">
        <f>I77</f>
        <v>531.10353796997686</v>
      </c>
      <c r="N5" s="3">
        <v>0.1</v>
      </c>
      <c r="O5" s="3">
        <v>0.2</v>
      </c>
      <c r="P5" s="3">
        <v>0.30000000000000004</v>
      </c>
      <c r="Q5" s="3">
        <v>0.4</v>
      </c>
      <c r="R5" s="3">
        <v>0.5</v>
      </c>
      <c r="S5" s="3">
        <v>0.6</v>
      </c>
      <c r="T5" s="3">
        <v>0.70000000000000007</v>
      </c>
      <c r="U5" s="3">
        <v>0.8</v>
      </c>
      <c r="V5" s="3">
        <v>0.9</v>
      </c>
      <c r="W5" s="3">
        <v>1</v>
      </c>
    </row>
    <row r="6" spans="1:24" x14ac:dyDescent="0.2">
      <c r="A6" s="2">
        <f>[2]ArdiData!A6</f>
        <v>4</v>
      </c>
      <c r="B6" s="43">
        <f ca="1">'0.ArdiData'!C6</f>
        <v>1386</v>
      </c>
      <c r="C6" s="42">
        <v>1877.6018297269898</v>
      </c>
      <c r="D6" s="3">
        <f t="shared" si="0"/>
        <v>1638.7091466711051</v>
      </c>
      <c r="E6" s="42">
        <f t="shared" si="1"/>
        <v>207.78343502933643</v>
      </c>
      <c r="F6" s="42">
        <f t="shared" si="2"/>
        <v>1578.9859759071337</v>
      </c>
      <c r="G6" s="41">
        <f t="shared" si="3"/>
        <v>298.61585381985606</v>
      </c>
      <c r="H6" s="41">
        <f t="shared" si="4"/>
        <v>298.61585381985606</v>
      </c>
      <c r="I6" s="39">
        <f>SUM(H$3:H6)/COUNT(H$3:H6)</f>
        <v>221.44806542994087</v>
      </c>
      <c r="J6" s="39">
        <f>SUM(G$3:G6)/I6</f>
        <v>4</v>
      </c>
      <c r="K6" s="40">
        <f t="shared" si="5"/>
        <v>69395.598196279912</v>
      </c>
      <c r="L6" s="39">
        <f>SQRT(SUM(K$3:K6)/(COUNT(K$3:K6)-1))</f>
        <v>314.07980997905929</v>
      </c>
      <c r="M6" s="3">
        <v>0.1</v>
      </c>
      <c r="N6" s="3">
        <f t="dataTable" ref="N6:W15" dt2D="1" dtr="1" r1="N2" r2="N1"/>
        <v>550.7351753519049</v>
      </c>
      <c r="O6" s="3">
        <v>545.92424087700158</v>
      </c>
      <c r="P6" s="3">
        <v>557.43466902979628</v>
      </c>
      <c r="Q6" s="3">
        <v>557.64236708057092</v>
      </c>
      <c r="R6" s="3">
        <v>563.28649969006585</v>
      </c>
      <c r="S6" s="3">
        <v>562.22811808778431</v>
      </c>
      <c r="T6" s="3">
        <v>559.16896274797932</v>
      </c>
      <c r="U6" s="3">
        <v>559.83016439210871</v>
      </c>
      <c r="V6" s="3">
        <v>558.71107452289846</v>
      </c>
      <c r="W6" s="3">
        <v>560.03685164011904</v>
      </c>
    </row>
    <row r="7" spans="1:24" x14ac:dyDescent="0.2">
      <c r="A7" s="2">
        <f>[2]ArdiData!A7</f>
        <v>5</v>
      </c>
      <c r="B7" s="43">
        <f ca="1">'0.ArdiData'!C7</f>
        <v>1423</v>
      </c>
      <c r="C7" s="42">
        <v>1437.7413264412648</v>
      </c>
      <c r="D7" s="3">
        <f t="shared" si="0"/>
        <v>1764.7423306486062</v>
      </c>
      <c r="E7" s="42">
        <f t="shared" si="1"/>
        <v>158.73328439823518</v>
      </c>
      <c r="F7" s="42">
        <f t="shared" si="2"/>
        <v>1846.4925817004416</v>
      </c>
      <c r="G7" s="41">
        <f t="shared" si="3"/>
        <v>-408.75125525917679</v>
      </c>
      <c r="H7" s="41">
        <f t="shared" si="4"/>
        <v>408.75125525917679</v>
      </c>
      <c r="I7" s="39">
        <f>SUM(H$3:H7)/COUNT(H$3:H7)</f>
        <v>258.90870339578805</v>
      </c>
      <c r="J7" s="39">
        <f>SUM(G$3:G7)/I7</f>
        <v>1.8425066450212937</v>
      </c>
      <c r="K7" s="40">
        <f t="shared" si="5"/>
        <v>197079.76366276905</v>
      </c>
      <c r="L7" s="39">
        <f>SQRT(SUM(K$3:K7)/(COUNT(K$3:K7)-1))</f>
        <v>351.07625410023638</v>
      </c>
      <c r="M7" s="3">
        <v>0.2</v>
      </c>
      <c r="N7" s="3">
        <v>535.15569294378122</v>
      </c>
      <c r="O7" s="3">
        <v>535.63744464342676</v>
      </c>
      <c r="P7" s="3">
        <v>536.08731976931813</v>
      </c>
      <c r="Q7" s="3">
        <v>533.70413206458261</v>
      </c>
      <c r="R7" s="3">
        <v>532.62367141195762</v>
      </c>
      <c r="S7" s="3">
        <v>531.10353796997686</v>
      </c>
      <c r="T7" s="3">
        <v>533.24287404987786</v>
      </c>
      <c r="U7" s="3">
        <v>541.94221086328184</v>
      </c>
      <c r="V7" s="3">
        <v>549.46128033252398</v>
      </c>
      <c r="W7" s="3">
        <v>556.6429050993919</v>
      </c>
    </row>
    <row r="8" spans="1:24" x14ac:dyDescent="0.2">
      <c r="A8" s="2">
        <f>[2]ArdiData!A8</f>
        <v>6</v>
      </c>
      <c r="B8" s="43">
        <f ca="1">'0.ArdiData'!C8</f>
        <v>1427</v>
      </c>
      <c r="C8" s="42">
        <v>1885.961866319813</v>
      </c>
      <c r="D8" s="3">
        <f t="shared" si="0"/>
        <v>1915.9728653014358</v>
      </c>
      <c r="E8" s="42">
        <f t="shared" si="1"/>
        <v>154.23163455099186</v>
      </c>
      <c r="F8" s="42">
        <f t="shared" si="2"/>
        <v>1923.4756150468413</v>
      </c>
      <c r="G8" s="41">
        <f t="shared" si="3"/>
        <v>-37.513748727028315</v>
      </c>
      <c r="H8" s="41">
        <f t="shared" si="4"/>
        <v>37.513748727028315</v>
      </c>
      <c r="I8" s="39">
        <f>SUM(H$3:H8)/COUNT(H$3:H8)</f>
        <v>222.00954428432809</v>
      </c>
      <c r="J8" s="39">
        <f>SUM(G$3:G8)/I8</f>
        <v>1.9797673976153696</v>
      </c>
      <c r="K8" s="40">
        <f t="shared" si="5"/>
        <v>5285.1678272197551</v>
      </c>
      <c r="L8" s="39">
        <f>SQRT(SUM(K$3:K8)/(COUNT(K$3:K8)-1))</f>
        <v>315.69077040655935</v>
      </c>
      <c r="M8" s="3">
        <v>0.30000000000000004</v>
      </c>
      <c r="N8" s="3">
        <v>543.09520094814889</v>
      </c>
      <c r="O8" s="3">
        <v>545.62183608204646</v>
      </c>
      <c r="P8" s="3">
        <v>544.97823929704634</v>
      </c>
      <c r="Q8" s="3">
        <v>544.51515839904062</v>
      </c>
      <c r="R8" s="3">
        <v>549.41713333705309</v>
      </c>
      <c r="S8" s="3">
        <v>556.07135002363407</v>
      </c>
      <c r="T8" s="3">
        <v>563.47059380355847</v>
      </c>
      <c r="U8" s="3">
        <v>570.83209042353212</v>
      </c>
      <c r="V8" s="3">
        <v>577.72406314779971</v>
      </c>
      <c r="W8" s="3">
        <v>586.8231899195498</v>
      </c>
    </row>
    <row r="9" spans="1:24" x14ac:dyDescent="0.2">
      <c r="A9" s="2">
        <f>[2]ArdiData!A9</f>
        <v>7</v>
      </c>
      <c r="B9" s="43">
        <f ca="1">'0.ArdiData'!C9</f>
        <v>1590</v>
      </c>
      <c r="C9" s="42">
        <v>1911.083953307721</v>
      </c>
      <c r="D9" s="3">
        <f t="shared" si="0"/>
        <v>2038.3803905434861</v>
      </c>
      <c r="E9" s="42">
        <f t="shared" si="1"/>
        <v>135.1371689656269</v>
      </c>
      <c r="F9" s="42">
        <f t="shared" si="2"/>
        <v>2070.2044998524275</v>
      </c>
      <c r="G9" s="41">
        <f t="shared" si="3"/>
        <v>-159.12054654470649</v>
      </c>
      <c r="H9" s="41">
        <f t="shared" si="4"/>
        <v>159.12054654470649</v>
      </c>
      <c r="I9" s="39">
        <f>SUM(H$3:H9)/COUNT(H$3:H9)</f>
        <v>213.02540175009645</v>
      </c>
      <c r="J9" s="39">
        <f>SUM(G$3:G9)/I9</f>
        <v>1.3163064539965124</v>
      </c>
      <c r="K9" s="40">
        <f t="shared" si="5"/>
        <v>37754.805143255406</v>
      </c>
      <c r="L9" s="39">
        <f>SQRT(SUM(K$3:K9)/(COUNT(K$3:K9)-1))</f>
        <v>298.90302712381771</v>
      </c>
      <c r="M9" s="3">
        <v>0.4</v>
      </c>
      <c r="N9" s="3">
        <v>558.65323450126266</v>
      </c>
      <c r="O9" s="3">
        <v>561.80994985932932</v>
      </c>
      <c r="P9" s="3">
        <v>566.39400245287607</v>
      </c>
      <c r="Q9" s="3">
        <v>574.24017901531715</v>
      </c>
      <c r="R9" s="3">
        <v>583.58322170256224</v>
      </c>
      <c r="S9" s="3">
        <v>593.96115376378646</v>
      </c>
      <c r="T9" s="3">
        <v>605.19374642730793</v>
      </c>
      <c r="U9" s="3">
        <v>618.61964959320846</v>
      </c>
      <c r="V9" s="3">
        <v>632.57372870409756</v>
      </c>
      <c r="W9" s="3">
        <v>647.86278321228087</v>
      </c>
    </row>
    <row r="10" spans="1:24" x14ac:dyDescent="0.2">
      <c r="A10" s="2">
        <f>[2]ArdiData!A10</f>
        <v>8</v>
      </c>
      <c r="B10" s="43">
        <f ca="1">'0.ArdiData'!C10</f>
        <v>1562</v>
      </c>
      <c r="C10" s="42">
        <v>1960.2999710554132</v>
      </c>
      <c r="D10" s="3">
        <f t="shared" si="0"/>
        <v>2130.8740418183734</v>
      </c>
      <c r="E10" s="42">
        <f t="shared" si="1"/>
        <v>109.55105835118312</v>
      </c>
      <c r="F10" s="42">
        <f t="shared" si="2"/>
        <v>2173.5175595091132</v>
      </c>
      <c r="G10" s="41">
        <f t="shared" si="3"/>
        <v>-213.21758845370005</v>
      </c>
      <c r="H10" s="41">
        <f t="shared" si="4"/>
        <v>213.21758845370005</v>
      </c>
      <c r="I10" s="39">
        <f>SUM(H$3:H10)/COUNT(H$3:H10)</f>
        <v>213.04942508804689</v>
      </c>
      <c r="J10" s="39">
        <f>SUM(G$3:G10)/I10</f>
        <v>0.31536871177842701</v>
      </c>
      <c r="K10" s="40">
        <f t="shared" si="5"/>
        <v>61704.050145124907</v>
      </c>
      <c r="L10" s="39">
        <f>SQRT(SUM(K$3:K10)/(COUNT(K$3:K10)-1))</f>
        <v>292.22353671897309</v>
      </c>
      <c r="M10" s="3">
        <v>0.5</v>
      </c>
      <c r="N10" s="3">
        <v>576.55067189184354</v>
      </c>
      <c r="O10" s="3">
        <v>586.0674872107021</v>
      </c>
      <c r="P10" s="3">
        <v>596.85938025614735</v>
      </c>
      <c r="Q10" s="3">
        <v>608.2452342687925</v>
      </c>
      <c r="R10" s="3">
        <v>620.72862081241715</v>
      </c>
      <c r="S10" s="3">
        <v>635.09103246630514</v>
      </c>
      <c r="T10" s="3">
        <v>651.5719152751476</v>
      </c>
      <c r="U10" s="3">
        <v>669.62214036505179</v>
      </c>
      <c r="V10" s="3">
        <v>688.40864449179242</v>
      </c>
      <c r="W10" s="3">
        <v>708.23622249462221</v>
      </c>
    </row>
    <row r="11" spans="1:24" x14ac:dyDescent="0.2">
      <c r="A11" s="2">
        <f>[2]ArdiData!A11</f>
        <v>9</v>
      </c>
      <c r="B11" s="43">
        <f ca="1">'0.ArdiData'!C11</f>
        <v>1986</v>
      </c>
      <c r="C11" s="42">
        <v>2414.1948755502854</v>
      </c>
      <c r="D11" s="3">
        <f t="shared" si="0"/>
        <v>2275.1790552457023</v>
      </c>
      <c r="E11" s="42">
        <f t="shared" si="1"/>
        <v>130.40343139687062</v>
      </c>
      <c r="F11" s="42">
        <f t="shared" si="2"/>
        <v>2240.4251001695566</v>
      </c>
      <c r="G11" s="41">
        <f t="shared" si="3"/>
        <v>173.76977538072879</v>
      </c>
      <c r="H11" s="41">
        <f t="shared" si="4"/>
        <v>173.76977538072879</v>
      </c>
      <c r="I11" s="39">
        <f>SUM(H$3:H11)/COUNT(H$3:H11)</f>
        <v>208.68501956501154</v>
      </c>
      <c r="J11" s="39">
        <f>SUM(G$3:G11)/I11</f>
        <v>1.154653547332442</v>
      </c>
      <c r="K11" s="40">
        <f t="shared" si="5"/>
        <v>19205.62604660961</v>
      </c>
      <c r="L11" s="39">
        <f>SQRT(SUM(K$3:K11)/(COUNT(K$3:K11)-1))</f>
        <v>277.70663341339741</v>
      </c>
      <c r="M11" s="3">
        <v>0.6</v>
      </c>
      <c r="N11" s="3">
        <v>601.73197640472779</v>
      </c>
      <c r="O11" s="3">
        <v>614.84635274585492</v>
      </c>
      <c r="P11" s="3">
        <v>628.31857477873086</v>
      </c>
      <c r="Q11" s="3">
        <v>642.82976163555941</v>
      </c>
      <c r="R11" s="3">
        <v>659.76414955285907</v>
      </c>
      <c r="S11" s="3">
        <v>679.16767281188152</v>
      </c>
      <c r="T11" s="3">
        <v>699.23514903440298</v>
      </c>
      <c r="U11" s="3">
        <v>721.0320633738794</v>
      </c>
      <c r="V11" s="3">
        <v>742.36474365074605</v>
      </c>
      <c r="W11" s="3">
        <v>764.10211058155289</v>
      </c>
    </row>
    <row r="12" spans="1:24" x14ac:dyDescent="0.2">
      <c r="A12" s="2">
        <f>[2]ArdiData!A12</f>
        <v>10</v>
      </c>
      <c r="B12" s="43">
        <f ca="1">'0.ArdiData'!C12</f>
        <v>1684</v>
      </c>
      <c r="C12" s="42">
        <v>2386.0381627363281</v>
      </c>
      <c r="D12" s="3">
        <f t="shared" si="0"/>
        <v>2401.6736218613241</v>
      </c>
      <c r="E12" s="42">
        <f t="shared" si="1"/>
        <v>128.05811252812134</v>
      </c>
      <c r="F12" s="42">
        <f t="shared" si="2"/>
        <v>2405.5824866425728</v>
      </c>
      <c r="G12" s="41">
        <f t="shared" si="3"/>
        <v>-19.544323906244699</v>
      </c>
      <c r="H12" s="41">
        <f t="shared" si="4"/>
        <v>19.544323906244699</v>
      </c>
      <c r="I12" s="39">
        <f>SUM(H$3:H12)/COUNT(H$3:H12)</f>
        <v>189.77094999913487</v>
      </c>
      <c r="J12" s="39">
        <f>SUM(G$3:G12)/I12</f>
        <v>1.1667464077649679</v>
      </c>
      <c r="K12" s="40">
        <f t="shared" si="5"/>
        <v>2995.3438845668798</v>
      </c>
      <c r="L12" s="39">
        <f>SQRT(SUM(K$3:K12)/(COUNT(K$3:K12)-1))</f>
        <v>262.45912651496627</v>
      </c>
      <c r="M12" s="3">
        <v>0.70000000000000007</v>
      </c>
      <c r="N12" s="3">
        <v>629.21065005831656</v>
      </c>
      <c r="O12" s="3">
        <v>645.23942906193179</v>
      </c>
      <c r="P12" s="3">
        <v>662.06986612527737</v>
      </c>
      <c r="Q12" s="3">
        <v>682.13002543960101</v>
      </c>
      <c r="R12" s="3">
        <v>703.25444925722513</v>
      </c>
      <c r="S12" s="3">
        <v>725.10164777129341</v>
      </c>
      <c r="T12" s="3">
        <v>750.16699692829604</v>
      </c>
      <c r="U12" s="3">
        <v>776.09783501641016</v>
      </c>
      <c r="V12" s="3">
        <v>804.37302654616258</v>
      </c>
      <c r="W12" s="3">
        <v>834.03562631551154</v>
      </c>
    </row>
    <row r="13" spans="1:24" x14ac:dyDescent="0.2">
      <c r="A13" s="2">
        <f>[2]ArdiData!A13</f>
        <v>11</v>
      </c>
      <c r="B13" s="43">
        <f ca="1">'0.ArdiData'!C13</f>
        <v>1693</v>
      </c>
      <c r="C13" s="42">
        <v>2360.0321962860157</v>
      </c>
      <c r="D13" s="3">
        <f t="shared" si="0"/>
        <v>2495.7918267687596</v>
      </c>
      <c r="E13" s="42">
        <f t="shared" si="1"/>
        <v>107.69416795570982</v>
      </c>
      <c r="F13" s="42">
        <f t="shared" si="2"/>
        <v>2529.7317343894456</v>
      </c>
      <c r="G13" s="41">
        <f t="shared" si="3"/>
        <v>-169.69953810342986</v>
      </c>
      <c r="H13" s="41">
        <f t="shared" si="4"/>
        <v>169.69953810342986</v>
      </c>
      <c r="I13" s="39">
        <f>SUM(H$3:H13)/COUNT(H$3:H13)</f>
        <v>187.94627619043439</v>
      </c>
      <c r="J13" s="39">
        <f>SUM(G$3:G13)/I13</f>
        <v>0.27515860997323727</v>
      </c>
      <c r="K13" s="40">
        <f t="shared" si="5"/>
        <v>41977.842375325854</v>
      </c>
      <c r="L13" s="39">
        <f>SQRT(SUM(K$3:K13)/(COUNT(K$3:K13)-1))</f>
        <v>257.28213700028175</v>
      </c>
      <c r="M13" s="3">
        <v>0.8</v>
      </c>
      <c r="N13" s="3">
        <v>657.22070075513284</v>
      </c>
      <c r="O13" s="3">
        <v>677.30213188567222</v>
      </c>
      <c r="P13" s="3">
        <v>699.77016737001111</v>
      </c>
      <c r="Q13" s="3">
        <v>724.34744382008569</v>
      </c>
      <c r="R13" s="3">
        <v>752.88874728465203</v>
      </c>
      <c r="S13" s="3">
        <v>784.01669165379928</v>
      </c>
      <c r="T13" s="3">
        <v>817.63404752825033</v>
      </c>
      <c r="U13" s="3">
        <v>851.71631870952831</v>
      </c>
      <c r="V13" s="3">
        <v>887.16067665322407</v>
      </c>
      <c r="W13" s="3">
        <v>926.44086714731009</v>
      </c>
    </row>
    <row r="14" spans="1:24" x14ac:dyDescent="0.2">
      <c r="A14" s="2">
        <f>[2]ArdiData!A14</f>
        <v>12</v>
      </c>
      <c r="B14" s="43">
        <f ca="1">'0.ArdiData'!C14</f>
        <v>1928</v>
      </c>
      <c r="C14" s="42">
        <v>2374.8996096579372</v>
      </c>
      <c r="D14" s="3">
        <f t="shared" si="0"/>
        <v>2557.7687177111629</v>
      </c>
      <c r="E14" s="42">
        <f t="shared" si="1"/>
        <v>80.263801747725921</v>
      </c>
      <c r="F14" s="42">
        <f t="shared" si="2"/>
        <v>2603.4859947244695</v>
      </c>
      <c r="G14" s="41">
        <f t="shared" si="3"/>
        <v>-228.58638506653233</v>
      </c>
      <c r="H14" s="41">
        <f t="shared" si="4"/>
        <v>228.58638506653233</v>
      </c>
      <c r="I14" s="39">
        <f>SUM(H$3:H14)/COUNT(H$3:H14)</f>
        <v>191.3329519301092</v>
      </c>
      <c r="J14" s="39">
        <f>SUM(G$3:G14)/I14</f>
        <v>-0.92441655854938398</v>
      </c>
      <c r="K14" s="40">
        <f t="shared" si="5"/>
        <v>69575.560408160207</v>
      </c>
      <c r="L14" s="39">
        <f>SQRT(SUM(K$3:K14)/(COUNT(K$3:K14)-1))</f>
        <v>257.87885468012752</v>
      </c>
      <c r="M14" s="3">
        <v>0.9</v>
      </c>
      <c r="N14" s="3">
        <v>688.27366312579159</v>
      </c>
      <c r="O14" s="3">
        <v>714.65553931523834</v>
      </c>
      <c r="P14" s="3">
        <v>746.76679981640541</v>
      </c>
      <c r="Q14" s="3">
        <v>781.31220782335936</v>
      </c>
      <c r="R14" s="3">
        <v>817.45584925983178</v>
      </c>
      <c r="S14" s="3">
        <v>855.1985553280017</v>
      </c>
      <c r="T14" s="3">
        <v>894.45500789409198</v>
      </c>
      <c r="U14" s="3">
        <v>939.69424893750829</v>
      </c>
      <c r="V14" s="3">
        <v>990.03272839589806</v>
      </c>
      <c r="W14" s="3">
        <v>1045.1650423681208</v>
      </c>
    </row>
    <row r="15" spans="1:24" x14ac:dyDescent="0.2">
      <c r="A15" s="2">
        <f>[2]ArdiData!A15</f>
        <v>13</v>
      </c>
      <c r="B15" s="43">
        <f ca="1">'0.ArdiData'!C15</f>
        <v>2070</v>
      </c>
      <c r="C15" s="42">
        <v>2837.1005129516102</v>
      </c>
      <c r="D15" s="3">
        <f t="shared" si="0"/>
        <v>2677.8461181574335</v>
      </c>
      <c r="E15" s="42">
        <f t="shared" si="1"/>
        <v>104.1519609668527</v>
      </c>
      <c r="F15" s="42">
        <f t="shared" si="2"/>
        <v>2638.0325194588891</v>
      </c>
      <c r="G15" s="41">
        <f t="shared" si="3"/>
        <v>199.06799349272114</v>
      </c>
      <c r="H15" s="41">
        <f t="shared" si="4"/>
        <v>199.06799349272114</v>
      </c>
      <c r="I15" s="39">
        <f>SUM(H$3:H15)/COUNT(H$3:H15)</f>
        <v>191.92795512723322</v>
      </c>
      <c r="J15" s="39">
        <f>SUM(G$3:G15)/I15</f>
        <v>0.11565091973016774</v>
      </c>
      <c r="K15" s="40">
        <f t="shared" si="5"/>
        <v>26857.500839515669</v>
      </c>
      <c r="L15" s="39">
        <f>SQRT(SUM(K$3:K15)/(COUNT(K$3:K15)-1))</f>
        <v>251.39179936273337</v>
      </c>
      <c r="M15" s="3">
        <v>1</v>
      </c>
      <c r="N15" s="3">
        <v>728.37752944351848</v>
      </c>
      <c r="O15" s="3">
        <v>764.97352990488082</v>
      </c>
      <c r="P15" s="3">
        <v>805.59056595203356</v>
      </c>
      <c r="Q15" s="3">
        <v>847.83472916472874</v>
      </c>
      <c r="R15" s="3">
        <v>892.17262672272159</v>
      </c>
      <c r="S15" s="3">
        <v>938.57956207566258</v>
      </c>
      <c r="T15" s="3">
        <v>991.14745212991727</v>
      </c>
      <c r="U15" s="3">
        <v>1048.7980679170007</v>
      </c>
      <c r="V15" s="3">
        <v>1118.0491855627984</v>
      </c>
      <c r="W15" s="3">
        <v>1196.3574179536706</v>
      </c>
    </row>
    <row r="16" spans="1:24" x14ac:dyDescent="0.2">
      <c r="A16" s="2">
        <f>[2]ArdiData!A16</f>
        <v>14</v>
      </c>
      <c r="B16" s="43">
        <f ca="1">'0.ArdiData'!C16</f>
        <v>2301</v>
      </c>
      <c r="C16" s="42">
        <v>2930.8445360245173</v>
      </c>
      <c r="D16" s="3">
        <f t="shared" si="0"/>
        <v>2811.7673705043326</v>
      </c>
      <c r="E16" s="42">
        <f t="shared" si="1"/>
        <v>122.01353579488055</v>
      </c>
      <c r="F16" s="42">
        <f t="shared" si="2"/>
        <v>2781.9980791242861</v>
      </c>
      <c r="G16" s="41">
        <f t="shared" si="3"/>
        <v>148.84645690023126</v>
      </c>
      <c r="H16" s="41">
        <f t="shared" si="4"/>
        <v>148.84645690023126</v>
      </c>
      <c r="I16" s="39">
        <f>SUM(H$3:H16)/COUNT(H$3:H16)</f>
        <v>188.85070525387593</v>
      </c>
      <c r="J16" s="39">
        <f>SUM(G$3:G16)/I16</f>
        <v>0.90570538882917773</v>
      </c>
      <c r="K16" s="40">
        <f t="shared" si="5"/>
        <v>12918.833351688992</v>
      </c>
      <c r="L16" s="39">
        <f>SQRT(SUM(K$3:K16)/(COUNT(K$3:K16)-1))</f>
        <v>243.57795700345213</v>
      </c>
      <c r="X16" s="3">
        <f>MIN(N6:W15)</f>
        <v>531.10353796997686</v>
      </c>
    </row>
    <row r="17" spans="1:12" x14ac:dyDescent="0.2">
      <c r="A17" s="2">
        <f>[2]ArdiData!A17</f>
        <v>15</v>
      </c>
      <c r="B17" s="43">
        <f ca="1">'0.ArdiData'!C17</f>
        <v>2403</v>
      </c>
      <c r="C17" s="42">
        <v>2610.1441965075874</v>
      </c>
      <c r="D17" s="3">
        <f t="shared" si="0"/>
        <v>2869.0535643408884</v>
      </c>
      <c r="E17" s="42">
        <f t="shared" si="1"/>
        <v>83.177130619885745</v>
      </c>
      <c r="F17" s="42">
        <f t="shared" si="2"/>
        <v>2933.7809062992133</v>
      </c>
      <c r="G17" s="41">
        <f t="shared" si="3"/>
        <v>-323.63670979162589</v>
      </c>
      <c r="H17" s="41">
        <f t="shared" si="4"/>
        <v>323.63670979162589</v>
      </c>
      <c r="I17" s="39">
        <f>SUM(H$3:H17)/COUNT(H$3:H17)</f>
        <v>197.83643888972591</v>
      </c>
      <c r="J17" s="39">
        <f>SUM(G$3:G17)/I17</f>
        <v>-0.77131194442928419</v>
      </c>
      <c r="K17" s="40">
        <f t="shared" si="5"/>
        <v>128753.31438027737</v>
      </c>
      <c r="L17" s="39">
        <f>SQRT(SUM(K$3:K17)/(COUNT(K$3:K17)-1))</f>
        <v>253.55278249789669</v>
      </c>
    </row>
    <row r="18" spans="1:12" x14ac:dyDescent="0.2">
      <c r="A18" s="2">
        <f>[2]ArdiData!A18</f>
        <v>16</v>
      </c>
      <c r="B18" s="43">
        <f ca="1">'0.ArdiData'!C18</f>
        <v>1988</v>
      </c>
      <c r="C18" s="42">
        <v>3135.2317628620631</v>
      </c>
      <c r="D18" s="3">
        <f t="shared" si="0"/>
        <v>2988.8309085410319</v>
      </c>
      <c r="E18" s="42">
        <f t="shared" si="1"/>
        <v>105.1372587680404</v>
      </c>
      <c r="F18" s="42">
        <f t="shared" si="2"/>
        <v>2952.2306949607741</v>
      </c>
      <c r="G18" s="41">
        <f t="shared" si="3"/>
        <v>183.00106790128893</v>
      </c>
      <c r="H18" s="41">
        <f t="shared" si="4"/>
        <v>183.00106790128893</v>
      </c>
      <c r="I18" s="39">
        <f>SUM(H$3:H18)/COUNT(H$3:H18)</f>
        <v>196.90922820294861</v>
      </c>
      <c r="J18" s="39">
        <f>SUM(G$3:G18)/I18</f>
        <v>0.15442374041987056</v>
      </c>
      <c r="K18" s="40">
        <f t="shared" si="5"/>
        <v>21849.468420678731</v>
      </c>
      <c r="L18" s="39">
        <f>SQRT(SUM(K$3:K18)/(COUNT(K$3:K18)-1))</f>
        <v>247.91069058495489</v>
      </c>
    </row>
    <row r="19" spans="1:12" x14ac:dyDescent="0.2">
      <c r="A19" s="2">
        <f>[2]ArdiData!A19</f>
        <v>17</v>
      </c>
      <c r="B19" s="43">
        <f ca="1">'0.ArdiData'!C19</f>
        <v>2352</v>
      </c>
      <c r="C19" s="42">
        <v>2997.405744195491</v>
      </c>
      <c r="D19" s="3">
        <f t="shared" si="0"/>
        <v>3074.6556826863562</v>
      </c>
      <c r="E19" s="42">
        <f t="shared" si="1"/>
        <v>93.549767994410701</v>
      </c>
      <c r="F19" s="42">
        <f t="shared" si="2"/>
        <v>3093.9681673090722</v>
      </c>
      <c r="G19" s="41">
        <f t="shared" si="3"/>
        <v>-96.56242311358119</v>
      </c>
      <c r="H19" s="41">
        <f t="shared" si="4"/>
        <v>96.56242311358119</v>
      </c>
      <c r="I19" s="39">
        <f>SUM(H$3:H19)/COUNT(H$3:H19)</f>
        <v>191.00647496239759</v>
      </c>
      <c r="J19" s="39">
        <f>SUM(G$3:G19)/I19</f>
        <v>-0.34634932446303496</v>
      </c>
      <c r="K19" s="40">
        <f t="shared" si="5"/>
        <v>17357.491797613467</v>
      </c>
      <c r="L19" s="39">
        <f>SQRT(SUM(K$3:K19)/(COUNT(K$3:K19)-1))</f>
        <v>242.28768403906906</v>
      </c>
    </row>
    <row r="20" spans="1:12" x14ac:dyDescent="0.2">
      <c r="A20" s="2">
        <f>[2]ArdiData!A20</f>
        <v>18</v>
      </c>
      <c r="B20" s="43">
        <f ca="1">'0.ArdiData'!C20</f>
        <v>2174</v>
      </c>
      <c r="C20" s="42">
        <v>2897.6453125752814</v>
      </c>
      <c r="D20" s="3">
        <f t="shared" si="0"/>
        <v>3114.0934230596699</v>
      </c>
      <c r="E20" s="42">
        <f t="shared" si="1"/>
        <v>61.082551421752541</v>
      </c>
      <c r="F20" s="42">
        <f t="shared" si="2"/>
        <v>3168.2054506807667</v>
      </c>
      <c r="G20" s="41">
        <f t="shared" si="3"/>
        <v>-270.56013810548529</v>
      </c>
      <c r="H20" s="41">
        <f t="shared" si="4"/>
        <v>270.56013810548529</v>
      </c>
      <c r="I20" s="39">
        <f>SUM(H$3:H20)/COUNT(H$3:H20)</f>
        <v>195.42612291479134</v>
      </c>
      <c r="J20" s="39">
        <f>SUM(G$3:G20)/I20</f>
        <v>-1.7229789787294201</v>
      </c>
      <c r="K20" s="40">
        <f t="shared" si="5"/>
        <v>93480.34080708299</v>
      </c>
      <c r="L20" s="39">
        <f>SQRT(SUM(K$3:K20)/(COUNT(K$3:K20)-1))</f>
        <v>246.47318076264403</v>
      </c>
    </row>
    <row r="21" spans="1:12" x14ac:dyDescent="0.2">
      <c r="A21" s="2">
        <f>[2]ArdiData!A21</f>
        <v>19</v>
      </c>
      <c r="B21" s="43">
        <f ca="1">'0.ArdiData'!C21</f>
        <v>2418</v>
      </c>
      <c r="C21" s="42">
        <v>2451.4955445656897</v>
      </c>
      <c r="D21" s="3">
        <f t="shared" si="0"/>
        <v>3030.4398884982761</v>
      </c>
      <c r="E21" s="42">
        <f t="shared" si="1"/>
        <v>-25.759100168135276</v>
      </c>
      <c r="F21" s="42">
        <f t="shared" si="2"/>
        <v>3175.1759744814226</v>
      </c>
      <c r="G21" s="41">
        <f t="shared" si="3"/>
        <v>-723.68042991573293</v>
      </c>
      <c r="H21" s="41">
        <f t="shared" si="4"/>
        <v>723.68042991573293</v>
      </c>
      <c r="I21" s="39">
        <f>SUM(H$3:H21)/COUNT(H$3:H21)</f>
        <v>223.2289811779988</v>
      </c>
      <c r="J21" s="39">
        <f>SUM(G$3:G21)/I21</f>
        <v>-4.7502592449990608</v>
      </c>
      <c r="K21" s="40">
        <f t="shared" si="5"/>
        <v>575877.3645317466</v>
      </c>
      <c r="L21" s="39">
        <f>SQRT(SUM(K$3:K21)/(COUNT(K$3:K21)-1))</f>
        <v>298.94358950692072</v>
      </c>
    </row>
    <row r="22" spans="1:12" x14ac:dyDescent="0.2">
      <c r="A22" s="2">
        <f>[2]ArdiData!A22</f>
        <v>20</v>
      </c>
      <c r="B22" s="43">
        <f ca="1">'0.ArdiData'!C22</f>
        <v>2550</v>
      </c>
      <c r="C22" s="42">
        <v>3606.7892415047718</v>
      </c>
      <c r="D22" s="3">
        <f t="shared" si="0"/>
        <v>3125.1024789650673</v>
      </c>
      <c r="E22" s="42">
        <f t="shared" si="1"/>
        <v>46.493914212820627</v>
      </c>
      <c r="F22" s="42">
        <f t="shared" si="2"/>
        <v>3004.6807883301408</v>
      </c>
      <c r="G22" s="41">
        <f t="shared" si="3"/>
        <v>602.10845317463099</v>
      </c>
      <c r="H22" s="41">
        <f t="shared" si="4"/>
        <v>602.10845317463099</v>
      </c>
      <c r="I22" s="39">
        <f>SUM(H$3:H22)/COUNT(H$3:H22)</f>
        <v>242.1729547778304</v>
      </c>
      <c r="J22" s="39">
        <f>SUM(G$3:G22)/I22</f>
        <v>-1.8923957831637808</v>
      </c>
      <c r="K22" s="40">
        <f t="shared" si="5"/>
        <v>321401.73573135288</v>
      </c>
      <c r="L22" s="39">
        <f>SQRT(SUM(K$3:K22)/(COUNT(K$3:K22)-1))</f>
        <v>318.71556288380185</v>
      </c>
    </row>
    <row r="23" spans="1:12" x14ac:dyDescent="0.2">
      <c r="A23" s="2">
        <f>[2]ArdiData!A23</f>
        <v>21</v>
      </c>
      <c r="B23" s="43">
        <f ca="1">'0.ArdiData'!C23</f>
        <v>2905</v>
      </c>
      <c r="C23" s="42">
        <v>3329.4002934339937</v>
      </c>
      <c r="D23" s="3">
        <f t="shared" si="0"/>
        <v>3203.157173229109</v>
      </c>
      <c r="E23" s="42">
        <f t="shared" si="1"/>
        <v>65.430382243553268</v>
      </c>
      <c r="F23" s="42">
        <f t="shared" si="2"/>
        <v>3171.5963931778879</v>
      </c>
      <c r="G23" s="41">
        <f t="shared" si="3"/>
        <v>157.80390025610586</v>
      </c>
      <c r="H23" s="41">
        <f t="shared" si="4"/>
        <v>157.80390025610586</v>
      </c>
      <c r="I23" s="39">
        <f>SUM(H$3:H23)/COUNT(H$3:H23)</f>
        <v>238.15538075298642</v>
      </c>
      <c r="J23" s="39">
        <f>SUM(G$3:G23)/I23</f>
        <v>-1.2617106412281023</v>
      </c>
      <c r="K23" s="40">
        <f t="shared" si="5"/>
        <v>15035.293903732731</v>
      </c>
      <c r="L23" s="39">
        <f>SQRT(SUM(K$3:K23)/(COUNT(K$3:K23)-1))</f>
        <v>311.85316130882552</v>
      </c>
    </row>
    <row r="24" spans="1:12" x14ac:dyDescent="0.2">
      <c r="A24" s="2">
        <f>[2]ArdiData!A24</f>
        <v>22</v>
      </c>
      <c r="B24" s="43">
        <f ca="1">'0.ArdiData'!C24</f>
        <v>2738</v>
      </c>
      <c r="C24" s="42">
        <v>3271.7372704254626</v>
      </c>
      <c r="D24" s="3">
        <f t="shared" si="0"/>
        <v>3269.2174984632225</v>
      </c>
      <c r="E24" s="42">
        <f t="shared" si="1"/>
        <v>65.808348037889346</v>
      </c>
      <c r="F24" s="42">
        <f t="shared" si="2"/>
        <v>3268.5875554726622</v>
      </c>
      <c r="G24" s="41">
        <f t="shared" si="3"/>
        <v>3.1497149528004229</v>
      </c>
      <c r="H24" s="41">
        <f t="shared" si="4"/>
        <v>3.1497149528004229</v>
      </c>
      <c r="I24" s="39">
        <f>SUM(H$3:H24)/COUNT(H$3:H24)</f>
        <v>227.47330503479614</v>
      </c>
      <c r="J24" s="39">
        <f>SUM(G$3:G24)/I24</f>
        <v>-1.3071136552198528</v>
      </c>
      <c r="K24" s="40">
        <f t="shared" si="5"/>
        <v>1026.2858221996787</v>
      </c>
      <c r="L24" s="39">
        <f>SQRT(SUM(K$3:K24)/(COUNT(K$3:K24)-1))</f>
        <v>304.41780266666143</v>
      </c>
    </row>
    <row r="25" spans="1:12" x14ac:dyDescent="0.2">
      <c r="A25" s="2">
        <f>[2]ArdiData!A25</f>
        <v>23</v>
      </c>
      <c r="B25" s="43">
        <f ca="1">'0.ArdiData'!C25</f>
        <v>2770</v>
      </c>
      <c r="C25" s="42">
        <v>3370.7908457036756</v>
      </c>
      <c r="D25" s="3">
        <f t="shared" si="0"/>
        <v>3342.1788463416246</v>
      </c>
      <c r="E25" s="42">
        <f t="shared" si="1"/>
        <v>70.100147942197054</v>
      </c>
      <c r="F25" s="42">
        <f t="shared" si="2"/>
        <v>3335.025846501112</v>
      </c>
      <c r="G25" s="41">
        <f t="shared" si="3"/>
        <v>35.764999202563558</v>
      </c>
      <c r="H25" s="41">
        <f t="shared" si="4"/>
        <v>35.764999202563558</v>
      </c>
      <c r="I25" s="39">
        <f>SUM(H$3:H25)/COUNT(H$3:H25)</f>
        <v>219.13816130295993</v>
      </c>
      <c r="J25" s="39">
        <f>SUM(G$3:G25)/I25</f>
        <v>-1.1936235224899476</v>
      </c>
      <c r="K25" s="40">
        <f t="shared" si="5"/>
        <v>0.3359224669813996</v>
      </c>
      <c r="L25" s="39">
        <f>SQRT(SUM(K$3:K25)/(COUNT(K$3:K25)-1))</f>
        <v>297.4187823523373</v>
      </c>
    </row>
    <row r="26" spans="1:12" x14ac:dyDescent="0.2">
      <c r="A26" s="2">
        <f>[2]ArdiData!A26</f>
        <v>24</v>
      </c>
      <c r="B26" s="43">
        <f ca="1">'0.ArdiData'!C26</f>
        <v>2924</v>
      </c>
      <c r="C26" s="42">
        <v>3326.6171341495628</v>
      </c>
      <c r="D26" s="3">
        <f t="shared" si="0"/>
        <v>3395.1466222569702</v>
      </c>
      <c r="E26" s="42">
        <f t="shared" si="1"/>
        <v>59.820724726086155</v>
      </c>
      <c r="F26" s="42">
        <f t="shared" si="2"/>
        <v>3412.2789942838217</v>
      </c>
      <c r="G26" s="41">
        <f t="shared" si="3"/>
        <v>-85.661860134258859</v>
      </c>
      <c r="H26" s="41">
        <f t="shared" si="4"/>
        <v>85.661860134258859</v>
      </c>
      <c r="I26" s="39">
        <f>SUM(H$3:H26)/COUNT(H$3:H26)</f>
        <v>213.57664875426406</v>
      </c>
      <c r="J26" s="39">
        <f>SUM(G$3:G26)/I26</f>
        <v>-1.6257878666322869</v>
      </c>
      <c r="K26" s="40">
        <f t="shared" si="5"/>
        <v>14604.0629442604</v>
      </c>
      <c r="L26" s="39">
        <f>SQRT(SUM(K$3:K26)/(COUNT(K$3:K26)-1))</f>
        <v>291.97070796013634</v>
      </c>
    </row>
    <row r="27" spans="1:12" x14ac:dyDescent="0.2">
      <c r="A27" s="2">
        <f>[2]ArdiData!A27</f>
        <v>25</v>
      </c>
      <c r="B27" s="43">
        <f ca="1">'0.ArdiData'!C27</f>
        <v>2641</v>
      </c>
      <c r="C27" s="42">
        <v>3919.3323507327541</v>
      </c>
      <c r="D27" s="3">
        <f t="shared" si="0"/>
        <v>3547.8403477329962</v>
      </c>
      <c r="E27" s="42">
        <f t="shared" si="1"/>
        <v>115.54452517605006</v>
      </c>
      <c r="F27" s="42">
        <f t="shared" si="2"/>
        <v>3454.9673469830564</v>
      </c>
      <c r="G27" s="41">
        <f t="shared" si="3"/>
        <v>464.36500374969773</v>
      </c>
      <c r="H27" s="41">
        <f t="shared" si="4"/>
        <v>464.36500374969773</v>
      </c>
      <c r="I27" s="39">
        <f>SUM(H$3:H27)/COUNT(H$3:H27)</f>
        <v>223.60818295408143</v>
      </c>
      <c r="J27" s="39">
        <f>SUM(G$3:G27)/I27</f>
        <v>0.52383896716822487</v>
      </c>
      <c r="K27" s="40">
        <f t="shared" si="5"/>
        <v>184195.1228197864</v>
      </c>
      <c r="L27" s="39">
        <f>SQRT(SUM(K$3:K27)/(COUNT(K$3:K27)-1))</f>
        <v>298.94771643458552</v>
      </c>
    </row>
    <row r="28" spans="1:12" x14ac:dyDescent="0.2">
      <c r="A28" s="2">
        <f>[2]ArdiData!A28</f>
        <v>26</v>
      </c>
      <c r="B28" s="43">
        <f ca="1">'0.ArdiData'!C28</f>
        <v>3140</v>
      </c>
      <c r="C28" s="42">
        <v>3932.7496928280202</v>
      </c>
      <c r="D28" s="3">
        <f t="shared" si="0"/>
        <v>3717.2578368928412</v>
      </c>
      <c r="E28" s="42">
        <f t="shared" si="1"/>
        <v>147.86830356632703</v>
      </c>
      <c r="F28" s="42">
        <f t="shared" si="2"/>
        <v>3663.3848729090464</v>
      </c>
      <c r="G28" s="41">
        <f t="shared" si="3"/>
        <v>269.36481991897381</v>
      </c>
      <c r="H28" s="41">
        <f t="shared" si="4"/>
        <v>269.36481991897381</v>
      </c>
      <c r="I28" s="39">
        <f>SUM(H$3:H28)/COUNT(H$3:H28)</f>
        <v>225.36805360657729</v>
      </c>
      <c r="J28" s="39">
        <f>SUM(G$3:G28)/I28</f>
        <v>1.7149702157995805</v>
      </c>
      <c r="K28" s="40">
        <f t="shared" si="5"/>
        <v>54839.995554541114</v>
      </c>
      <c r="L28" s="39">
        <f>SQRT(SUM(K$3:K28)/(COUNT(K$3:K28)-1))</f>
        <v>296.6286356661758</v>
      </c>
    </row>
    <row r="29" spans="1:12" x14ac:dyDescent="0.2">
      <c r="A29" s="2">
        <f>[2]ArdiData!A29</f>
        <v>27</v>
      </c>
      <c r="B29" s="43">
        <f ca="1">'0.ArdiData'!C29</f>
        <v>2955</v>
      </c>
      <c r="C29" s="42">
        <v>3271.4587202821313</v>
      </c>
      <c r="D29" s="3">
        <f t="shared" si="0"/>
        <v>3746.3926564237609</v>
      </c>
      <c r="E29" s="42">
        <f t="shared" si="1"/>
        <v>76.628213145082626</v>
      </c>
      <c r="F29" s="42">
        <f t="shared" si="2"/>
        <v>3865.1261404591683</v>
      </c>
      <c r="G29" s="41">
        <f t="shared" si="3"/>
        <v>-593.667420177037</v>
      </c>
      <c r="H29" s="41">
        <f t="shared" si="4"/>
        <v>593.667420177037</v>
      </c>
      <c r="I29" s="39">
        <f>SUM(H$3:H29)/COUNT(H$3:H29)</f>
        <v>239.00877088696467</v>
      </c>
      <c r="J29" s="39">
        <f>SUM(G$3:G29)/I29</f>
        <v>-0.86677957415634099</v>
      </c>
      <c r="K29" s="40">
        <f t="shared" si="5"/>
        <v>395455.88329843793</v>
      </c>
      <c r="L29" s="39">
        <f>SQRT(SUM(K$3:K29)/(COUNT(K$3:K29)-1))</f>
        <v>315.93387640258499</v>
      </c>
    </row>
    <row r="30" spans="1:12" x14ac:dyDescent="0.2">
      <c r="A30" s="2">
        <f>[2]ArdiData!A30</f>
        <v>28</v>
      </c>
      <c r="B30" s="43">
        <f ca="1">'0.ArdiData'!C30</f>
        <v>3547</v>
      </c>
      <c r="C30" s="42">
        <v>4226.8800578487453</v>
      </c>
      <c r="D30" s="3">
        <f t="shared" si="0"/>
        <v>3903.792707224824</v>
      </c>
      <c r="E30" s="42">
        <f t="shared" si="1"/>
        <v>125.09131573867093</v>
      </c>
      <c r="F30" s="42">
        <f t="shared" si="2"/>
        <v>3823.0208695688434</v>
      </c>
      <c r="G30" s="41">
        <f t="shared" si="3"/>
        <v>403.8591882799019</v>
      </c>
      <c r="H30" s="41">
        <f t="shared" si="4"/>
        <v>403.8591882799019</v>
      </c>
      <c r="I30" s="39">
        <f>SUM(H$3:H30)/COUNT(H$3:H30)</f>
        <v>244.89628579385527</v>
      </c>
      <c r="J30" s="39">
        <f>SUM(G$3:G30)/I30</f>
        <v>0.80316149750199028</v>
      </c>
      <c r="K30" s="40">
        <f t="shared" si="5"/>
        <v>135920.35404265486</v>
      </c>
      <c r="L30" s="39">
        <f>SQRT(SUM(K$3:K30)/(COUNT(K$3:K30)-1))</f>
        <v>318.0432025609166</v>
      </c>
    </row>
    <row r="31" spans="1:12" x14ac:dyDescent="0.2">
      <c r="A31" s="2">
        <f>[2]ArdiData!A31</f>
        <v>29</v>
      </c>
      <c r="B31" s="43">
        <f ca="1">'0.ArdiData'!C31</f>
        <v>3579</v>
      </c>
      <c r="C31" s="42">
        <v>3676.4065496322846</v>
      </c>
      <c r="D31" s="3">
        <f t="shared" si="0"/>
        <v>3958.3885282972533</v>
      </c>
      <c r="E31" s="42">
        <f t="shared" si="1"/>
        <v>82.794018938925973</v>
      </c>
      <c r="F31" s="42">
        <f t="shared" si="2"/>
        <v>4028.8840229634948</v>
      </c>
      <c r="G31" s="41">
        <f t="shared" si="3"/>
        <v>-352.47747333121015</v>
      </c>
      <c r="H31" s="41">
        <f t="shared" si="4"/>
        <v>352.47747333121015</v>
      </c>
      <c r="I31" s="39">
        <f>SUM(H$3:H31)/COUNT(H$3:H31)</f>
        <v>248.60598191583304</v>
      </c>
      <c r="J31" s="39">
        <f>SUM(G$3:G31)/I31</f>
        <v>-0.62663900723468613</v>
      </c>
      <c r="K31" s="40">
        <f t="shared" si="5"/>
        <v>150282.51189974471</v>
      </c>
      <c r="L31" s="39">
        <f>SQRT(SUM(K$3:K31)/(COUNT(K$3:K31)-1))</f>
        <v>320.78989767838584</v>
      </c>
    </row>
    <row r="32" spans="1:12" x14ac:dyDescent="0.2">
      <c r="A32" s="2">
        <f>[2]ArdiData!A32</f>
        <v>30</v>
      </c>
      <c r="B32" s="43">
        <f ca="1">'0.ArdiData'!C32</f>
        <v>3236</v>
      </c>
      <c r="C32" s="42">
        <v>3709.9538102697975</v>
      </c>
      <c r="D32" s="3">
        <f t="shared" si="0"/>
        <v>3974.9367998429034</v>
      </c>
      <c r="E32" s="42">
        <f t="shared" si="1"/>
        <v>43.046570502960449</v>
      </c>
      <c r="F32" s="42">
        <f t="shared" si="2"/>
        <v>4041.1825472361793</v>
      </c>
      <c r="G32" s="41">
        <f t="shared" si="3"/>
        <v>-331.2287369663818</v>
      </c>
      <c r="H32" s="41">
        <f t="shared" si="4"/>
        <v>331.2287369663818</v>
      </c>
      <c r="I32" s="39">
        <f>SUM(H$3:H32)/COUNT(H$3:H32)</f>
        <v>251.36007375085134</v>
      </c>
      <c r="J32" s="39">
        <f>SUM(G$3:G32)/I32</f>
        <v>-1.9375190952141987</v>
      </c>
      <c r="K32" s="40">
        <f t="shared" si="5"/>
        <v>134259.32784103689</v>
      </c>
      <c r="L32" s="39">
        <f>SQRT(SUM(K$3:K32)/(COUNT(K$3:K32)-1))</f>
        <v>322.47062226585456</v>
      </c>
    </row>
    <row r="33" spans="1:12" x14ac:dyDescent="0.2">
      <c r="A33" s="2">
        <f>[2]ArdiData!A33</f>
        <v>31</v>
      </c>
      <c r="B33" s="43">
        <f ca="1">'0.ArdiData'!C33</f>
        <v>3352</v>
      </c>
      <c r="C33" s="42">
        <v>4309.3917506051803</v>
      </c>
      <c r="D33" s="3">
        <f t="shared" si="0"/>
        <v>4076.2650463977275</v>
      </c>
      <c r="E33" s="42">
        <f t="shared" si="1"/>
        <v>78.015576134078628</v>
      </c>
      <c r="F33" s="42">
        <f t="shared" si="2"/>
        <v>4017.9833703458639</v>
      </c>
      <c r="G33" s="41">
        <f t="shared" si="3"/>
        <v>291.40838025931635</v>
      </c>
      <c r="H33" s="41">
        <f t="shared" si="4"/>
        <v>291.40838025931635</v>
      </c>
      <c r="I33" s="39">
        <f>SUM(H$3:H33)/COUNT(H$3:H33)</f>
        <v>252.65195460596314</v>
      </c>
      <c r="J33" s="39">
        <f>SUM(G$3:G33)/I33</f>
        <v>-0.77421353304974849</v>
      </c>
      <c r="K33" s="40">
        <f t="shared" si="5"/>
        <v>65650.209968293508</v>
      </c>
      <c r="L33" s="39">
        <f>SQRT(SUM(K$3:K33)/(COUNT(K$3:K33)-1))</f>
        <v>320.48307154874755</v>
      </c>
    </row>
    <row r="34" spans="1:12" x14ac:dyDescent="0.2">
      <c r="A34" s="2">
        <f>[2]ArdiData!A34</f>
        <v>32</v>
      </c>
      <c r="B34" s="43">
        <f ca="1">'0.ArdiData'!C34</f>
        <v>3318</v>
      </c>
      <c r="C34" s="42">
        <v>3396.6468613345064</v>
      </c>
      <c r="D34" s="3">
        <f t="shared" si="0"/>
        <v>4002.7538702923466</v>
      </c>
      <c r="E34" s="42">
        <f t="shared" si="1"/>
        <v>-12.900475209597058</v>
      </c>
      <c r="F34" s="42">
        <f t="shared" si="2"/>
        <v>4154.2806225318063</v>
      </c>
      <c r="G34" s="41">
        <f t="shared" si="3"/>
        <v>-757.63376119729992</v>
      </c>
      <c r="H34" s="41">
        <f t="shared" si="4"/>
        <v>757.63376119729992</v>
      </c>
      <c r="I34" s="39">
        <f>SUM(H$3:H34)/COUNT(H$3:H34)</f>
        <v>268.43263606194239</v>
      </c>
      <c r="J34" s="39">
        <f>SUM(G$3:G34)/I34</f>
        <v>-3.5511342346045494</v>
      </c>
      <c r="K34" s="40">
        <f t="shared" si="5"/>
        <v>628562.23982764524</v>
      </c>
      <c r="L34" s="39">
        <f>SQRT(SUM(K$3:K34)/(COUNT(K$3:K34)-1))</f>
        <v>345.93697982423157</v>
      </c>
    </row>
    <row r="35" spans="1:12" x14ac:dyDescent="0.2">
      <c r="A35" s="2">
        <f>[2]ArdiData!A35</f>
        <v>33</v>
      </c>
      <c r="B35" s="43">
        <f ca="1">'0.ArdiData'!C35</f>
        <v>3446</v>
      </c>
      <c r="C35" s="42">
        <v>3425.2650395092878</v>
      </c>
      <c r="D35" s="3">
        <f t="shared" ref="D35:D66" si="6">$N$1*C35+(1-$N$1)*F35</f>
        <v>3876.9357239680576</v>
      </c>
      <c r="E35" s="42">
        <f t="shared" ref="E35:E66" si="7">$N$2*(D35-D34)+(1-$N$2)*E34</f>
        <v>-80.651077878412252</v>
      </c>
      <c r="F35" s="42">
        <f t="shared" ref="F35:F66" si="8">D34+E34</f>
        <v>3989.8533950827496</v>
      </c>
      <c r="G35" s="41">
        <f t="shared" ref="G35:G66" si="9">C35-F35</f>
        <v>-564.58835557346174</v>
      </c>
      <c r="H35" s="41">
        <f t="shared" ref="H35:H66" si="10">ABS(G35)</f>
        <v>564.58835557346174</v>
      </c>
      <c r="I35" s="39">
        <f>SUM(H$3:H35)/COUNT(H$3:H35)</f>
        <v>277.40705180471571</v>
      </c>
      <c r="J35" s="39">
        <f>SUM(G$3:G35)/I35</f>
        <v>-5.4714855635561284</v>
      </c>
      <c r="K35" s="40">
        <f t="shared" ref="K35:K66" si="11">(G35-$G$78)^2</f>
        <v>359728.5710878988</v>
      </c>
      <c r="L35" s="39">
        <f>SQRT(SUM(K$3:K35)/(COUNT(K$3:K35)-1))</f>
        <v>356.61484762078811</v>
      </c>
    </row>
    <row r="36" spans="1:12" x14ac:dyDescent="0.2">
      <c r="A36" s="2">
        <f>[2]ArdiData!A36</f>
        <v>34</v>
      </c>
      <c r="B36" s="43">
        <f ca="1">'0.ArdiData'!C36</f>
        <v>3462</v>
      </c>
      <c r="C36" s="42">
        <v>3382.8091450329844</v>
      </c>
      <c r="D36" s="3">
        <f t="shared" si="6"/>
        <v>3713.5895458783134</v>
      </c>
      <c r="E36" s="42">
        <f t="shared" si="7"/>
        <v>-130.2681380052114</v>
      </c>
      <c r="F36" s="42">
        <f t="shared" si="8"/>
        <v>3796.2846460896453</v>
      </c>
      <c r="G36" s="41">
        <f t="shared" si="9"/>
        <v>-413.47550105666096</v>
      </c>
      <c r="H36" s="41">
        <f t="shared" si="10"/>
        <v>413.47550105666096</v>
      </c>
      <c r="I36" s="39">
        <f>SUM(H$3:H36)/COUNT(H$3:H36)</f>
        <v>281.40906501800822</v>
      </c>
      <c r="J36" s="39">
        <f>SUM(G$3:G36)/I36</f>
        <v>-6.8629778508067609</v>
      </c>
      <c r="K36" s="40">
        <f t="shared" si="11"/>
        <v>201296.61402111541</v>
      </c>
      <c r="L36" s="39">
        <f>SQRT(SUM(K$3:K36)/(COUNT(K$3:K36)-1))</f>
        <v>359.75030900722714</v>
      </c>
    </row>
    <row r="37" spans="1:12" x14ac:dyDescent="0.2">
      <c r="A37" s="2">
        <f>[2]ArdiData!A37</f>
        <v>35</v>
      </c>
      <c r="B37" s="43">
        <f ca="1">'0.ArdiData'!C37</f>
        <v>3677</v>
      </c>
      <c r="C37" s="42">
        <v>3846.9349712677931</v>
      </c>
      <c r="D37" s="3">
        <f t="shared" si="6"/>
        <v>3636.0441205520401</v>
      </c>
      <c r="E37" s="42">
        <f t="shared" si="7"/>
        <v>-98.63451039784853</v>
      </c>
      <c r="F37" s="42">
        <f t="shared" si="8"/>
        <v>3583.3214078731021</v>
      </c>
      <c r="G37" s="41">
        <f t="shared" si="9"/>
        <v>263.61356339469103</v>
      </c>
      <c r="H37" s="41">
        <f t="shared" si="10"/>
        <v>263.61356339469103</v>
      </c>
      <c r="I37" s="39">
        <f>SUM(H$3:H37)/COUNT(H$3:H37)</f>
        <v>280.90062211448486</v>
      </c>
      <c r="J37" s="39">
        <f>SUM(G$3:G37)/I37</f>
        <v>-5.936941699475657</v>
      </c>
      <c r="K37" s="40">
        <f t="shared" si="11"/>
        <v>52179.420799527696</v>
      </c>
      <c r="L37" s="39">
        <f>SQRT(SUM(K$3:K37)/(COUNT(K$3:K37)-1))</f>
        <v>356.57887586371226</v>
      </c>
    </row>
    <row r="38" spans="1:12" x14ac:dyDescent="0.2">
      <c r="A38" s="2">
        <f>[2]ArdiData!A38</f>
        <v>36</v>
      </c>
      <c r="B38" s="43">
        <f ca="1">'0.ArdiData'!C38</f>
        <v>4052</v>
      </c>
      <c r="C38" s="42">
        <v>4335.4663999878339</v>
      </c>
      <c r="D38" s="3">
        <f t="shared" si="6"/>
        <v>3697.0209681209203</v>
      </c>
      <c r="E38" s="42">
        <f t="shared" si="7"/>
        <v>-2.8676956178112931</v>
      </c>
      <c r="F38" s="42">
        <f t="shared" si="8"/>
        <v>3537.4096101541918</v>
      </c>
      <c r="G38" s="41">
        <f t="shared" si="9"/>
        <v>798.05678983364214</v>
      </c>
      <c r="H38" s="41">
        <f t="shared" si="10"/>
        <v>798.05678983364214</v>
      </c>
      <c r="I38" s="39">
        <f>SUM(H$3:H38)/COUNT(H$3:H38)</f>
        <v>295.26607121779477</v>
      </c>
      <c r="J38" s="39">
        <f>SUM(G$3:G38)/I38</f>
        <v>-2.9452548456372956</v>
      </c>
      <c r="K38" s="40">
        <f t="shared" si="11"/>
        <v>581972.74062041682</v>
      </c>
      <c r="L38" s="39">
        <f>SQRT(SUM(K$3:K38)/(COUNT(K$3:K38)-1))</f>
        <v>374.35741366606908</v>
      </c>
    </row>
    <row r="39" spans="1:12" x14ac:dyDescent="0.2">
      <c r="A39" s="2">
        <f>[2]ArdiData!A39</f>
        <v>37</v>
      </c>
      <c r="B39" s="43">
        <f ca="1">'0.ArdiData'!C39</f>
        <v>3819</v>
      </c>
      <c r="C39" s="42">
        <v>3778.0879495342488</v>
      </c>
      <c r="D39" s="3">
        <f t="shared" si="6"/>
        <v>3710.940207909337</v>
      </c>
      <c r="E39" s="42">
        <f t="shared" si="7"/>
        <v>7.2044656259254971</v>
      </c>
      <c r="F39" s="42">
        <f t="shared" si="8"/>
        <v>3694.1532725031088</v>
      </c>
      <c r="G39" s="41">
        <f t="shared" si="9"/>
        <v>83.934677031139927</v>
      </c>
      <c r="H39" s="41">
        <f t="shared" si="10"/>
        <v>83.934677031139927</v>
      </c>
      <c r="I39" s="39">
        <f>SUM(H$3:H39)/COUNT(H$3:H39)</f>
        <v>289.55441191545276</v>
      </c>
      <c r="J39" s="39">
        <f>SUM(G$3:G39)/I39</f>
        <v>-2.7134766995184791</v>
      </c>
      <c r="K39" s="40">
        <f t="shared" si="11"/>
        <v>2376.4909370970831</v>
      </c>
      <c r="L39" s="39">
        <f>SQRT(SUM(K$3:K39)/(COUNT(K$3:K39)-1))</f>
        <v>369.21079690233609</v>
      </c>
    </row>
    <row r="40" spans="1:12" x14ac:dyDescent="0.2">
      <c r="A40" s="2">
        <f>[2]ArdiData!A40</f>
        <v>38</v>
      </c>
      <c r="B40" s="43">
        <f ca="1">'0.ArdiData'!C40</f>
        <v>3882</v>
      </c>
      <c r="C40" s="42">
        <v>4091.3217573787838</v>
      </c>
      <c r="D40" s="3">
        <f t="shared" si="6"/>
        <v>3792.780090303967</v>
      </c>
      <c r="E40" s="42">
        <f t="shared" si="7"/>
        <v>51.985715687148179</v>
      </c>
      <c r="F40" s="42">
        <f t="shared" si="8"/>
        <v>3718.1446735352624</v>
      </c>
      <c r="G40" s="41">
        <f t="shared" si="9"/>
        <v>373.17708384352136</v>
      </c>
      <c r="H40" s="41">
        <f t="shared" si="10"/>
        <v>373.17708384352136</v>
      </c>
      <c r="I40" s="39">
        <f>SUM(H$3:H40)/COUNT(H$3:H40)</f>
        <v>291.75500854513876</v>
      </c>
      <c r="J40" s="39">
        <f>SUM(G$3:G40)/I40</f>
        <v>-1.413933108428582</v>
      </c>
      <c r="K40" s="40">
        <f t="shared" si="11"/>
        <v>114238.37090131622</v>
      </c>
      <c r="L40" s="39">
        <f>SQRT(SUM(K$3:K40)/(COUNT(K$3:K40)-1))</f>
        <v>368.40182317074635</v>
      </c>
    </row>
    <row r="41" spans="1:12" x14ac:dyDescent="0.2">
      <c r="A41" s="2">
        <f>[2]ArdiData!A41</f>
        <v>39</v>
      </c>
      <c r="B41" s="43">
        <f ca="1">'0.ArdiData'!C41</f>
        <v>3980</v>
      </c>
      <c r="C41" s="42">
        <v>5031.5420497583082</v>
      </c>
      <c r="D41" s="3">
        <f t="shared" si="6"/>
        <v>4082.1210547445539</v>
      </c>
      <c r="E41" s="42">
        <f t="shared" si="7"/>
        <v>194.39886493921145</v>
      </c>
      <c r="F41" s="42">
        <f t="shared" si="8"/>
        <v>3844.765805991115</v>
      </c>
      <c r="G41" s="41">
        <f t="shared" si="9"/>
        <v>1186.7762437671931</v>
      </c>
      <c r="H41" s="41">
        <f t="shared" si="10"/>
        <v>1186.7762437671931</v>
      </c>
      <c r="I41" s="39">
        <f>SUM(H$3:H41)/COUNT(H$3:H41)</f>
        <v>314.70427098672991</v>
      </c>
      <c r="J41" s="39">
        <f>SUM(G$3:G41)/I41</f>
        <v>2.4602595166813144</v>
      </c>
      <c r="K41" s="40">
        <f t="shared" si="11"/>
        <v>1326161.4460785284</v>
      </c>
      <c r="L41" s="39">
        <f>SQRT(SUM(K$3:K41)/(COUNT(K$3:K41)-1))</f>
        <v>408.71421841625329</v>
      </c>
    </row>
    <row r="42" spans="1:12" x14ac:dyDescent="0.2">
      <c r="A42" s="2">
        <f>[2]ArdiData!A42</f>
        <v>40</v>
      </c>
      <c r="B42" s="43">
        <f ca="1">'0.ArdiData'!C42</f>
        <v>4190</v>
      </c>
      <c r="C42" s="42">
        <v>4204.3946084920954</v>
      </c>
      <c r="D42" s="3">
        <f t="shared" si="6"/>
        <v>4262.0948574454324</v>
      </c>
      <c r="E42" s="42">
        <f t="shared" si="7"/>
        <v>185.74382759621164</v>
      </c>
      <c r="F42" s="42">
        <f t="shared" si="8"/>
        <v>4276.5199196837657</v>
      </c>
      <c r="G42" s="41">
        <f t="shared" si="9"/>
        <v>-72.125311191670335</v>
      </c>
      <c r="H42" s="41">
        <f t="shared" si="10"/>
        <v>72.125311191670335</v>
      </c>
      <c r="I42" s="39">
        <f>SUM(H$3:H42)/COUNT(H$3:H42)</f>
        <v>308.63979699185342</v>
      </c>
      <c r="J42" s="39">
        <f>SUM(G$3:G42)/I42</f>
        <v>2.2749135830406861</v>
      </c>
      <c r="K42" s="40">
        <f t="shared" si="11"/>
        <v>11515.591100550831</v>
      </c>
      <c r="L42" s="39">
        <f>SQRT(SUM(K$3:K42)/(COUNT(K$3:K42)-1))</f>
        <v>403.80604191050412</v>
      </c>
    </row>
    <row r="43" spans="1:12" x14ac:dyDescent="0.2">
      <c r="A43" s="2">
        <f>[2]ArdiData!A43</f>
        <v>41</v>
      </c>
      <c r="B43" s="43">
        <f ca="1">'0.ArdiData'!C43</f>
        <v>4055</v>
      </c>
      <c r="C43" s="42">
        <v>5586.0237690188087</v>
      </c>
      <c r="D43" s="3">
        <f t="shared" si="6"/>
        <v>4675.4757018370765</v>
      </c>
      <c r="E43" s="42">
        <f t="shared" si="7"/>
        <v>322.32603767347109</v>
      </c>
      <c r="F43" s="42">
        <f t="shared" si="8"/>
        <v>4447.8386850416437</v>
      </c>
      <c r="G43" s="41">
        <f t="shared" si="9"/>
        <v>1138.185083977165</v>
      </c>
      <c r="H43" s="41">
        <f t="shared" si="10"/>
        <v>1138.185083977165</v>
      </c>
      <c r="I43" s="39">
        <f>SUM(H$3:H43)/COUNT(H$3:H43)</f>
        <v>328.87260886954397</v>
      </c>
      <c r="J43" s="39">
        <f>SUM(G$3:G43)/I43</f>
        <v>5.5958261673013379</v>
      </c>
      <c r="K43" s="40">
        <f t="shared" si="11"/>
        <v>1216608.2785542971</v>
      </c>
      <c r="L43" s="39">
        <f>SQRT(SUM(K$3:K43)/(COUNT(K$3:K43)-1))</f>
        <v>435.19885507684825</v>
      </c>
    </row>
    <row r="44" spans="1:12" x14ac:dyDescent="0.2">
      <c r="A44" s="2">
        <f>[2]ArdiData!A44</f>
        <v>42</v>
      </c>
      <c r="B44" s="43">
        <f ca="1">'0.ArdiData'!C44</f>
        <v>4559</v>
      </c>
      <c r="C44" s="42">
        <v>5777.5611763875086</v>
      </c>
      <c r="D44" s="3">
        <f t="shared" si="6"/>
        <v>5153.7536268859394</v>
      </c>
      <c r="E44" s="42">
        <f t="shared" si="7"/>
        <v>415.89717009870617</v>
      </c>
      <c r="F44" s="42">
        <f t="shared" si="8"/>
        <v>4997.8017395105471</v>
      </c>
      <c r="G44" s="41">
        <f t="shared" si="9"/>
        <v>779.75943687696144</v>
      </c>
      <c r="H44" s="41">
        <f t="shared" si="10"/>
        <v>779.75943687696144</v>
      </c>
      <c r="I44" s="39">
        <f>SUM(H$3:H44)/COUNT(H$3:H44)</f>
        <v>339.60800953638727</v>
      </c>
      <c r="J44" s="39">
        <f>SUM(G$3:G44)/I44</f>
        <v>7.7149929145504617</v>
      </c>
      <c r="K44" s="40">
        <f t="shared" si="11"/>
        <v>554390.47998805519</v>
      </c>
      <c r="L44" s="39">
        <f>SQRT(SUM(K$3:K44)/(COUNT(K$3:K44)-1))</f>
        <v>445.30921617417647</v>
      </c>
    </row>
    <row r="45" spans="1:12" x14ac:dyDescent="0.2">
      <c r="A45" s="2">
        <f>[2]ArdiData!A45</f>
        <v>43</v>
      </c>
      <c r="B45" s="43">
        <f ca="1">'0.ArdiData'!C45</f>
        <v>4500</v>
      </c>
      <c r="C45" s="42">
        <v>5672.6454679130029</v>
      </c>
      <c r="D45" s="3">
        <f t="shared" si="6"/>
        <v>5590.2497311703173</v>
      </c>
      <c r="E45" s="42">
        <f t="shared" si="7"/>
        <v>428.25653061010917</v>
      </c>
      <c r="F45" s="42">
        <f t="shared" si="8"/>
        <v>5569.6507969846452</v>
      </c>
      <c r="G45" s="41">
        <f t="shared" si="9"/>
        <v>102.99467092835766</v>
      </c>
      <c r="H45" s="41">
        <f t="shared" si="10"/>
        <v>102.99467092835766</v>
      </c>
      <c r="I45" s="39">
        <f>SUM(H$3:H45)/COUNT(H$3:H45)</f>
        <v>334.10537375480516</v>
      </c>
      <c r="J45" s="39">
        <f>SUM(G$3:G45)/I45</f>
        <v>8.1503270289348571</v>
      </c>
      <c r="K45" s="40">
        <f t="shared" si="11"/>
        <v>4598.0957299760239</v>
      </c>
      <c r="L45" s="39">
        <f>SQRT(SUM(K$3:K45)/(COUNT(K$3:K45)-1))</f>
        <v>440.10037583774471</v>
      </c>
    </row>
    <row r="46" spans="1:12" x14ac:dyDescent="0.2">
      <c r="A46" s="2">
        <f>[2]ArdiData!A46</f>
        <v>44</v>
      </c>
      <c r="B46" s="43">
        <f ca="1">'0.ArdiData'!C46</f>
        <v>4523</v>
      </c>
      <c r="C46" s="42">
        <v>4442.4749424361789</v>
      </c>
      <c r="D46" s="3">
        <f t="shared" si="6"/>
        <v>5703.2999979115775</v>
      </c>
      <c r="E46" s="42">
        <f t="shared" si="7"/>
        <v>239.1327722887998</v>
      </c>
      <c r="F46" s="42">
        <f t="shared" si="8"/>
        <v>6018.5062617804269</v>
      </c>
      <c r="G46" s="41">
        <f t="shared" si="9"/>
        <v>-1576.031319344248</v>
      </c>
      <c r="H46" s="41">
        <f t="shared" si="10"/>
        <v>1576.031319344248</v>
      </c>
      <c r="I46" s="39">
        <f>SUM(H$3:H46)/COUNT(H$3:H46)</f>
        <v>362.33096342729255</v>
      </c>
      <c r="J46" s="39">
        <f>SUM(G$3:G46)/I46</f>
        <v>3.1657154774521339</v>
      </c>
      <c r="K46" s="40">
        <f t="shared" si="11"/>
        <v>2596019.3521900512</v>
      </c>
      <c r="L46" s="39">
        <f>SQRT(SUM(K$3:K46)/(COUNT(K$3:K46)-1))</f>
        <v>499.55630700434108</v>
      </c>
    </row>
    <row r="47" spans="1:12" x14ac:dyDescent="0.2">
      <c r="A47" s="2">
        <f>[2]ArdiData!A47</f>
        <v>45</v>
      </c>
      <c r="B47" s="43">
        <f ca="1">'0.ArdiData'!C47</f>
        <v>4600</v>
      </c>
      <c r="C47" s="42">
        <v>6116.4376324786244</v>
      </c>
      <c r="D47" s="3">
        <f t="shared" si="6"/>
        <v>5977.2337426560271</v>
      </c>
      <c r="E47" s="42">
        <f t="shared" si="7"/>
        <v>260.01335576218963</v>
      </c>
      <c r="F47" s="42">
        <f t="shared" si="8"/>
        <v>5942.4327702003775</v>
      </c>
      <c r="G47" s="41">
        <f t="shared" si="9"/>
        <v>174.00486227824695</v>
      </c>
      <c r="H47" s="41">
        <f t="shared" si="10"/>
        <v>174.00486227824695</v>
      </c>
      <c r="I47" s="39">
        <f>SUM(H$3:H47)/COUNT(H$3:H47)</f>
        <v>358.14593895731372</v>
      </c>
      <c r="J47" s="39">
        <f>SUM(G$3:G47)/I47</f>
        <v>3.6885566956480855</v>
      </c>
      <c r="K47" s="40">
        <f t="shared" si="11"/>
        <v>19270.84004898545</v>
      </c>
      <c r="L47" s="39">
        <f>SQRT(SUM(K$3:K47)/(COUNT(K$3:K47)-1))</f>
        <v>494.29013623682994</v>
      </c>
    </row>
    <row r="48" spans="1:12" x14ac:dyDescent="0.2">
      <c r="A48" s="2">
        <f>[2]ArdiData!A48</f>
        <v>46</v>
      </c>
      <c r="B48" s="43">
        <f ca="1">'0.ArdiData'!C48</f>
        <v>4617</v>
      </c>
      <c r="C48" s="42">
        <v>4831.7623955679137</v>
      </c>
      <c r="D48" s="3">
        <f t="shared" si="6"/>
        <v>5956.1501578481566</v>
      </c>
      <c r="E48" s="42">
        <f t="shared" si="7"/>
        <v>91.355191420153574</v>
      </c>
      <c r="F48" s="42">
        <f t="shared" si="8"/>
        <v>6237.2470984182164</v>
      </c>
      <c r="G48" s="41">
        <f t="shared" si="9"/>
        <v>-1405.4847028503027</v>
      </c>
      <c r="H48" s="41">
        <f t="shared" si="10"/>
        <v>1405.4847028503027</v>
      </c>
      <c r="I48" s="39">
        <f>SUM(H$3:H48)/COUNT(H$3:H48)</f>
        <v>380.91417295498735</v>
      </c>
      <c r="J48" s="39">
        <f>SUM(G$3:G48)/I48</f>
        <v>-0.22168537609156186</v>
      </c>
      <c r="K48" s="40">
        <f t="shared" si="11"/>
        <v>2075530.3769851164</v>
      </c>
      <c r="L48" s="39">
        <f>SQRT(SUM(K$3:K48)/(COUNT(K$3:K48)-1))</f>
        <v>533.86912427319294</v>
      </c>
    </row>
    <row r="49" spans="1:12" x14ac:dyDescent="0.2">
      <c r="A49" s="2">
        <f>[2]ArdiData!A49</f>
        <v>47</v>
      </c>
      <c r="B49" s="43">
        <f ca="1">'0.ArdiData'!C49</f>
        <v>4351</v>
      </c>
      <c r="C49" s="42">
        <v>6206.0910692130574</v>
      </c>
      <c r="D49" s="3">
        <f t="shared" si="6"/>
        <v>6079.2224932572599</v>
      </c>
      <c r="E49" s="42">
        <f t="shared" si="7"/>
        <v>110.38547781352341</v>
      </c>
      <c r="F49" s="42">
        <f t="shared" si="8"/>
        <v>6047.5053492683101</v>
      </c>
      <c r="G49" s="41">
        <f t="shared" si="9"/>
        <v>158.58571994474732</v>
      </c>
      <c r="H49" s="41">
        <f t="shared" si="10"/>
        <v>158.58571994474732</v>
      </c>
      <c r="I49" s="39">
        <f>SUM(H$3:H49)/COUNT(H$3:H49)</f>
        <v>376.18378033774826</v>
      </c>
      <c r="J49" s="39">
        <f>SUM(G$3:G49)/I49</f>
        <v>0.19709148062696222</v>
      </c>
      <c r="K49" s="40">
        <f t="shared" si="11"/>
        <v>15227.636243918369</v>
      </c>
      <c r="L49" s="39">
        <f>SQRT(SUM(K$3:K49)/(COUNT(K$3:K49)-1))</f>
        <v>528.34768113912344</v>
      </c>
    </row>
    <row r="50" spans="1:12" x14ac:dyDescent="0.2">
      <c r="A50" s="2">
        <f>[2]ArdiData!A50</f>
        <v>48</v>
      </c>
      <c r="B50" s="43">
        <f ca="1">'0.ArdiData'!C50</f>
        <v>4444</v>
      </c>
      <c r="C50" s="42">
        <v>5086.0787376555791</v>
      </c>
      <c r="D50" s="3">
        <f t="shared" si="6"/>
        <v>5968.9021243877432</v>
      </c>
      <c r="E50" s="42">
        <f t="shared" si="7"/>
        <v>-22.03803019630061</v>
      </c>
      <c r="F50" s="42">
        <f t="shared" si="8"/>
        <v>6189.6079710707836</v>
      </c>
      <c r="G50" s="41">
        <f t="shared" si="9"/>
        <v>-1103.5292334152045</v>
      </c>
      <c r="H50" s="41">
        <f t="shared" si="10"/>
        <v>1103.5292334152045</v>
      </c>
      <c r="I50" s="39">
        <f>SUM(H$3:H50)/COUNT(H$3:H50)</f>
        <v>391.33681061019524</v>
      </c>
      <c r="J50" s="39">
        <f>SUM(G$3:G50)/I50</f>
        <v>-2.630436461000206</v>
      </c>
      <c r="K50" s="40">
        <f t="shared" si="11"/>
        <v>1296671.0414401644</v>
      </c>
      <c r="L50" s="39">
        <f>SQRT(SUM(K$3:K50)/(COUNT(K$3:K50)-1))</f>
        <v>548.45294142540206</v>
      </c>
    </row>
    <row r="51" spans="1:12" x14ac:dyDescent="0.2">
      <c r="A51" s="2">
        <f>[2]ArdiData!A51</f>
        <v>49</v>
      </c>
      <c r="B51" s="43">
        <f ca="1">'0.ArdiData'!C51</f>
        <v>4792</v>
      </c>
      <c r="C51" s="42">
        <v>5256.5559094460787</v>
      </c>
      <c r="D51" s="3">
        <f t="shared" si="6"/>
        <v>5808.8024572423701</v>
      </c>
      <c r="E51" s="42">
        <f t="shared" si="7"/>
        <v>-104.87501236574413</v>
      </c>
      <c r="F51" s="42">
        <f t="shared" si="8"/>
        <v>5946.8640941914427</v>
      </c>
      <c r="G51" s="41">
        <f t="shared" si="9"/>
        <v>-690.30818474536409</v>
      </c>
      <c r="H51" s="41">
        <f t="shared" si="10"/>
        <v>690.30818474536409</v>
      </c>
      <c r="I51" s="39">
        <f>SUM(H$3:H51)/COUNT(H$3:H51)</f>
        <v>397.43826722519873</v>
      </c>
      <c r="J51" s="39">
        <f>SUM(G$3:G51)/I51</f>
        <v>-4.3269482123912608</v>
      </c>
      <c r="K51" s="40">
        <f t="shared" si="11"/>
        <v>526340.95748953021</v>
      </c>
      <c r="L51" s="39">
        <f>SQRT(SUM(K$3:K51)/(COUNT(K$3:K51)-1))</f>
        <v>552.71998860415636</v>
      </c>
    </row>
    <row r="52" spans="1:12" x14ac:dyDescent="0.2">
      <c r="A52" s="2">
        <f>[2]ArdiData!A52</f>
        <v>50</v>
      </c>
      <c r="B52" s="43">
        <f ca="1">'0.ArdiData'!C52</f>
        <v>4792</v>
      </c>
      <c r="C52" s="42">
        <v>5988.37014518462</v>
      </c>
      <c r="D52" s="3">
        <f t="shared" si="6"/>
        <v>5760.8159849382255</v>
      </c>
      <c r="E52" s="42">
        <f t="shared" si="7"/>
        <v>-70.741888328784427</v>
      </c>
      <c r="F52" s="42">
        <f t="shared" si="8"/>
        <v>5703.9274448766264</v>
      </c>
      <c r="G52" s="41">
        <f t="shared" si="9"/>
        <v>284.44270030799362</v>
      </c>
      <c r="H52" s="41">
        <f t="shared" si="10"/>
        <v>284.44270030799362</v>
      </c>
      <c r="I52" s="39">
        <f>SUM(H$3:H52)/COUNT(H$3:H52)</f>
        <v>395.1783558868546</v>
      </c>
      <c r="J52" s="39">
        <f>SUM(G$3:G52)/I52</f>
        <v>-3.6319096889225739</v>
      </c>
      <c r="K52" s="40">
        <f t="shared" si="11"/>
        <v>62129.196265612925</v>
      </c>
      <c r="L52" s="39">
        <f>SQRT(SUM(K$3:K52)/(COUNT(K$3:K52)-1))</f>
        <v>548.20858005014838</v>
      </c>
    </row>
    <row r="53" spans="1:12" x14ac:dyDescent="0.2">
      <c r="A53" s="2">
        <f>[2]ArdiData!A53</f>
        <v>51</v>
      </c>
      <c r="B53" s="43">
        <f ca="1">'0.ArdiData'!C53</f>
        <v>4954</v>
      </c>
      <c r="C53" s="42">
        <v>6526.7676661512296</v>
      </c>
      <c r="D53" s="3">
        <f t="shared" si="6"/>
        <v>5857.4128105177988</v>
      </c>
      <c r="E53" s="42">
        <f t="shared" si="7"/>
        <v>29.661340016230206</v>
      </c>
      <c r="F53" s="42">
        <f t="shared" si="8"/>
        <v>5690.0740966094409</v>
      </c>
      <c r="G53" s="41">
        <f t="shared" si="9"/>
        <v>836.69356954178875</v>
      </c>
      <c r="H53" s="41">
        <f t="shared" si="10"/>
        <v>836.69356954178875</v>
      </c>
      <c r="I53" s="39">
        <f>SUM(H$3:H53)/COUNT(H$3:H53)</f>
        <v>403.83551693891218</v>
      </c>
      <c r="J53" s="39">
        <f>SUM(G$3:G53)/I53</f>
        <v>-1.4821839708237325</v>
      </c>
      <c r="K53" s="40">
        <f t="shared" si="11"/>
        <v>642415.32818475238</v>
      </c>
      <c r="L53" s="39">
        <f>SQRT(SUM(K$3:K53)/(COUNT(K$3:K53)-1))</f>
        <v>554.40986720970511</v>
      </c>
    </row>
    <row r="54" spans="1:12" x14ac:dyDescent="0.2">
      <c r="A54" s="2">
        <f>[2]ArdiData!A54</f>
        <v>52</v>
      </c>
      <c r="B54" s="43">
        <f ca="1">'0.ArdiData'!C54</f>
        <v>5294</v>
      </c>
      <c r="C54" s="42">
        <v>5794.3331193675949</v>
      </c>
      <c r="D54" s="3">
        <f t="shared" si="6"/>
        <v>5868.5259443007435</v>
      </c>
      <c r="E54" s="42">
        <f t="shared" si="7"/>
        <v>18.53241627625891</v>
      </c>
      <c r="F54" s="42">
        <f t="shared" si="8"/>
        <v>5887.0741505340293</v>
      </c>
      <c r="G54" s="41">
        <f t="shared" si="9"/>
        <v>-92.741031166434368</v>
      </c>
      <c r="H54" s="41">
        <f t="shared" si="10"/>
        <v>92.741031166434368</v>
      </c>
      <c r="I54" s="39">
        <f>SUM(H$3:H54)/COUNT(H$3:H54)</f>
        <v>397.85293067405684</v>
      </c>
      <c r="J54" s="39">
        <f>SUM(G$3:G54)/I54</f>
        <v>-1.7375756414597252</v>
      </c>
      <c r="K54" s="40">
        <f t="shared" si="11"/>
        <v>16365.174609239999</v>
      </c>
      <c r="L54" s="39">
        <f>SQRT(SUM(K$3:K54)/(COUNT(K$3:K54)-1))</f>
        <v>549.2397636659523</v>
      </c>
    </row>
    <row r="55" spans="1:12" x14ac:dyDescent="0.2">
      <c r="A55" s="2">
        <f>[2]ArdiData!A55</f>
        <v>53</v>
      </c>
      <c r="B55" s="43">
        <f ca="1">'0.ArdiData'!C55</f>
        <v>5016</v>
      </c>
      <c r="C55" s="42">
        <v>5545.614554778329</v>
      </c>
      <c r="D55" s="3">
        <f t="shared" si="6"/>
        <v>5818.7695994172682</v>
      </c>
      <c r="E55" s="42">
        <f t="shared" si="7"/>
        <v>-22.440840419581626</v>
      </c>
      <c r="F55" s="42">
        <f t="shared" si="8"/>
        <v>5887.0583605770025</v>
      </c>
      <c r="G55" s="41">
        <f t="shared" si="9"/>
        <v>-341.44380579867357</v>
      </c>
      <c r="H55" s="41">
        <f t="shared" si="10"/>
        <v>341.44380579867357</v>
      </c>
      <c r="I55" s="39">
        <f>SUM(H$3:H55)/COUNT(H$3:H55)</f>
        <v>396.78860756320057</v>
      </c>
      <c r="J55" s="39">
        <f>SUM(G$3:G55)/I55</f>
        <v>-2.602754583514054</v>
      </c>
      <c r="K55" s="40">
        <f t="shared" si="11"/>
        <v>141849.56695779925</v>
      </c>
      <c r="L55" s="39">
        <f>SQRT(SUM(K$3:K55)/(COUNT(K$3:K55)-1))</f>
        <v>546.43476957000348</v>
      </c>
    </row>
    <row r="56" spans="1:12" x14ac:dyDescent="0.2">
      <c r="A56" s="2">
        <f>[2]ArdiData!A56</f>
        <v>54</v>
      </c>
      <c r="B56" s="43">
        <f ca="1">'0.ArdiData'!C56</f>
        <v>4983</v>
      </c>
      <c r="C56" s="42">
        <v>6272.3581433243171</v>
      </c>
      <c r="D56" s="3">
        <f t="shared" si="6"/>
        <v>5891.5346358630131</v>
      </c>
      <c r="E56" s="42">
        <f t="shared" si="7"/>
        <v>34.682685699614325</v>
      </c>
      <c r="F56" s="42">
        <f t="shared" si="8"/>
        <v>5796.3287589976862</v>
      </c>
      <c r="G56" s="41">
        <f t="shared" si="9"/>
        <v>476.02938432663086</v>
      </c>
      <c r="H56" s="41">
        <f t="shared" si="10"/>
        <v>476.02938432663086</v>
      </c>
      <c r="I56" s="39">
        <f>SUM(H$3:H56)/COUNT(H$3:H56)</f>
        <v>398.25602935511591</v>
      </c>
      <c r="J56" s="39">
        <f>SUM(G$3:G56)/I56</f>
        <v>-1.3978796092456376</v>
      </c>
      <c r="K56" s="40">
        <f t="shared" si="11"/>
        <v>194343.40880504763</v>
      </c>
      <c r="L56" s="39">
        <f>SQRT(SUM(K$3:K56)/(COUNT(K$3:K56)-1))</f>
        <v>544.63200651078773</v>
      </c>
    </row>
    <row r="57" spans="1:12" x14ac:dyDescent="0.2">
      <c r="A57" s="2">
        <f>[2]ArdiData!A57</f>
        <v>55</v>
      </c>
      <c r="B57" s="43">
        <f ca="1">'0.ArdiData'!C57</f>
        <v>5312</v>
      </c>
      <c r="C57" s="42">
        <v>5129.4309137141636</v>
      </c>
      <c r="D57" s="3">
        <f t="shared" si="6"/>
        <v>5766.8600399929346</v>
      </c>
      <c r="E57" s="42">
        <f t="shared" si="7"/>
        <v>-60.93168324220138</v>
      </c>
      <c r="F57" s="42">
        <f t="shared" si="8"/>
        <v>5926.2173215626271</v>
      </c>
      <c r="G57" s="41">
        <f t="shared" si="9"/>
        <v>-796.78640784846357</v>
      </c>
      <c r="H57" s="41">
        <f t="shared" si="10"/>
        <v>796.78640784846357</v>
      </c>
      <c r="I57" s="39">
        <f>SUM(H$3:H57)/COUNT(H$3:H57)</f>
        <v>405.50203623681313</v>
      </c>
      <c r="J57" s="39">
        <f>SUM(G$3:G57)/I57</f>
        <v>-3.3378387026216267</v>
      </c>
      <c r="K57" s="40">
        <f t="shared" si="11"/>
        <v>692177.10738324083</v>
      </c>
      <c r="L57" s="39">
        <f>SQRT(SUM(K$3:K57)/(COUNT(K$3:K57)-1))</f>
        <v>551.31577126283844</v>
      </c>
    </row>
    <row r="58" spans="1:12" x14ac:dyDescent="0.2">
      <c r="A58" s="2">
        <f>[2]ArdiData!A58</f>
        <v>56</v>
      </c>
      <c r="B58" s="43">
        <f ca="1">'0.ArdiData'!C58</f>
        <v>5356</v>
      </c>
      <c r="C58" s="42">
        <v>5666.7623903768372</v>
      </c>
      <c r="D58" s="3">
        <f t="shared" si="6"/>
        <v>5698.0951634759549</v>
      </c>
      <c r="E58" s="42">
        <f t="shared" si="7"/>
        <v>-65.631599207068376</v>
      </c>
      <c r="F58" s="42">
        <f t="shared" si="8"/>
        <v>5705.9283567507337</v>
      </c>
      <c r="G58" s="41">
        <f t="shared" si="9"/>
        <v>-39.165966373896481</v>
      </c>
      <c r="H58" s="41">
        <f t="shared" si="10"/>
        <v>39.165966373896481</v>
      </c>
      <c r="I58" s="39">
        <f>SUM(H$3:H58)/COUNT(H$3:H58)</f>
        <v>398.96032070354676</v>
      </c>
      <c r="J58" s="39">
        <f>SUM(G$3:G58)/I58</f>
        <v>-3.4907390150005657</v>
      </c>
      <c r="K58" s="40">
        <f t="shared" si="11"/>
        <v>5528.1273196494303</v>
      </c>
      <c r="L58" s="39">
        <f>SQRT(SUM(K$3:K58)/(COUNT(K$3:K58)-1))</f>
        <v>546.37280692430852</v>
      </c>
    </row>
    <row r="59" spans="1:12" x14ac:dyDescent="0.2">
      <c r="A59" s="2">
        <f>[2]ArdiData!A59</f>
        <v>57</v>
      </c>
      <c r="B59" s="43">
        <f ca="1">'0.ArdiData'!C59</f>
        <v>5455</v>
      </c>
      <c r="C59" s="42">
        <v>6383.3602430207802</v>
      </c>
      <c r="D59" s="3">
        <f t="shared" si="6"/>
        <v>5782.6429000192647</v>
      </c>
      <c r="E59" s="42">
        <f t="shared" si="7"/>
        <v>24.476002243158554</v>
      </c>
      <c r="F59" s="42">
        <f t="shared" si="8"/>
        <v>5632.4635642688863</v>
      </c>
      <c r="G59" s="41">
        <f t="shared" si="9"/>
        <v>750.89667875189389</v>
      </c>
      <c r="H59" s="41">
        <f t="shared" si="10"/>
        <v>750.89667875189389</v>
      </c>
      <c r="I59" s="39">
        <f>SUM(H$3:H59)/COUNT(H$3:H59)</f>
        <v>405.13464277457041</v>
      </c>
      <c r="J59" s="39">
        <f>SUM(G$3:G59)/I59</f>
        <v>-1.5840898565719927</v>
      </c>
      <c r="K59" s="40">
        <f t="shared" si="11"/>
        <v>512242.61876532721</v>
      </c>
      <c r="L59" s="39">
        <f>SQRT(SUM(K$3:K59)/(COUNT(K$3:K59)-1))</f>
        <v>549.85421845272583</v>
      </c>
    </row>
    <row r="60" spans="1:12" x14ac:dyDescent="0.2">
      <c r="A60" s="2">
        <f>[2]ArdiData!A60</f>
        <v>58</v>
      </c>
      <c r="B60" s="43">
        <f ca="1">'0.ArdiData'!C60</f>
        <v>5668</v>
      </c>
      <c r="C60" s="42">
        <v>6421.0416971132518</v>
      </c>
      <c r="D60" s="3">
        <f t="shared" si="6"/>
        <v>5929.9034612325886</v>
      </c>
      <c r="E60" s="42">
        <f t="shared" si="7"/>
        <v>98.146737625257728</v>
      </c>
      <c r="F60" s="42">
        <f t="shared" si="8"/>
        <v>5807.118902262423</v>
      </c>
      <c r="G60" s="41">
        <f t="shared" si="9"/>
        <v>613.92279485082872</v>
      </c>
      <c r="H60" s="41">
        <f t="shared" si="10"/>
        <v>613.92279485082872</v>
      </c>
      <c r="I60" s="39">
        <f>SUM(H$3:H60)/COUNT(H$3:H60)</f>
        <v>408.73443850002315</v>
      </c>
      <c r="J60" s="39">
        <f>SUM(G$3:G60)/I60</f>
        <v>-6.8129525411361885E-2</v>
      </c>
      <c r="K60" s="40">
        <f t="shared" si="11"/>
        <v>334936.95944895776</v>
      </c>
      <c r="L60" s="39">
        <f>SQRT(SUM(K$3:K60)/(COUNT(K$3:K60)-1))</f>
        <v>550.3740037188652</v>
      </c>
    </row>
    <row r="61" spans="1:12" x14ac:dyDescent="0.2">
      <c r="A61" s="2">
        <f>[2]ArdiData!A61</f>
        <v>59</v>
      </c>
      <c r="B61" s="43">
        <f ca="1">'0.ArdiData'!C61</f>
        <v>5420</v>
      </c>
      <c r="C61" s="42">
        <v>6732.3029027761122</v>
      </c>
      <c r="D61" s="3">
        <f t="shared" si="6"/>
        <v>6168.9007396415</v>
      </c>
      <c r="E61" s="42">
        <f t="shared" si="7"/>
        <v>182.6570620954499</v>
      </c>
      <c r="F61" s="42">
        <f t="shared" si="8"/>
        <v>6028.0501988578462</v>
      </c>
      <c r="G61" s="41">
        <f t="shared" si="9"/>
        <v>704.25270391826598</v>
      </c>
      <c r="H61" s="41">
        <f t="shared" si="10"/>
        <v>704.25270391826598</v>
      </c>
      <c r="I61" s="39">
        <f>SUM(H$3:H61)/COUNT(H$3:H61)</f>
        <v>413.74322265965441</v>
      </c>
      <c r="J61" s="39">
        <f>SUM(G$3:G61)/I61</f>
        <v>1.6348444725108937</v>
      </c>
      <c r="K61" s="40">
        <f t="shared" si="11"/>
        <v>447651.04243269475</v>
      </c>
      <c r="L61" s="39">
        <f>SQRT(SUM(K$3:K61)/(COUNT(K$3:K61)-1))</f>
        <v>552.63645605743909</v>
      </c>
    </row>
    <row r="62" spans="1:12" x14ac:dyDescent="0.2">
      <c r="A62" s="2">
        <f>[2]ArdiData!A62</f>
        <v>60</v>
      </c>
      <c r="B62" s="43">
        <f ca="1">'0.ArdiData'!C62</f>
        <v>5566</v>
      </c>
      <c r="C62" s="42">
        <v>5383.813648815224</v>
      </c>
      <c r="D62" s="3">
        <f t="shared" si="6"/>
        <v>6158.0089711526052</v>
      </c>
      <c r="E62" s="42">
        <f t="shared" si="7"/>
        <v>66.527763744843114</v>
      </c>
      <c r="F62" s="42">
        <f t="shared" si="8"/>
        <v>6351.5578017369498</v>
      </c>
      <c r="G62" s="41">
        <f t="shared" si="9"/>
        <v>-967.7441529217258</v>
      </c>
      <c r="H62" s="41">
        <f t="shared" si="10"/>
        <v>967.7441529217258</v>
      </c>
      <c r="I62" s="39">
        <f>SUM(H$3:H62)/COUNT(H$3:H62)</f>
        <v>422.97657149735556</v>
      </c>
      <c r="J62" s="39">
        <f>SUM(G$3:G62)/I62</f>
        <v>-0.68878125161021431</v>
      </c>
      <c r="K62" s="40">
        <f t="shared" si="11"/>
        <v>1005867.7102186256</v>
      </c>
      <c r="L62" s="39">
        <f>SQRT(SUM(K$3:K62)/(COUNT(K$3:K62)-1))</f>
        <v>563.27548064890027</v>
      </c>
    </row>
    <row r="63" spans="1:12" x14ac:dyDescent="0.2">
      <c r="A63" s="2">
        <f>[2]ArdiData!A63</f>
        <v>61</v>
      </c>
      <c r="B63" s="43">
        <f ca="1">'0.ArdiData'!C63</f>
        <v>5568</v>
      </c>
      <c r="C63" s="42">
        <v>6306.029263075081</v>
      </c>
      <c r="D63" s="3">
        <f t="shared" si="6"/>
        <v>6240.8352405329751</v>
      </c>
      <c r="E63" s="42">
        <f t="shared" si="7"/>
        <v>76.306867126159204</v>
      </c>
      <c r="F63" s="42">
        <f t="shared" si="8"/>
        <v>6224.5367348974487</v>
      </c>
      <c r="G63" s="41">
        <f t="shared" si="9"/>
        <v>81.492528177632266</v>
      </c>
      <c r="H63" s="41">
        <f t="shared" si="10"/>
        <v>81.492528177632266</v>
      </c>
      <c r="I63" s="39">
        <f>SUM(H$3:H63)/COUNT(H$3:H63)</f>
        <v>417.37847242654038</v>
      </c>
      <c r="J63" s="39">
        <f>SUM(G$3:G63)/I63</f>
        <v>-0.50277102918154692</v>
      </c>
      <c r="K63" s="40">
        <f t="shared" si="11"/>
        <v>2144.3490998992256</v>
      </c>
      <c r="L63" s="39">
        <f>SQRT(SUM(K$3:K63)/(COUNT(K$3:K63)-1))</f>
        <v>558.59378663471591</v>
      </c>
    </row>
    <row r="64" spans="1:12" x14ac:dyDescent="0.2">
      <c r="A64" s="2">
        <f>[2]ArdiData!A64</f>
        <v>62</v>
      </c>
      <c r="B64" s="43">
        <f ca="1">'0.ArdiData'!C64</f>
        <v>5651</v>
      </c>
      <c r="C64" s="42">
        <v>6344.73822659077</v>
      </c>
      <c r="D64" s="3">
        <f t="shared" si="6"/>
        <v>6322.6613314454617</v>
      </c>
      <c r="E64" s="42">
        <f t="shared" si="7"/>
        <v>79.61840139795558</v>
      </c>
      <c r="F64" s="42">
        <f t="shared" si="8"/>
        <v>6317.1421076591341</v>
      </c>
      <c r="G64" s="41">
        <f t="shared" si="9"/>
        <v>27.596118931635829</v>
      </c>
      <c r="H64" s="41">
        <f t="shared" si="10"/>
        <v>27.596118931635829</v>
      </c>
      <c r="I64" s="39">
        <f>SUM(H$3:H64)/COUNT(H$3:H64)</f>
        <v>411.09166027339677</v>
      </c>
      <c r="J64" s="39">
        <f>SUM(G$3:G64)/I64</f>
        <v>-0.44333102035510163</v>
      </c>
      <c r="K64" s="40">
        <f t="shared" si="11"/>
        <v>57.597354328994768</v>
      </c>
      <c r="L64" s="39">
        <f>SQRT(SUM(K$3:K64)/(COUNT(K$3:K64)-1))</f>
        <v>553.99708091449918</v>
      </c>
    </row>
    <row r="65" spans="1:12" x14ac:dyDescent="0.2">
      <c r="A65" s="2">
        <f>[2]ArdiData!A65</f>
        <v>63</v>
      </c>
      <c r="B65" s="43">
        <f ca="1">'0.ArdiData'!C65</f>
        <v>5881</v>
      </c>
      <c r="C65" s="42">
        <v>6433.484918596806</v>
      </c>
      <c r="D65" s="3">
        <f t="shared" si="6"/>
        <v>6408.5207699940947</v>
      </c>
      <c r="E65" s="42">
        <f t="shared" si="7"/>
        <v>83.363023688362091</v>
      </c>
      <c r="F65" s="42">
        <f t="shared" si="8"/>
        <v>6402.2797328434172</v>
      </c>
      <c r="G65" s="41">
        <f t="shared" si="9"/>
        <v>31.205185753388832</v>
      </c>
      <c r="H65" s="41">
        <f t="shared" si="10"/>
        <v>31.205185753388832</v>
      </c>
      <c r="I65" s="39">
        <f>SUM(H$3:H65)/COUNT(H$3:H65)</f>
        <v>405.06171623339668</v>
      </c>
      <c r="J65" s="39">
        <f>SUM(G$3:G65)/I65</f>
        <v>-0.37289255785421366</v>
      </c>
      <c r="K65" s="40">
        <f t="shared" si="11"/>
        <v>15.842193134416243</v>
      </c>
      <c r="L65" s="39">
        <f>SQRT(SUM(K$3:K65)/(COUNT(K$3:K65)-1))</f>
        <v>549.51143325981809</v>
      </c>
    </row>
    <row r="66" spans="1:12" x14ac:dyDescent="0.2">
      <c r="A66" s="2">
        <f>[2]ArdiData!A66</f>
        <v>64</v>
      </c>
      <c r="B66" s="43">
        <f ca="1">'0.ArdiData'!C66</f>
        <v>5799</v>
      </c>
      <c r="C66" s="42">
        <v>7126.6521295344728</v>
      </c>
      <c r="D66" s="3">
        <f t="shared" si="6"/>
        <v>6618.8374608528602</v>
      </c>
      <c r="E66" s="42">
        <f t="shared" si="7"/>
        <v>159.53522399060412</v>
      </c>
      <c r="F66" s="42">
        <f t="shared" si="8"/>
        <v>6491.8837936824566</v>
      </c>
      <c r="G66" s="41">
        <f t="shared" si="9"/>
        <v>634.76833585201621</v>
      </c>
      <c r="H66" s="41">
        <f t="shared" si="10"/>
        <v>634.76833585201621</v>
      </c>
      <c r="I66" s="39">
        <f>SUM(H$3:H66)/COUNT(H$3:H66)</f>
        <v>408.65088216493757</v>
      </c>
      <c r="J66" s="39">
        <f>SUM(G$3:G66)/I66</f>
        <v>1.1837092675152703</v>
      </c>
      <c r="K66" s="40">
        <f t="shared" si="11"/>
        <v>359499.68375592289</v>
      </c>
      <c r="L66" s="39">
        <f>SQRT(SUM(K$3:K66)/(COUNT(K$3:K66)-1))</f>
        <v>550.34180189206938</v>
      </c>
    </row>
    <row r="67" spans="1:12" x14ac:dyDescent="0.2">
      <c r="A67" s="2">
        <f>[2]ArdiData!A67</f>
        <v>65</v>
      </c>
      <c r="B67" s="43">
        <f ca="1">'0.ArdiData'!C67</f>
        <v>6523</v>
      </c>
      <c r="C67" s="42">
        <v>7865.1338288516981</v>
      </c>
      <c r="D67" s="3">
        <f t="shared" ref="D67:D77" si="12">$N$1*C67+(1-$N$1)*F67</f>
        <v>6995.7249136451119</v>
      </c>
      <c r="E67" s="42">
        <f t="shared" ref="E67:E77" si="13">$N$2*(D67-D66)+(1-$N$2)*E66</f>
        <v>289.94656127159266</v>
      </c>
      <c r="F67" s="42">
        <f t="shared" ref="F67:F78" si="14">D66+E66</f>
        <v>6778.3726848434644</v>
      </c>
      <c r="G67" s="41">
        <f t="shared" ref="G67:G77" si="15">C67-F67</f>
        <v>1086.7611440082337</v>
      </c>
      <c r="H67" s="41">
        <f t="shared" ref="H67:H78" si="16">ABS(G67)</f>
        <v>1086.7611440082337</v>
      </c>
      <c r="I67" s="39">
        <f>SUM(H$3:H67)/COUNT(H$3:H67)</f>
        <v>419.0833477317575</v>
      </c>
      <c r="J67" s="39">
        <f>SUM(G$3:G67)/I67</f>
        <v>3.7474287368019708</v>
      </c>
      <c r="K67" s="40">
        <f t="shared" ref="K67:K77" si="17">(G67-$G$78)^2</f>
        <v>1105811.5222199268</v>
      </c>
      <c r="L67" s="39">
        <f>SQRT(SUM(K$3:K67)/(COUNT(K$3:K67)-1))</f>
        <v>561.62439841857861</v>
      </c>
    </row>
    <row r="68" spans="1:12" x14ac:dyDescent="0.2">
      <c r="A68" s="2">
        <f>[2]ArdiData!A68</f>
        <v>66</v>
      </c>
      <c r="B68" s="43">
        <f ca="1">'0.ArdiData'!C68</f>
        <v>6081</v>
      </c>
      <c r="C68" s="42">
        <v>7010.35704845092</v>
      </c>
      <c r="D68" s="3">
        <f t="shared" si="12"/>
        <v>7230.6085896235481</v>
      </c>
      <c r="E68" s="42">
        <f t="shared" si="13"/>
        <v>256.90883009569882</v>
      </c>
      <c r="F68" s="42">
        <f t="shared" si="14"/>
        <v>7285.6714749167049</v>
      </c>
      <c r="G68" s="41">
        <f t="shared" si="15"/>
        <v>-275.31442646578489</v>
      </c>
      <c r="H68" s="41">
        <f t="shared" si="16"/>
        <v>275.31442646578489</v>
      </c>
      <c r="I68" s="39">
        <f>SUM(H$3:H68)/COUNT(H$3:H68)</f>
        <v>416.90503074287915</v>
      </c>
      <c r="J68" s="39">
        <f>SUM(G$3:G68)/I68</f>
        <v>3.1066321066731284</v>
      </c>
      <c r="K68" s="40">
        <f t="shared" si="17"/>
        <v>96410.149075691224</v>
      </c>
      <c r="L68" s="39">
        <f>SQRT(SUM(K$3:K68)/(COUNT(K$3:K68)-1))</f>
        <v>558.61664166752325</v>
      </c>
    </row>
    <row r="69" spans="1:12" x14ac:dyDescent="0.2">
      <c r="A69" s="2">
        <f>[2]ArdiData!A69</f>
        <v>67</v>
      </c>
      <c r="B69" s="43">
        <f ca="1">'0.ArdiData'!C69</f>
        <v>6262</v>
      </c>
      <c r="C69" s="42">
        <v>9422.7261880039478</v>
      </c>
      <c r="D69" s="3">
        <f t="shared" si="12"/>
        <v>7874.5591733761876</v>
      </c>
      <c r="E69" s="42">
        <f t="shared" si="13"/>
        <v>489.13388228986321</v>
      </c>
      <c r="F69" s="42">
        <f t="shared" si="14"/>
        <v>7487.5174197192473</v>
      </c>
      <c r="G69" s="41">
        <f t="shared" si="15"/>
        <v>1935.2087682847005</v>
      </c>
      <c r="H69" s="41">
        <f t="shared" si="16"/>
        <v>1935.2087682847005</v>
      </c>
      <c r="I69" s="39">
        <f>SUM(H$3:H69)/COUNT(H$3:H69)</f>
        <v>439.56628055693619</v>
      </c>
      <c r="J69" s="39">
        <f>SUM(G$3:G69)/I69</f>
        <v>7.3490153023820293</v>
      </c>
      <c r="K69" s="40">
        <f t="shared" si="17"/>
        <v>3610088.7581698275</v>
      </c>
      <c r="L69" s="39">
        <f>SQRT(SUM(K$3:K69)/(COUNT(K$3:K69)-1))</f>
        <v>601.68330364956819</v>
      </c>
    </row>
    <row r="70" spans="1:12" x14ac:dyDescent="0.2">
      <c r="A70" s="2">
        <f>[2]ArdiData!A70</f>
        <v>68</v>
      </c>
      <c r="B70" s="43">
        <f ca="1">'0.ArdiData'!C70</f>
        <v>6070</v>
      </c>
      <c r="C70" s="42">
        <v>7040.5275765927445</v>
      </c>
      <c r="D70" s="3">
        <f t="shared" si="12"/>
        <v>8099.0599598513891</v>
      </c>
      <c r="E70" s="42">
        <f t="shared" si="13"/>
        <v>330.3540248010662</v>
      </c>
      <c r="F70" s="42">
        <f t="shared" si="14"/>
        <v>8363.69305566605</v>
      </c>
      <c r="G70" s="41">
        <f t="shared" si="15"/>
        <v>-1323.1654790733055</v>
      </c>
      <c r="H70" s="41">
        <f t="shared" si="16"/>
        <v>1323.1654790733055</v>
      </c>
      <c r="I70" s="39">
        <f>SUM(H$3:H70)/COUNT(H$3:H70)</f>
        <v>452.56038641747102</v>
      </c>
      <c r="J70" s="39">
        <f>SUM(G$3:G70)/I70</f>
        <v>4.2142748247334074</v>
      </c>
      <c r="K70" s="40">
        <f t="shared" si="17"/>
        <v>1845117.1406041181</v>
      </c>
      <c r="L70" s="39">
        <f>SQRT(SUM(K$3:K70)/(COUNT(K$3:K70)-1))</f>
        <v>619.80523904616064</v>
      </c>
    </row>
    <row r="71" spans="1:12" x14ac:dyDescent="0.2">
      <c r="A71" s="2">
        <f>[2]ArdiData!A71</f>
        <v>69</v>
      </c>
      <c r="B71" s="43">
        <f ca="1">'0.ArdiData'!C71</f>
        <v>6569</v>
      </c>
      <c r="C71" s="42">
        <v>9903.7758241325882</v>
      </c>
      <c r="D71" s="3">
        <f t="shared" si="12"/>
        <v>8724.2863525484827</v>
      </c>
      <c r="E71" s="42">
        <f t="shared" si="13"/>
        <v>507.27744553868263</v>
      </c>
      <c r="F71" s="42">
        <f t="shared" si="14"/>
        <v>8429.4139846524558</v>
      </c>
      <c r="G71" s="41">
        <f t="shared" si="15"/>
        <v>1474.3618394801324</v>
      </c>
      <c r="H71" s="41">
        <f t="shared" si="16"/>
        <v>1474.3618394801324</v>
      </c>
      <c r="I71" s="39">
        <f>SUM(H$3:H71)/COUNT(H$3:H71)</f>
        <v>467.3691031285241</v>
      </c>
      <c r="J71" s="39">
        <f>SUM(G$3:G71)/I71</f>
        <v>7.235342815763727</v>
      </c>
      <c r="K71" s="40">
        <f t="shared" si="17"/>
        <v>2071228.7922492027</v>
      </c>
      <c r="L71" s="39">
        <f>SQRT(SUM(K$3:K71)/(COUNT(K$3:K71)-1))</f>
        <v>639.50636516214115</v>
      </c>
    </row>
    <row r="72" spans="1:12" x14ac:dyDescent="0.2">
      <c r="A72" s="2">
        <f>[2]ArdiData!A72</f>
        <v>70</v>
      </c>
      <c r="B72" s="43">
        <f ca="1">'0.ArdiData'!C72</f>
        <v>6688</v>
      </c>
      <c r="C72" s="42">
        <v>7385.6932650971721</v>
      </c>
      <c r="D72" s="3">
        <f t="shared" si="12"/>
        <v>8862.3896914891666</v>
      </c>
      <c r="E72" s="42">
        <f t="shared" si="13"/>
        <v>285.77298157988338</v>
      </c>
      <c r="F72" s="42">
        <f t="shared" si="14"/>
        <v>9231.5637980871652</v>
      </c>
      <c r="G72" s="41">
        <f t="shared" si="15"/>
        <v>-1845.8705329899931</v>
      </c>
      <c r="H72" s="41">
        <f t="shared" si="16"/>
        <v>1845.8705329899931</v>
      </c>
      <c r="I72" s="39">
        <f>SUM(H$3:H72)/COUNT(H$3:H72)</f>
        <v>487.06198069797369</v>
      </c>
      <c r="J72" s="39">
        <f>SUM(G$3:G72)/I72</f>
        <v>3.1529973812371912</v>
      </c>
      <c r="K72" s="40">
        <f t="shared" si="17"/>
        <v>3538371.464477106</v>
      </c>
      <c r="L72" s="39">
        <f>SQRT(SUM(K$3:K72)/(COUNT(K$3:K72)-1))</f>
        <v>674.03416739305192</v>
      </c>
    </row>
    <row r="73" spans="1:12" x14ac:dyDescent="0.2">
      <c r="A73" s="2">
        <f>[2]ArdiData!A73</f>
        <v>71</v>
      </c>
      <c r="B73" s="43">
        <f ca="1">'0.ArdiData'!C73</f>
        <v>7199</v>
      </c>
      <c r="C73" s="42">
        <v>9011.9704290236768</v>
      </c>
      <c r="D73" s="3">
        <f t="shared" si="12"/>
        <v>9120.9242242599757</v>
      </c>
      <c r="E73" s="42">
        <f t="shared" si="13"/>
        <v>269.42991229443885</v>
      </c>
      <c r="F73" s="42">
        <f t="shared" si="14"/>
        <v>9148.1626730690496</v>
      </c>
      <c r="G73" s="41">
        <f t="shared" si="15"/>
        <v>-136.19224404537272</v>
      </c>
      <c r="H73" s="41">
        <f t="shared" si="16"/>
        <v>136.19224404537272</v>
      </c>
      <c r="I73" s="39">
        <f>SUM(H$3:H73)/COUNT(H$3:H73)</f>
        <v>482.1201534211765</v>
      </c>
      <c r="J73" s="39">
        <f>SUM(G$3:G73)/I73</f>
        <v>2.9028301257776583</v>
      </c>
      <c r="K73" s="40">
        <f t="shared" si="17"/>
        <v>29370.300654045848</v>
      </c>
      <c r="L73" s="39">
        <f>SQRT(SUM(K$3:K73)/(COUNT(K$3:K73)-1))</f>
        <v>669.51573499879032</v>
      </c>
    </row>
    <row r="74" spans="1:12" x14ac:dyDescent="0.2">
      <c r="A74" s="2">
        <f>[2]ArdiData!A74</f>
        <v>72</v>
      </c>
      <c r="B74" s="43">
        <f ca="1">'0.ArdiData'!C74</f>
        <v>8716</v>
      </c>
      <c r="C74" s="42">
        <v>10014.199326672129</v>
      </c>
      <c r="D74" s="3">
        <f t="shared" si="12"/>
        <v>9515.1231745779587</v>
      </c>
      <c r="E74" s="42">
        <f t="shared" si="13"/>
        <v>344.29133510856531</v>
      </c>
      <c r="F74" s="42">
        <f t="shared" si="14"/>
        <v>9390.3541365544152</v>
      </c>
      <c r="G74" s="41">
        <f t="shared" si="15"/>
        <v>623.84519011771408</v>
      </c>
      <c r="H74" s="41">
        <f t="shared" si="16"/>
        <v>623.84519011771408</v>
      </c>
      <c r="I74" s="39">
        <f>SUM(H$3:H74)/COUNT(H$3:H74)</f>
        <v>484.08855670862835</v>
      </c>
      <c r="J74" s="39">
        <f>SUM(G$3:G74)/I74</f>
        <v>4.179727175271994</v>
      </c>
      <c r="K74" s="40">
        <f t="shared" si="17"/>
        <v>346520.33553307143</v>
      </c>
      <c r="L74" s="39">
        <f>SQRT(SUM(K$3:K74)/(COUNT(K$3:K74)-1))</f>
        <v>668.44482842799141</v>
      </c>
    </row>
    <row r="75" spans="1:12" x14ac:dyDescent="0.2">
      <c r="A75" s="2">
        <f>[2]ArdiData!A75</f>
        <v>73</v>
      </c>
      <c r="B75" s="43">
        <f ca="1">'0.ArdiData'!C75</f>
        <v>7087</v>
      </c>
      <c r="C75" s="42">
        <v>10910.3731121908</v>
      </c>
      <c r="D75" s="3">
        <f t="shared" si="12"/>
        <v>10069.606230187379</v>
      </c>
      <c r="E75" s="42">
        <f t="shared" si="13"/>
        <v>470.40636740907826</v>
      </c>
      <c r="F75" s="42">
        <f t="shared" si="14"/>
        <v>9859.4145096865232</v>
      </c>
      <c r="G75" s="41">
        <f t="shared" si="15"/>
        <v>1050.9586025042772</v>
      </c>
      <c r="H75" s="41">
        <f t="shared" si="16"/>
        <v>1050.9586025042772</v>
      </c>
      <c r="I75" s="39">
        <f>SUM(H$3:H75)/COUNT(H$3:H75)</f>
        <v>491.85389980171948</v>
      </c>
      <c r="J75" s="39">
        <f>SUM(G$3:G75)/I75</f>
        <v>6.2504672616337391</v>
      </c>
      <c r="K75" s="40">
        <f t="shared" si="17"/>
        <v>1031795.1765479931</v>
      </c>
      <c r="L75" s="39">
        <f>SQRT(SUM(K$3:K75)/(COUNT(K$3:K75)-1))</f>
        <v>674.49474784678841</v>
      </c>
    </row>
    <row r="76" spans="1:12" x14ac:dyDescent="0.2">
      <c r="A76" s="2">
        <f>[2]ArdiData!A76</f>
        <v>74</v>
      </c>
      <c r="B76" s="43">
        <f ca="1">'0.ArdiData'!C76</f>
        <v>7356</v>
      </c>
      <c r="C76" s="42">
        <v>8358.5918304447059</v>
      </c>
      <c r="D76" s="3">
        <f t="shared" si="12"/>
        <v>10103.728444166107</v>
      </c>
      <c r="E76" s="42">
        <f t="shared" si="13"/>
        <v>208.63587535086799</v>
      </c>
      <c r="F76" s="42">
        <f t="shared" si="14"/>
        <v>10540.012597596457</v>
      </c>
      <c r="G76" s="41">
        <f t="shared" si="15"/>
        <v>-2181.4207671517506</v>
      </c>
      <c r="H76" s="41">
        <f t="shared" si="16"/>
        <v>2181.4207671517506</v>
      </c>
      <c r="I76" s="39">
        <f>SUM(H$3:H76)/COUNT(H$3:H76)</f>
        <v>514.68588449563879</v>
      </c>
      <c r="J76" s="39">
        <f>SUM(G$3:G76)/I76</f>
        <v>1.734836641072375</v>
      </c>
      <c r="K76" s="40">
        <f t="shared" si="17"/>
        <v>4913342.9490877027</v>
      </c>
      <c r="L76" s="39">
        <f>SQRT(SUM(K$3:K76)/(COUNT(K$3:K76)-1))</f>
        <v>718.34332635563669</v>
      </c>
    </row>
    <row r="77" spans="1:12" x14ac:dyDescent="0.2">
      <c r="A77" s="2">
        <f>[2]ArdiData!A77</f>
        <v>75</v>
      </c>
      <c r="B77" s="43">
        <f ca="1">'0.ArdiData'!C77</f>
        <v>7623</v>
      </c>
      <c r="C77" s="42">
        <v>12058.374214587961</v>
      </c>
      <c r="D77" s="3">
        <f t="shared" si="12"/>
        <v>10661.566298531172</v>
      </c>
      <c r="E77" s="42">
        <f t="shared" si="13"/>
        <v>418.15706275938624</v>
      </c>
      <c r="F77" s="42">
        <f t="shared" si="14"/>
        <v>10312.364319516975</v>
      </c>
      <c r="G77" s="41">
        <f t="shared" si="15"/>
        <v>1746.0098950709853</v>
      </c>
      <c r="H77" s="41">
        <f t="shared" si="16"/>
        <v>1746.0098950709853</v>
      </c>
      <c r="I77" s="39">
        <f>SUM(H$3:H77)/COUNT(H$3:H77)</f>
        <v>531.10353796997686</v>
      </c>
      <c r="J77" s="39">
        <f>SUM(G$3:G77)/I77</f>
        <v>4.9687219863444785</v>
      </c>
      <c r="K77" s="40">
        <f t="shared" si="17"/>
        <v>2926920.4152448913</v>
      </c>
      <c r="L77" s="39">
        <f>SQRT(SUM(K$3:K77)/(COUNT(K$3:K77)-1))</f>
        <v>740.67328059241811</v>
      </c>
    </row>
    <row r="78" spans="1:12" x14ac:dyDescent="0.2">
      <c r="A78" s="2">
        <f>[2]ArdiData!A78</f>
        <v>0</v>
      </c>
      <c r="B78" s="38"/>
      <c r="C78" s="38"/>
      <c r="E78" s="42"/>
      <c r="F78" s="42">
        <f t="shared" si="14"/>
        <v>11079.723361290558</v>
      </c>
      <c r="G78" s="38">
        <f>AVERAGE(G3:G77)</f>
        <v>35.185411015156845</v>
      </c>
      <c r="H78" s="38">
        <f t="shared" si="16"/>
        <v>35.185411015156845</v>
      </c>
      <c r="I78" s="39">
        <f>1.25*I77</f>
        <v>663.8794224624711</v>
      </c>
      <c r="J78" s="39"/>
      <c r="K78" s="38"/>
      <c r="L78" s="38"/>
    </row>
  </sheetData>
  <conditionalFormatting sqref="M6:M15">
    <cfRule type="expression" dxfId="5" priority="2">
      <formula>$N5=$N$16</formula>
    </cfRule>
  </conditionalFormatting>
  <conditionalFormatting sqref="N6:W15">
    <cfRule type="cellIs" dxfId="4" priority="1" operator="equal">
      <formula>$X$16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8" zoomScaleNormal="98" workbookViewId="0">
      <selection activeCell="N48" sqref="N48"/>
    </sheetView>
  </sheetViews>
  <sheetFormatPr defaultColWidth="9.140625" defaultRowHeight="12.75" x14ac:dyDescent="0.2"/>
  <cols>
    <col min="1" max="1" width="4.42578125" style="3" bestFit="1" customWidth="1"/>
    <col min="2" max="2" width="6.28515625" style="3" bestFit="1" customWidth="1"/>
    <col min="3" max="3" width="6.7109375" style="3" bestFit="1" customWidth="1"/>
    <col min="4" max="6" width="6.28515625" style="3" customWidth="1"/>
    <col min="7" max="7" width="8.42578125" style="3" bestFit="1" customWidth="1"/>
    <col min="8" max="8" width="6.28515625" style="3" customWidth="1"/>
    <col min="9" max="10" width="8" style="3" bestFit="1" customWidth="1"/>
    <col min="11" max="11" width="7.140625" style="3" bestFit="1" customWidth="1"/>
    <col min="12" max="12" width="6.28515625" style="3" bestFit="1" customWidth="1"/>
    <col min="13" max="13" width="8" style="3" customWidth="1"/>
    <col min="14" max="14" width="9.140625" style="3"/>
    <col min="15" max="15" width="6.42578125" style="3" customWidth="1"/>
    <col min="16" max="16" width="7.28515625" style="3" customWidth="1"/>
    <col min="17" max="24" width="4" style="3" customWidth="1"/>
    <col min="25" max="25" width="4.140625" style="3" customWidth="1"/>
    <col min="26" max="16384" width="9.140625" style="3"/>
  </cols>
  <sheetData>
    <row r="1" spans="1:20" x14ac:dyDescent="0.2">
      <c r="A1" s="2" t="str">
        <f>[2]ArdiData!A2</f>
        <v>Per.</v>
      </c>
      <c r="B1" s="54" t="s">
        <v>0</v>
      </c>
      <c r="C1" s="54" t="s">
        <v>77</v>
      </c>
      <c r="D1" s="54" t="s">
        <v>3</v>
      </c>
      <c r="E1" s="54" t="s">
        <v>2</v>
      </c>
      <c r="F1" s="54" t="s">
        <v>1</v>
      </c>
      <c r="G1" s="48" t="s">
        <v>76</v>
      </c>
      <c r="H1" s="54" t="s">
        <v>71</v>
      </c>
      <c r="I1" s="54" t="s">
        <v>75</v>
      </c>
      <c r="J1" s="46" t="s">
        <v>3</v>
      </c>
      <c r="K1" s="46" t="s">
        <v>2</v>
      </c>
      <c r="L1" s="47" t="s">
        <v>1</v>
      </c>
      <c r="M1" s="47" t="s">
        <v>27</v>
      </c>
      <c r="N1" s="3">
        <v>0.5</v>
      </c>
      <c r="O1" s="52" t="s">
        <v>68</v>
      </c>
      <c r="P1" s="45">
        <v>0.5</v>
      </c>
      <c r="Q1" s="3" t="str">
        <f>" F(next) ~ N ( "&amp;ROUND(I78,0)&amp;", "&amp;ROUND(1.25*L77,0)&amp;")"</f>
        <v xml:space="preserve"> F(next) ~ N ( 0, 0)</v>
      </c>
      <c r="T1" s="44"/>
    </row>
    <row r="2" spans="1:20" x14ac:dyDescent="0.2">
      <c r="A2" s="2">
        <v>0</v>
      </c>
      <c r="B2" s="6"/>
      <c r="C2" s="6"/>
      <c r="D2" s="6"/>
      <c r="E2" s="6"/>
      <c r="F2" s="6"/>
      <c r="I2" s="6"/>
      <c r="J2" s="46"/>
      <c r="K2" s="46"/>
      <c r="L2" s="47"/>
      <c r="M2" s="47"/>
      <c r="O2" s="52" t="s">
        <v>67</v>
      </c>
      <c r="P2" s="45">
        <v>0.5</v>
      </c>
      <c r="T2" s="44"/>
    </row>
    <row r="3" spans="1:20" x14ac:dyDescent="0.2">
      <c r="A3" s="2">
        <f>[2]ArdiData!A3</f>
        <v>1</v>
      </c>
      <c r="B3" s="42">
        <f ca="1">ROUND('0.ArdiData'!C3/10,0)</f>
        <v>101</v>
      </c>
      <c r="C3" s="42">
        <f ca="1">B3</f>
        <v>101</v>
      </c>
      <c r="D3" s="6"/>
      <c r="E3" s="6"/>
      <c r="F3" s="6"/>
      <c r="G3" s="6">
        <f ca="1">INTERCEPT(B3:B23,A3:A23)</f>
        <v>102.43809523809524</v>
      </c>
      <c r="H3" s="6">
        <f ca="1">SLOPE(B3:B23,A3:A23)</f>
        <v>7.7350649350649343</v>
      </c>
      <c r="I3" s="42">
        <f t="shared" ref="I3:I23" ca="1" si="0">G3+H3</f>
        <v>110.17316017316018</v>
      </c>
      <c r="J3" s="41">
        <f t="shared" ref="J3:J23" ca="1" si="1">B3-I3</f>
        <v>-9.1731601731601842</v>
      </c>
      <c r="K3" s="41">
        <f t="shared" ref="K3:K23" ca="1" si="2">ABS(J3)</f>
        <v>9.1731601731601842</v>
      </c>
      <c r="L3" s="39">
        <f ca="1">AVERAGE($K$3:K3)</f>
        <v>9.1731601731601842</v>
      </c>
      <c r="M3" s="39">
        <f ca="1">SUM(J$3:J3)/L3</f>
        <v>-1</v>
      </c>
    </row>
    <row r="4" spans="1:20" x14ac:dyDescent="0.2">
      <c r="A4" s="2">
        <f>[2]ArdiData!A4</f>
        <v>2</v>
      </c>
      <c r="B4" s="42">
        <f ca="1">ROUND('0.ArdiData'!C4/10,0)</f>
        <v>122</v>
      </c>
      <c r="C4" s="57">
        <f t="shared" ref="C4:C23" ca="1" si="3">(1-$N$1)*C3+$N$1*B3</f>
        <v>101</v>
      </c>
      <c r="D4" s="6">
        <f t="shared" ref="D4:D23" ca="1" si="4">B4-C4</f>
        <v>21</v>
      </c>
      <c r="E4" s="6">
        <f t="shared" ref="E4:E23" ca="1" si="5">ABS(D4)</f>
        <v>21</v>
      </c>
      <c r="F4" s="6">
        <f ca="1">AVERAGE($E$4:E4)</f>
        <v>21</v>
      </c>
      <c r="G4" s="3">
        <f t="shared" ref="G4:G23" ca="1" si="6">(1-$P$1)*I3+$P$1*B3</f>
        <v>105.58658008658008</v>
      </c>
      <c r="H4" s="42">
        <f t="shared" ref="H4:H23" ca="1" si="7">(1-$P$2)*H3+$P$2*(B4-B3)</f>
        <v>14.367532467532467</v>
      </c>
      <c r="I4" s="42">
        <f t="shared" ca="1" si="0"/>
        <v>119.95411255411256</v>
      </c>
      <c r="J4" s="41">
        <f t="shared" ca="1" si="1"/>
        <v>2.0458874458874448</v>
      </c>
      <c r="K4" s="41">
        <f t="shared" ca="1" si="2"/>
        <v>2.0458874458874448</v>
      </c>
      <c r="L4" s="39">
        <f ca="1">AVERAGE($K$3:K4)</f>
        <v>5.6095238095238145</v>
      </c>
      <c r="M4" s="39">
        <f ca="1">SUM(J$3:J4)/L4</f>
        <v>-1.2705664454391121</v>
      </c>
      <c r="O4" s="51">
        <f ca="1">F23</f>
        <v>21.063650608062744</v>
      </c>
    </row>
    <row r="5" spans="1:20" x14ac:dyDescent="0.2">
      <c r="A5" s="2">
        <f>[2]ArdiData!A5</f>
        <v>3</v>
      </c>
      <c r="B5" s="42">
        <f ca="1">ROUND('0.ArdiData'!C5/10,0)</f>
        <v>131</v>
      </c>
      <c r="C5" s="57">
        <f t="shared" ca="1" si="3"/>
        <v>111.5</v>
      </c>
      <c r="D5" s="6">
        <f t="shared" ca="1" si="4"/>
        <v>19.5</v>
      </c>
      <c r="E5" s="6">
        <f t="shared" ca="1" si="5"/>
        <v>19.5</v>
      </c>
      <c r="F5" s="6">
        <f ca="1">AVERAGE($E$4:E5)</f>
        <v>20.25</v>
      </c>
      <c r="G5" s="3">
        <f t="shared" ca="1" si="6"/>
        <v>120.97705627705628</v>
      </c>
      <c r="H5" s="42">
        <f t="shared" ca="1" si="7"/>
        <v>11.683766233766233</v>
      </c>
      <c r="I5" s="42">
        <f t="shared" ca="1" si="0"/>
        <v>132.6608225108225</v>
      </c>
      <c r="J5" s="41">
        <f t="shared" ca="1" si="1"/>
        <v>-1.6608225108224985</v>
      </c>
      <c r="K5" s="41">
        <f t="shared" ca="1" si="2"/>
        <v>1.6608225108224985</v>
      </c>
      <c r="L5" s="39">
        <f ca="1">AVERAGE($K$3:K5)</f>
        <v>4.2932900432900425</v>
      </c>
      <c r="M5" s="39">
        <f ca="1">SUM(J$3:J5)/L5</f>
        <v>-2.0469372321653645</v>
      </c>
      <c r="N5" s="44">
        <f>L77</f>
        <v>0</v>
      </c>
      <c r="O5" s="3">
        <f t="dataTable" ref="O5:O15" dt2D="0" dtr="0" r1="N1" ca="1"/>
        <v>125.1</v>
      </c>
    </row>
    <row r="6" spans="1:20" x14ac:dyDescent="0.2">
      <c r="A6" s="2">
        <f>[2]ArdiData!A6</f>
        <v>4</v>
      </c>
      <c r="B6" s="42">
        <f ca="1">ROUND('0.ArdiData'!C6/10,0)</f>
        <v>139</v>
      </c>
      <c r="C6" s="57">
        <f t="shared" ca="1" si="3"/>
        <v>121.25</v>
      </c>
      <c r="D6" s="6">
        <f t="shared" ca="1" si="4"/>
        <v>17.75</v>
      </c>
      <c r="E6" s="6">
        <f t="shared" ca="1" si="5"/>
        <v>17.75</v>
      </c>
      <c r="F6" s="6">
        <f ca="1">AVERAGE($E$4:E6)</f>
        <v>19.416666666666668</v>
      </c>
      <c r="G6" s="3">
        <f t="shared" ca="1" si="6"/>
        <v>131.83041125541126</v>
      </c>
      <c r="H6" s="42">
        <f t="shared" ca="1" si="7"/>
        <v>9.8418831168831176</v>
      </c>
      <c r="I6" s="42">
        <f t="shared" ca="1" si="0"/>
        <v>141.67229437229437</v>
      </c>
      <c r="J6" s="41">
        <f t="shared" ca="1" si="1"/>
        <v>-2.6722943722943739</v>
      </c>
      <c r="K6" s="41">
        <f t="shared" ca="1" si="2"/>
        <v>2.6722943722943739</v>
      </c>
      <c r="L6" s="39">
        <f ca="1">AVERAGE($K$3:K6)</f>
        <v>3.8880411255411254</v>
      </c>
      <c r="M6" s="39">
        <f ca="1">SUM(J$3:J6)/L6</f>
        <v>-2.9475998942255508</v>
      </c>
      <c r="N6" s="3">
        <v>0.1</v>
      </c>
      <c r="O6" s="3">
        <v>69.760960679741984</v>
      </c>
    </row>
    <row r="7" spans="1:20" x14ac:dyDescent="0.2">
      <c r="A7" s="2">
        <f>[2]ArdiData!A7</f>
        <v>5</v>
      </c>
      <c r="B7" s="42">
        <f ca="1">ROUND('0.ArdiData'!C7/10,0)</f>
        <v>142</v>
      </c>
      <c r="C7" s="57">
        <f t="shared" ca="1" si="3"/>
        <v>130.125</v>
      </c>
      <c r="D7" s="6">
        <f t="shared" ca="1" si="4"/>
        <v>11.875</v>
      </c>
      <c r="E7" s="6">
        <f t="shared" ca="1" si="5"/>
        <v>11.875</v>
      </c>
      <c r="F7" s="6">
        <f ca="1">AVERAGE($E$4:E7)</f>
        <v>17.53125</v>
      </c>
      <c r="G7" s="3">
        <f t="shared" ca="1" si="6"/>
        <v>140.33614718614717</v>
      </c>
      <c r="H7" s="42">
        <f t="shared" ca="1" si="7"/>
        <v>6.4209415584415588</v>
      </c>
      <c r="I7" s="42">
        <f t="shared" ca="1" si="0"/>
        <v>146.75708874458874</v>
      </c>
      <c r="J7" s="41">
        <f t="shared" ca="1" si="1"/>
        <v>-4.7570887445887422</v>
      </c>
      <c r="K7" s="41">
        <f t="shared" ca="1" si="2"/>
        <v>4.7570887445887422</v>
      </c>
      <c r="L7" s="39">
        <f ca="1">AVERAGE($K$3:K7)</f>
        <v>4.0618506493506485</v>
      </c>
      <c r="M7" s="39">
        <f ca="1">SUM(J$3:J7)/L7</f>
        <v>-3.9926328550684098</v>
      </c>
      <c r="N7" s="3">
        <v>0.2</v>
      </c>
      <c r="O7" s="3">
        <v>37.256513128440972</v>
      </c>
    </row>
    <row r="8" spans="1:20" x14ac:dyDescent="0.2">
      <c r="A8" s="2">
        <f>[2]ArdiData!A8</f>
        <v>6</v>
      </c>
      <c r="B8" s="42">
        <f ca="1">ROUND('0.ArdiData'!C8/10,0)</f>
        <v>143</v>
      </c>
      <c r="C8" s="57">
        <f t="shared" ca="1" si="3"/>
        <v>136.0625</v>
      </c>
      <c r="D8" s="6">
        <f t="shared" ca="1" si="4"/>
        <v>6.9375</v>
      </c>
      <c r="E8" s="6">
        <f t="shared" ca="1" si="5"/>
        <v>6.9375</v>
      </c>
      <c r="F8" s="6">
        <f ca="1">AVERAGE($E$4:E8)</f>
        <v>15.4125</v>
      </c>
      <c r="G8" s="3">
        <f t="shared" ca="1" si="6"/>
        <v>144.37854437229436</v>
      </c>
      <c r="H8" s="42">
        <f t="shared" ca="1" si="7"/>
        <v>3.7104707792207794</v>
      </c>
      <c r="I8" s="42">
        <f t="shared" ca="1" si="0"/>
        <v>148.08901515151513</v>
      </c>
      <c r="J8" s="41">
        <f t="shared" ca="1" si="1"/>
        <v>-5.0890151515151274</v>
      </c>
      <c r="K8" s="41">
        <f t="shared" ca="1" si="2"/>
        <v>5.0890151515151274</v>
      </c>
      <c r="L8" s="39">
        <f ca="1">AVERAGE($K$3:K8)</f>
        <v>4.2330447330447285</v>
      </c>
      <c r="M8" s="39">
        <f ca="1">SUM(J$3:J8)/L8</f>
        <v>-5.03337310380092</v>
      </c>
      <c r="N8" s="3">
        <v>0.30000000000000004</v>
      </c>
      <c r="O8" s="3">
        <v>39.697162855223681</v>
      </c>
    </row>
    <row r="9" spans="1:20" x14ac:dyDescent="0.2">
      <c r="A9" s="2">
        <f>[2]ArdiData!A9</f>
        <v>7</v>
      </c>
      <c r="B9" s="42">
        <f ca="1">ROUND('0.ArdiData'!C9/10,0)</f>
        <v>159</v>
      </c>
      <c r="C9" s="57">
        <f t="shared" ca="1" si="3"/>
        <v>139.53125</v>
      </c>
      <c r="D9" s="6">
        <f t="shared" ca="1" si="4"/>
        <v>19.46875</v>
      </c>
      <c r="E9" s="6">
        <f t="shared" ca="1" si="5"/>
        <v>19.46875</v>
      </c>
      <c r="F9" s="6">
        <f ca="1">AVERAGE($E$4:E9)</f>
        <v>16.088541666666668</v>
      </c>
      <c r="G9" s="3">
        <f t="shared" ca="1" si="6"/>
        <v>145.54450757575756</v>
      </c>
      <c r="H9" s="42">
        <f t="shared" ca="1" si="7"/>
        <v>9.8552353896103888</v>
      </c>
      <c r="I9" s="42">
        <f t="shared" ca="1" si="0"/>
        <v>155.39974296536795</v>
      </c>
      <c r="J9" s="41">
        <f t="shared" ca="1" si="1"/>
        <v>3.600257034632051</v>
      </c>
      <c r="K9" s="41">
        <f t="shared" ca="1" si="2"/>
        <v>3.600257034632051</v>
      </c>
      <c r="L9" s="39">
        <f ca="1">AVERAGE($K$3:K9)</f>
        <v>4.1426464904143456</v>
      </c>
      <c r="M9" s="39">
        <f ca="1">SUM(J$3:J9)/L9</f>
        <v>-4.2741364760019529</v>
      </c>
      <c r="N9" s="3">
        <v>0.4</v>
      </c>
      <c r="O9" s="3">
        <v>38.410028306345858</v>
      </c>
    </row>
    <row r="10" spans="1:20" x14ac:dyDescent="0.2">
      <c r="A10" s="2">
        <f>[2]ArdiData!A10</f>
        <v>8</v>
      </c>
      <c r="B10" s="42">
        <f ca="1">ROUND('0.ArdiData'!C10/10,0)</f>
        <v>156</v>
      </c>
      <c r="C10" s="57">
        <f t="shared" ca="1" si="3"/>
        <v>149.265625</v>
      </c>
      <c r="D10" s="6">
        <f t="shared" ca="1" si="4"/>
        <v>6.734375</v>
      </c>
      <c r="E10" s="6">
        <f t="shared" ca="1" si="5"/>
        <v>6.734375</v>
      </c>
      <c r="F10" s="6">
        <f ca="1">AVERAGE($E$4:E10)</f>
        <v>14.752232142857142</v>
      </c>
      <c r="G10" s="3">
        <f t="shared" ca="1" si="6"/>
        <v>157.19987148268399</v>
      </c>
      <c r="H10" s="42">
        <f t="shared" ca="1" si="7"/>
        <v>3.4276176948051944</v>
      </c>
      <c r="I10" s="42">
        <f t="shared" ca="1" si="0"/>
        <v>160.6274891774892</v>
      </c>
      <c r="J10" s="41">
        <f t="shared" ca="1" si="1"/>
        <v>-4.6274891774891955</v>
      </c>
      <c r="K10" s="41">
        <f t="shared" ca="1" si="2"/>
        <v>4.6274891774891955</v>
      </c>
      <c r="L10" s="39">
        <f ca="1">AVERAGE($K$3:K10)</f>
        <v>4.2032518262987022</v>
      </c>
      <c r="M10" s="39">
        <f ca="1">SUM(J$3:J10)/L10</f>
        <v>-5.3134398252357986</v>
      </c>
      <c r="N10" s="3">
        <v>0.5</v>
      </c>
      <c r="O10" s="3">
        <v>21.616258239746095</v>
      </c>
    </row>
    <row r="11" spans="1:20" x14ac:dyDescent="0.2">
      <c r="A11" s="2">
        <f>[2]ArdiData!A11</f>
        <v>9</v>
      </c>
      <c r="B11" s="42">
        <f ca="1">ROUND('0.ArdiData'!C11/10,0)</f>
        <v>199</v>
      </c>
      <c r="C11" s="57">
        <f t="shared" ca="1" si="3"/>
        <v>152.6328125</v>
      </c>
      <c r="D11" s="6">
        <f t="shared" ca="1" si="4"/>
        <v>46.3671875</v>
      </c>
      <c r="E11" s="6">
        <f t="shared" ca="1" si="5"/>
        <v>46.3671875</v>
      </c>
      <c r="F11" s="6">
        <f ca="1">AVERAGE($E$4:E11)</f>
        <v>18.7041015625</v>
      </c>
      <c r="G11" s="3">
        <f t="shared" ca="1" si="6"/>
        <v>158.31374458874461</v>
      </c>
      <c r="H11" s="42">
        <f t="shared" ca="1" si="7"/>
        <v>23.213808847402596</v>
      </c>
      <c r="I11" s="42">
        <f t="shared" ca="1" si="0"/>
        <v>181.5275534361472</v>
      </c>
      <c r="J11" s="41">
        <f t="shared" ca="1" si="1"/>
        <v>17.472446563852799</v>
      </c>
      <c r="K11" s="41">
        <f t="shared" ca="1" si="2"/>
        <v>17.472446563852799</v>
      </c>
      <c r="L11" s="39">
        <f ca="1">AVERAGE($K$3:K11)</f>
        <v>5.6776067971380462</v>
      </c>
      <c r="M11" s="39">
        <f ca="1">SUM(J$3:J11)/L11</f>
        <v>-0.85621975229920622</v>
      </c>
      <c r="N11" s="3">
        <v>0.6</v>
      </c>
      <c r="O11" s="3">
        <v>16.720096759140183</v>
      </c>
    </row>
    <row r="12" spans="1:20" x14ac:dyDescent="0.2">
      <c r="A12" s="2">
        <f>[2]ArdiData!A12</f>
        <v>10</v>
      </c>
      <c r="B12" s="42">
        <f ca="1">ROUND('0.ArdiData'!C12/10,0)</f>
        <v>168</v>
      </c>
      <c r="C12" s="57">
        <f t="shared" ca="1" si="3"/>
        <v>175.81640625</v>
      </c>
      <c r="D12" s="6">
        <f t="shared" ca="1" si="4"/>
        <v>-7.81640625</v>
      </c>
      <c r="E12" s="6">
        <f t="shared" ca="1" si="5"/>
        <v>7.81640625</v>
      </c>
      <c r="F12" s="6">
        <f ca="1">AVERAGE($E$4:E12)</f>
        <v>17.494357638888889</v>
      </c>
      <c r="G12" s="3">
        <f t="shared" ca="1" si="6"/>
        <v>190.26377671807359</v>
      </c>
      <c r="H12" s="42">
        <f t="shared" ca="1" si="7"/>
        <v>-3.8930955762987018</v>
      </c>
      <c r="I12" s="42">
        <f t="shared" ca="1" si="0"/>
        <v>186.3706811417749</v>
      </c>
      <c r="J12" s="41">
        <f t="shared" ca="1" si="1"/>
        <v>-18.370681141774895</v>
      </c>
      <c r="K12" s="41">
        <f t="shared" ca="1" si="2"/>
        <v>18.370681141774895</v>
      </c>
      <c r="L12" s="39">
        <f ca="1">AVERAGE($K$3:K12)</f>
        <v>6.9469142316017312</v>
      </c>
      <c r="M12" s="39">
        <f ca="1">SUM(J$3:J12)/L12</f>
        <v>-3.3442129055789698</v>
      </c>
      <c r="N12" s="3">
        <v>0.70000000000000007</v>
      </c>
      <c r="O12" s="3">
        <v>28.76777348235057</v>
      </c>
    </row>
    <row r="13" spans="1:20" x14ac:dyDescent="0.2">
      <c r="A13" s="2">
        <f>[2]ArdiData!A13</f>
        <v>11</v>
      </c>
      <c r="B13" s="42">
        <f ca="1">ROUND('0.ArdiData'!C13/10,0)</f>
        <v>169</v>
      </c>
      <c r="C13" s="57">
        <f t="shared" ca="1" si="3"/>
        <v>171.908203125</v>
      </c>
      <c r="D13" s="6">
        <f t="shared" ca="1" si="4"/>
        <v>-2.908203125</v>
      </c>
      <c r="E13" s="6">
        <f t="shared" ca="1" si="5"/>
        <v>2.908203125</v>
      </c>
      <c r="F13" s="6">
        <f ca="1">AVERAGE($E$4:E13)</f>
        <v>16.035742187499999</v>
      </c>
      <c r="G13" s="3">
        <f t="shared" ca="1" si="6"/>
        <v>177.18534057088743</v>
      </c>
      <c r="H13" s="42">
        <f t="shared" ca="1" si="7"/>
        <v>-1.4465477881493509</v>
      </c>
      <c r="I13" s="42">
        <f t="shared" ca="1" si="0"/>
        <v>175.73879278273807</v>
      </c>
      <c r="J13" s="41">
        <f t="shared" ca="1" si="1"/>
        <v>-6.7387927827380736</v>
      </c>
      <c r="K13" s="41">
        <f t="shared" ca="1" si="2"/>
        <v>6.7387927827380736</v>
      </c>
      <c r="L13" s="39">
        <f ca="1">AVERAGE($K$3:K13)</f>
        <v>6.9279940998868534</v>
      </c>
      <c r="M13" s="39">
        <f ca="1">SUM(J$3:J13)/L13</f>
        <v>-4.3260361625452699</v>
      </c>
      <c r="N13" s="3">
        <v>0.8</v>
      </c>
      <c r="O13" s="3">
        <v>24.713339025356305</v>
      </c>
    </row>
    <row r="14" spans="1:20" x14ac:dyDescent="0.2">
      <c r="A14" s="2">
        <f>[2]ArdiData!A14</f>
        <v>12</v>
      </c>
      <c r="B14" s="42">
        <f ca="1">ROUND('0.ArdiData'!C14/10,0)</f>
        <v>193</v>
      </c>
      <c r="C14" s="57">
        <f t="shared" ca="1" si="3"/>
        <v>170.4541015625</v>
      </c>
      <c r="D14" s="6">
        <f t="shared" ca="1" si="4"/>
        <v>22.5458984375</v>
      </c>
      <c r="E14" s="6">
        <f t="shared" ca="1" si="5"/>
        <v>22.5458984375</v>
      </c>
      <c r="F14" s="6">
        <f ca="1">AVERAGE($E$4:E14)</f>
        <v>16.627574573863637</v>
      </c>
      <c r="G14" s="3">
        <f t="shared" ca="1" si="6"/>
        <v>172.36939639136904</v>
      </c>
      <c r="H14" s="42">
        <f t="shared" ca="1" si="7"/>
        <v>11.276726105925324</v>
      </c>
      <c r="I14" s="42">
        <f t="shared" ca="1" si="0"/>
        <v>183.64612249729436</v>
      </c>
      <c r="J14" s="41">
        <f t="shared" ca="1" si="1"/>
        <v>9.3538775027056431</v>
      </c>
      <c r="K14" s="41">
        <f t="shared" ca="1" si="2"/>
        <v>9.3538775027056431</v>
      </c>
      <c r="L14" s="39">
        <f ca="1">AVERAGE($K$3:K14)</f>
        <v>7.1301510501217527</v>
      </c>
      <c r="M14" s="39">
        <f ca="1">SUM(J$3:J14)/L14</f>
        <v>-2.891506135336797</v>
      </c>
      <c r="N14" s="3">
        <v>0.9</v>
      </c>
      <c r="O14" s="3">
        <v>18.954389945607378</v>
      </c>
    </row>
    <row r="15" spans="1:20" x14ac:dyDescent="0.2">
      <c r="A15" s="2">
        <f>[2]ArdiData!A15</f>
        <v>13</v>
      </c>
      <c r="B15" s="42">
        <f ca="1">ROUND('0.ArdiData'!C15/10,0)</f>
        <v>207</v>
      </c>
      <c r="C15" s="57">
        <f t="shared" ca="1" si="3"/>
        <v>181.72705078125</v>
      </c>
      <c r="D15" s="6">
        <f t="shared" ca="1" si="4"/>
        <v>25.27294921875</v>
      </c>
      <c r="E15" s="6">
        <f t="shared" ca="1" si="5"/>
        <v>25.27294921875</v>
      </c>
      <c r="F15" s="6">
        <f ca="1">AVERAGE($E$4:E15)</f>
        <v>17.3480224609375</v>
      </c>
      <c r="G15" s="3">
        <f t="shared" ca="1" si="6"/>
        <v>188.32306124864718</v>
      </c>
      <c r="H15" s="42">
        <f t="shared" ca="1" si="7"/>
        <v>12.638363052962662</v>
      </c>
      <c r="I15" s="42">
        <f t="shared" ca="1" si="0"/>
        <v>200.96142430160984</v>
      </c>
      <c r="J15" s="41">
        <f t="shared" ca="1" si="1"/>
        <v>6.0385756983901615</v>
      </c>
      <c r="K15" s="41">
        <f t="shared" ca="1" si="2"/>
        <v>6.0385756983901615</v>
      </c>
      <c r="L15" s="39">
        <f ca="1">AVERAGE($K$3:K15)</f>
        <v>7.0461837153731688</v>
      </c>
      <c r="M15" s="39">
        <f ca="1">SUM(J$3:J15)/L15</f>
        <v>-2.068963909798216</v>
      </c>
      <c r="N15" s="3">
        <v>1</v>
      </c>
      <c r="O15" s="3">
        <v>16.350000000000001</v>
      </c>
    </row>
    <row r="16" spans="1:20" x14ac:dyDescent="0.2">
      <c r="A16" s="2">
        <f>[2]ArdiData!A16</f>
        <v>14</v>
      </c>
      <c r="B16" s="42">
        <f ca="1">ROUND('0.ArdiData'!C16/10,0)</f>
        <v>230</v>
      </c>
      <c r="C16" s="57">
        <f t="shared" ca="1" si="3"/>
        <v>194.363525390625</v>
      </c>
      <c r="D16" s="6">
        <f t="shared" ca="1" si="4"/>
        <v>35.636474609375</v>
      </c>
      <c r="E16" s="6">
        <f t="shared" ca="1" si="5"/>
        <v>35.636474609375</v>
      </c>
      <c r="F16" s="6">
        <f ca="1">AVERAGE($E$4:E16)</f>
        <v>18.75482647235577</v>
      </c>
      <c r="G16" s="3">
        <f t="shared" ca="1" si="6"/>
        <v>203.98071215080492</v>
      </c>
      <c r="H16" s="42">
        <f t="shared" ca="1" si="7"/>
        <v>17.81918152648133</v>
      </c>
      <c r="I16" s="42">
        <f t="shared" ca="1" si="0"/>
        <v>221.79989367728626</v>
      </c>
      <c r="J16" s="41">
        <f t="shared" ca="1" si="1"/>
        <v>8.2001063227137365</v>
      </c>
      <c r="K16" s="41">
        <f t="shared" ca="1" si="2"/>
        <v>8.2001063227137365</v>
      </c>
      <c r="L16" s="39">
        <f ca="1">AVERAGE($K$3:K16)</f>
        <v>7.1286067587546373</v>
      </c>
      <c r="M16" s="39">
        <f ca="1">SUM(J$3:J16)/L16</f>
        <v>-0.89473212677473046</v>
      </c>
      <c r="N16" s="3">
        <f>MIN(O5:O15)</f>
        <v>16.350000000000001</v>
      </c>
    </row>
    <row r="17" spans="1:26" x14ac:dyDescent="0.2">
      <c r="A17" s="2">
        <f>[2]ArdiData!A17</f>
        <v>15</v>
      </c>
      <c r="B17" s="42">
        <f ca="1">ROUND('0.ArdiData'!C17/10,0)</f>
        <v>240</v>
      </c>
      <c r="C17" s="57">
        <f t="shared" ca="1" si="3"/>
        <v>212.1817626953125</v>
      </c>
      <c r="D17" s="6">
        <f t="shared" ca="1" si="4"/>
        <v>27.8182373046875</v>
      </c>
      <c r="E17" s="6">
        <f t="shared" ca="1" si="5"/>
        <v>27.8182373046875</v>
      </c>
      <c r="F17" s="6">
        <f ca="1">AVERAGE($E$4:E17)</f>
        <v>19.402212960379465</v>
      </c>
      <c r="G17" s="3">
        <f t="shared" ca="1" si="6"/>
        <v>225.89994683864313</v>
      </c>
      <c r="H17" s="42">
        <f t="shared" ca="1" si="7"/>
        <v>13.909590763240665</v>
      </c>
      <c r="I17" s="42">
        <f t="shared" ca="1" si="0"/>
        <v>239.80953760188379</v>
      </c>
      <c r="J17" s="41">
        <f t="shared" ca="1" si="1"/>
        <v>0.19046239811621035</v>
      </c>
      <c r="K17" s="41">
        <f t="shared" ca="1" si="2"/>
        <v>0.19046239811621035</v>
      </c>
      <c r="L17" s="39">
        <f ca="1">AVERAGE($K$3:K17)</f>
        <v>6.6660638013787423</v>
      </c>
      <c r="M17" s="39">
        <f ca="1">SUM(J$3:J17)/L17</f>
        <v>-0.92824360408990325</v>
      </c>
      <c r="N17" s="50">
        <f ca="1">L23</f>
        <v>8.4813293619417358</v>
      </c>
      <c r="O17" s="3">
        <v>0</v>
      </c>
      <c r="P17" s="3">
        <v>0.1</v>
      </c>
      <c r="Q17" s="3">
        <v>0.2</v>
      </c>
      <c r="R17" s="3">
        <v>0.3</v>
      </c>
      <c r="S17" s="3">
        <v>0.4</v>
      </c>
      <c r="T17" s="3">
        <v>0.5</v>
      </c>
      <c r="U17" s="3">
        <v>0.6</v>
      </c>
      <c r="V17" s="3">
        <v>0.7</v>
      </c>
      <c r="W17" s="3">
        <v>0.8</v>
      </c>
      <c r="X17" s="3">
        <v>0.9</v>
      </c>
      <c r="Y17" s="3">
        <v>1</v>
      </c>
    </row>
    <row r="18" spans="1:26" x14ac:dyDescent="0.2">
      <c r="A18" s="2">
        <f>[2]ArdiData!A18</f>
        <v>16</v>
      </c>
      <c r="B18" s="42">
        <f ca="1">ROUND('0.ArdiData'!C18/10,0)</f>
        <v>199</v>
      </c>
      <c r="C18" s="57">
        <f t="shared" ca="1" si="3"/>
        <v>226.09088134765625</v>
      </c>
      <c r="D18" s="6">
        <f t="shared" ca="1" si="4"/>
        <v>-27.09088134765625</v>
      </c>
      <c r="E18" s="6">
        <f t="shared" ca="1" si="5"/>
        <v>27.09088134765625</v>
      </c>
      <c r="F18" s="6">
        <f ca="1">AVERAGE($E$4:E18)</f>
        <v>19.914790852864584</v>
      </c>
      <c r="G18" s="3">
        <f t="shared" ca="1" si="6"/>
        <v>239.90476880094189</v>
      </c>
      <c r="H18" s="42">
        <f t="shared" ca="1" si="7"/>
        <v>-13.545204618379667</v>
      </c>
      <c r="I18" s="42">
        <f t="shared" ca="1" si="0"/>
        <v>226.35956418256222</v>
      </c>
      <c r="J18" s="41">
        <f t="shared" ca="1" si="1"/>
        <v>-27.359564182562224</v>
      </c>
      <c r="K18" s="41">
        <f t="shared" ca="1" si="2"/>
        <v>27.359564182562224</v>
      </c>
      <c r="L18" s="39">
        <f ca="1">AVERAGE($K$3:K18)</f>
        <v>7.95940757520271</v>
      </c>
      <c r="M18" s="39">
        <f ca="1">SUM(J$3:J18)/L18</f>
        <v>-4.2147980177774587</v>
      </c>
      <c r="N18" s="3">
        <v>0</v>
      </c>
      <c r="O18" s="3">
        <f t="dataTable" ref="O18:Y28" dt2D="1" dtr="1" r1="P2" r2="P1" ca="1"/>
        <v>17.494001236858374</v>
      </c>
      <c r="P18" s="3">
        <v>16.81050654772497</v>
      </c>
      <c r="Q18" s="3">
        <v>8.6896783931160311</v>
      </c>
      <c r="R18" s="3">
        <v>17.029048945947107</v>
      </c>
      <c r="S18" s="3">
        <v>10.676533715782503</v>
      </c>
      <c r="T18" s="3">
        <v>11.345084804506589</v>
      </c>
      <c r="U18" s="3">
        <v>11.215624994509669</v>
      </c>
      <c r="V18" s="3">
        <v>13.508389404626165</v>
      </c>
      <c r="W18" s="3">
        <v>5.9947868341832233</v>
      </c>
      <c r="X18" s="3">
        <v>6.3460831898500354</v>
      </c>
      <c r="Y18" s="3">
        <v>13.493506493506516</v>
      </c>
    </row>
    <row r="19" spans="1:26" x14ac:dyDescent="0.2">
      <c r="A19" s="2">
        <f>[2]ArdiData!A19</f>
        <v>17</v>
      </c>
      <c r="B19" s="42">
        <f ca="1">ROUND('0.ArdiData'!C19/10,0)</f>
        <v>235</v>
      </c>
      <c r="C19" s="57">
        <f t="shared" ca="1" si="3"/>
        <v>212.54544067382813</v>
      </c>
      <c r="D19" s="6">
        <f t="shared" ca="1" si="4"/>
        <v>22.454559326171875</v>
      </c>
      <c r="E19" s="6">
        <f t="shared" ca="1" si="5"/>
        <v>22.454559326171875</v>
      </c>
      <c r="F19" s="6">
        <f ca="1">AVERAGE($E$4:E19)</f>
        <v>20.073526382446289</v>
      </c>
      <c r="G19" s="3">
        <f t="shared" ca="1" si="6"/>
        <v>212.67978209128111</v>
      </c>
      <c r="H19" s="42">
        <f t="shared" ca="1" si="7"/>
        <v>11.227397690810166</v>
      </c>
      <c r="I19" s="42">
        <f t="shared" ca="1" si="0"/>
        <v>223.90717978209128</v>
      </c>
      <c r="J19" s="41">
        <f t="shared" ca="1" si="1"/>
        <v>11.092820217908724</v>
      </c>
      <c r="K19" s="41">
        <f t="shared" ca="1" si="2"/>
        <v>11.092820217908724</v>
      </c>
      <c r="L19" s="39">
        <f ca="1">AVERAGE($K$3:K19)</f>
        <v>8.1437259659501215</v>
      </c>
      <c r="M19" s="39">
        <f ca="1">SUM(J$3:J19)/L19</f>
        <v>-2.7572729174119259</v>
      </c>
      <c r="N19" s="3">
        <v>0.1</v>
      </c>
      <c r="O19" s="3">
        <v>6.9462162212352654</v>
      </c>
      <c r="P19" s="3">
        <v>18.135763637173959</v>
      </c>
      <c r="Q19" s="3">
        <v>10.101914054563387</v>
      </c>
      <c r="R19" s="3">
        <v>8.4202142396042063</v>
      </c>
      <c r="S19" s="3">
        <v>11.042961610619354</v>
      </c>
      <c r="T19" s="3">
        <v>8.1685692420106832</v>
      </c>
      <c r="U19" s="3">
        <v>5.0319200910638635</v>
      </c>
      <c r="V19" s="3">
        <v>8.7689094457552788</v>
      </c>
      <c r="W19" s="3">
        <v>5.8045430052594655</v>
      </c>
      <c r="X19" s="3">
        <v>10.239671075871437</v>
      </c>
      <c r="Y19" s="3">
        <v>2.3719453020863814</v>
      </c>
    </row>
    <row r="20" spans="1:26" x14ac:dyDescent="0.2">
      <c r="A20" s="2">
        <f>[2]ArdiData!A20</f>
        <v>18</v>
      </c>
      <c r="B20" s="42">
        <f ca="1">ROUND('0.ArdiData'!C20/10,0)</f>
        <v>217</v>
      </c>
      <c r="C20" s="57">
        <f t="shared" ca="1" si="3"/>
        <v>223.77272033691406</v>
      </c>
      <c r="D20" s="6">
        <f t="shared" ca="1" si="4"/>
        <v>-6.7727203369140625</v>
      </c>
      <c r="E20" s="6">
        <f t="shared" ca="1" si="5"/>
        <v>6.7727203369140625</v>
      </c>
      <c r="F20" s="6">
        <f ca="1">AVERAGE($E$4:E20)</f>
        <v>19.291126026826745</v>
      </c>
      <c r="G20" s="3">
        <f t="shared" ca="1" si="6"/>
        <v>229.45358989104562</v>
      </c>
      <c r="H20" s="42">
        <f t="shared" ca="1" si="7"/>
        <v>-3.3863011545949169</v>
      </c>
      <c r="I20" s="42">
        <f t="shared" ca="1" si="0"/>
        <v>226.06728873645071</v>
      </c>
      <c r="J20" s="41">
        <f t="shared" ca="1" si="1"/>
        <v>-9.0672887364507062</v>
      </c>
      <c r="K20" s="41">
        <f t="shared" ca="1" si="2"/>
        <v>9.0672887364507062</v>
      </c>
      <c r="L20" s="39">
        <f ca="1">AVERAGE($K$3:K20)</f>
        <v>8.1950350087557098</v>
      </c>
      <c r="M20" s="39">
        <f ca="1">SUM(J$3:J20)/L20</f>
        <v>-3.8464465076123386</v>
      </c>
      <c r="N20" s="3">
        <v>0.2</v>
      </c>
      <c r="O20" s="3">
        <v>19.227209380978998</v>
      </c>
      <c r="P20" s="3">
        <v>10.227062581228086</v>
      </c>
      <c r="Q20" s="3">
        <v>15.81680991947732</v>
      </c>
      <c r="R20" s="3">
        <v>16.079076426275076</v>
      </c>
      <c r="S20" s="3">
        <v>11.343110410955834</v>
      </c>
      <c r="T20" s="3">
        <v>10.35289004344372</v>
      </c>
      <c r="U20" s="3">
        <v>4.9231810264147162</v>
      </c>
      <c r="V20" s="3">
        <v>5.6023520257419843</v>
      </c>
      <c r="W20" s="3">
        <v>7.648298227812897</v>
      </c>
      <c r="X20" s="3">
        <v>4.0960034319767935</v>
      </c>
      <c r="Y20" s="3">
        <v>2.5091096422443719</v>
      </c>
    </row>
    <row r="21" spans="1:26" x14ac:dyDescent="0.2">
      <c r="A21" s="2">
        <f>[2]ArdiData!A21</f>
        <v>19</v>
      </c>
      <c r="B21" s="42">
        <f ca="1">ROUND('0.ArdiData'!C21/10,0)</f>
        <v>242</v>
      </c>
      <c r="C21" s="57">
        <f t="shared" ca="1" si="3"/>
        <v>220.38636016845703</v>
      </c>
      <c r="D21" s="6">
        <f t="shared" ca="1" si="4"/>
        <v>21.613639831542969</v>
      </c>
      <c r="E21" s="6">
        <f t="shared" ca="1" si="5"/>
        <v>21.613639831542969</v>
      </c>
      <c r="F21" s="6">
        <f ca="1">AVERAGE($E$4:E21)</f>
        <v>19.420154571533203</v>
      </c>
      <c r="G21" s="3">
        <f t="shared" ca="1" si="6"/>
        <v>221.53364436822534</v>
      </c>
      <c r="H21" s="42">
        <f t="shared" ca="1" si="7"/>
        <v>10.806849422702541</v>
      </c>
      <c r="I21" s="42">
        <f t="shared" ca="1" si="0"/>
        <v>232.34049379092789</v>
      </c>
      <c r="J21" s="41">
        <f t="shared" ca="1" si="1"/>
        <v>9.6595062090721058</v>
      </c>
      <c r="K21" s="41">
        <f t="shared" ca="1" si="2"/>
        <v>9.6595062090721058</v>
      </c>
      <c r="L21" s="39">
        <f ca="1">AVERAGE($K$3:K21)</f>
        <v>8.2721124403513091</v>
      </c>
      <c r="M21" s="39">
        <f ca="1">SUM(J$3:J21)/L21</f>
        <v>-2.642886897121127</v>
      </c>
      <c r="N21" s="3">
        <v>0.3</v>
      </c>
      <c r="O21" s="3">
        <v>18.780194538449194</v>
      </c>
      <c r="P21" s="3">
        <v>7.7465583684382198</v>
      </c>
      <c r="Q21" s="3">
        <v>17.865031767056774</v>
      </c>
      <c r="R21" s="3">
        <v>9.4065996475677913</v>
      </c>
      <c r="S21" s="3">
        <v>8.5476739174044258</v>
      </c>
      <c r="T21" s="3">
        <v>7.3175855575517881</v>
      </c>
      <c r="U21" s="3">
        <v>6.3499258333582675</v>
      </c>
      <c r="V21" s="3">
        <v>8.2738697029170343</v>
      </c>
      <c r="W21" s="3">
        <v>2.8717541960478932</v>
      </c>
      <c r="X21" s="3">
        <v>2.8552232263516935</v>
      </c>
      <c r="Y21" s="3">
        <v>3.185191688505689</v>
      </c>
    </row>
    <row r="22" spans="1:26" x14ac:dyDescent="0.2">
      <c r="A22" s="2">
        <f>[2]ArdiData!A22</f>
        <v>20</v>
      </c>
      <c r="B22" s="42">
        <f ca="1">ROUND('0.ArdiData'!C22/10,0)</f>
        <v>255</v>
      </c>
      <c r="C22" s="57">
        <f t="shared" ca="1" si="3"/>
        <v>231.19318008422852</v>
      </c>
      <c r="D22" s="6">
        <f t="shared" ca="1" si="4"/>
        <v>23.806819915771484</v>
      </c>
      <c r="E22" s="6">
        <f t="shared" ca="1" si="5"/>
        <v>23.806819915771484</v>
      </c>
      <c r="F22" s="6">
        <f ca="1">AVERAGE($E$4:E22)</f>
        <v>19.651031694914167</v>
      </c>
      <c r="G22" s="3">
        <f t="shared" ca="1" si="6"/>
        <v>237.17024689546395</v>
      </c>
      <c r="H22" s="42">
        <f t="shared" ca="1" si="7"/>
        <v>11.903424711351271</v>
      </c>
      <c r="I22" s="42">
        <f t="shared" ca="1" si="0"/>
        <v>249.07367160681522</v>
      </c>
      <c r="J22" s="41">
        <f t="shared" ca="1" si="1"/>
        <v>5.9263283931847752</v>
      </c>
      <c r="K22" s="41">
        <f t="shared" ca="1" si="2"/>
        <v>5.9263283931847752</v>
      </c>
      <c r="L22" s="39">
        <f ca="1">AVERAGE($K$3:K22)</f>
        <v>8.1548232379929821</v>
      </c>
      <c r="M22" s="39">
        <f ca="1">SUM(J$3:J22)/L22</f>
        <v>-1.9541722391587275</v>
      </c>
      <c r="N22" s="3">
        <v>0.4</v>
      </c>
      <c r="O22" s="3">
        <v>18.650754494781083</v>
      </c>
      <c r="P22" s="3">
        <v>13.922162168201757</v>
      </c>
      <c r="Q22" s="3">
        <v>18.282513012726163</v>
      </c>
      <c r="R22" s="3">
        <v>8.1254346898542842</v>
      </c>
      <c r="S22" s="3">
        <v>9.0306701071966131</v>
      </c>
      <c r="T22" s="3">
        <v>12.766921610173757</v>
      </c>
      <c r="U22" s="3">
        <v>7.2095392787794932</v>
      </c>
      <c r="V22" s="3">
        <v>9.7052266070579183</v>
      </c>
      <c r="W22" s="3">
        <v>3.5039669285852235</v>
      </c>
      <c r="X22" s="3">
        <v>2.8942634883894209</v>
      </c>
      <c r="Y22" s="3">
        <v>1.6568385243783181</v>
      </c>
    </row>
    <row r="23" spans="1:26" x14ac:dyDescent="0.2">
      <c r="A23" s="2">
        <f>[2]ArdiData!A23</f>
        <v>21</v>
      </c>
      <c r="B23" s="42">
        <f ca="1">ROUND('0.ArdiData'!C23/10,0)</f>
        <v>291</v>
      </c>
      <c r="C23" s="57">
        <f t="shared" ca="1" si="3"/>
        <v>243.09659004211426</v>
      </c>
      <c r="D23" s="6">
        <f t="shared" ca="1" si="4"/>
        <v>47.903409957885742</v>
      </c>
      <c r="E23" s="6">
        <f t="shared" ca="1" si="5"/>
        <v>47.903409957885742</v>
      </c>
      <c r="F23" s="56">
        <f ca="1">AVERAGE($E$4:E23)</f>
        <v>21.063650608062744</v>
      </c>
      <c r="G23" s="3">
        <f t="shared" ca="1" si="6"/>
        <v>252.0368358034076</v>
      </c>
      <c r="H23" s="42">
        <f t="shared" ca="1" si="7"/>
        <v>23.951712355675635</v>
      </c>
      <c r="I23" s="42">
        <f t="shared" ca="1" si="0"/>
        <v>275.98854815908322</v>
      </c>
      <c r="J23" s="41">
        <f t="shared" ca="1" si="1"/>
        <v>15.011451840916777</v>
      </c>
      <c r="K23" s="41">
        <f t="shared" ca="1" si="2"/>
        <v>15.011451840916777</v>
      </c>
      <c r="L23" s="39">
        <f ca="1">AVERAGE($K$3:K23)</f>
        <v>8.4813293619417358</v>
      </c>
      <c r="M23" s="39">
        <f ca="1">SUM(J$3:J23)/L23</f>
        <v>-0.10900146740722029</v>
      </c>
      <c r="N23" s="3">
        <v>0.5</v>
      </c>
      <c r="O23" s="3">
        <v>8.4336620251780055</v>
      </c>
      <c r="P23" s="3">
        <v>15.030965305639365</v>
      </c>
      <c r="Q23" s="3">
        <v>10.158153443588301</v>
      </c>
      <c r="R23" s="3">
        <v>6.4099911808101417</v>
      </c>
      <c r="S23" s="3">
        <v>11.317625585494627</v>
      </c>
      <c r="T23" s="3">
        <v>13.260312134407156</v>
      </c>
      <c r="U23" s="3">
        <v>5.9600186167064981</v>
      </c>
      <c r="V23" s="3">
        <v>4.8306919832188857</v>
      </c>
      <c r="W23" s="3">
        <v>4.2093139155171206</v>
      </c>
      <c r="X23" s="3">
        <v>2.6039462490442484</v>
      </c>
      <c r="Y23" s="3">
        <v>0.7478866769809881</v>
      </c>
    </row>
    <row r="24" spans="1:26" x14ac:dyDescent="0.2">
      <c r="N24" s="3">
        <v>0.6</v>
      </c>
      <c r="O24" s="3">
        <v>17.380872459770384</v>
      </c>
      <c r="P24" s="3">
        <v>11.243464620400445</v>
      </c>
      <c r="Q24" s="3">
        <v>13.07449879848739</v>
      </c>
      <c r="R24" s="3">
        <v>10.128193112804627</v>
      </c>
      <c r="S24" s="3">
        <v>6.7433082730838718</v>
      </c>
      <c r="T24" s="3">
        <v>13.640729156861504</v>
      </c>
      <c r="U24" s="3">
        <v>5.324111213899319</v>
      </c>
      <c r="V24" s="3">
        <v>10.45632189815354</v>
      </c>
      <c r="W24" s="3">
        <v>4.4935313692131631</v>
      </c>
      <c r="X24" s="3">
        <v>3.5511034045605139</v>
      </c>
      <c r="Y24" s="3">
        <v>1.4313199964535495</v>
      </c>
    </row>
    <row r="25" spans="1:26" x14ac:dyDescent="0.2">
      <c r="N25" s="3">
        <v>0.7</v>
      </c>
      <c r="O25" s="3">
        <v>8.0098741318661233</v>
      </c>
      <c r="P25" s="3">
        <v>24.079585215188875</v>
      </c>
      <c r="Q25" s="3">
        <v>14.956442650780698</v>
      </c>
      <c r="R25" s="3">
        <v>15.24564240755935</v>
      </c>
      <c r="S25" s="3">
        <v>14.419531719958441</v>
      </c>
      <c r="T25" s="3">
        <v>7.2512005539281681</v>
      </c>
      <c r="U25" s="3">
        <v>9.512864107387367</v>
      </c>
      <c r="V25" s="3">
        <v>6.3264711264604925</v>
      </c>
      <c r="W25" s="3">
        <v>4.9388480523372831</v>
      </c>
      <c r="X25" s="3">
        <v>2.553303072598903</v>
      </c>
      <c r="Y25" s="3">
        <v>0.70412580615925502</v>
      </c>
    </row>
    <row r="26" spans="1:26" x14ac:dyDescent="0.2">
      <c r="N26" s="3">
        <v>0.8</v>
      </c>
      <c r="O26" s="3">
        <v>15.927759041246045</v>
      </c>
      <c r="P26" s="3">
        <v>16.961291894885921</v>
      </c>
      <c r="Q26" s="3">
        <v>17.792724961472778</v>
      </c>
      <c r="R26" s="3">
        <v>7.8057884257509489</v>
      </c>
      <c r="S26" s="3">
        <v>17.881731538260119</v>
      </c>
      <c r="T26" s="3">
        <v>6.9541236462360487</v>
      </c>
      <c r="U26" s="3">
        <v>8.3983536441137314</v>
      </c>
      <c r="V26" s="3">
        <v>7.7740738444401085</v>
      </c>
      <c r="W26" s="3">
        <v>5.4550001528317349</v>
      </c>
      <c r="X26" s="3">
        <v>2.8330339288436814</v>
      </c>
      <c r="Y26" s="3">
        <v>0.82173778602349246</v>
      </c>
    </row>
    <row r="27" spans="1:26" x14ac:dyDescent="0.2">
      <c r="N27" s="3">
        <v>0.9</v>
      </c>
      <c r="O27" s="3">
        <v>19.359698366073548</v>
      </c>
      <c r="P27" s="3">
        <v>14.183875538093446</v>
      </c>
      <c r="Q27" s="3">
        <v>20.763249354279761</v>
      </c>
      <c r="R27" s="3">
        <v>15.430871423619909</v>
      </c>
      <c r="S27" s="3">
        <v>9.5692733599150674</v>
      </c>
      <c r="T27" s="3">
        <v>12.702246560282735</v>
      </c>
      <c r="U27" s="3">
        <v>7.2648346659446474</v>
      </c>
      <c r="V27" s="3">
        <v>5.4794446463033823</v>
      </c>
      <c r="W27" s="3">
        <v>3.0826957635087759</v>
      </c>
      <c r="X27" s="3">
        <v>5.0191786384161707</v>
      </c>
      <c r="Y27" s="3">
        <v>0.60651870175678979</v>
      </c>
    </row>
    <row r="28" spans="1:26" x14ac:dyDescent="0.2">
      <c r="C28" s="8" t="s">
        <v>74</v>
      </c>
      <c r="N28" s="3">
        <v>1</v>
      </c>
      <c r="O28" s="3">
        <v>16.848690991548136</v>
      </c>
      <c r="P28" s="3">
        <v>13.650184858707787</v>
      </c>
      <c r="Q28" s="3">
        <v>23.045251242599729</v>
      </c>
      <c r="R28" s="3">
        <v>10.463748221992208</v>
      </c>
      <c r="S28" s="3">
        <v>16.701616935955276</v>
      </c>
      <c r="T28" s="3">
        <v>8.7527855775990844</v>
      </c>
      <c r="U28" s="3">
        <v>5.0595529178479399</v>
      </c>
      <c r="V28" s="3">
        <v>11.814550720545764</v>
      </c>
      <c r="W28" s="3">
        <v>8.5247309989797841</v>
      </c>
      <c r="X28" s="3">
        <v>2.5133759602004098</v>
      </c>
      <c r="Y28" s="3">
        <v>0.73448773448773508</v>
      </c>
    </row>
    <row r="29" spans="1:26" x14ac:dyDescent="0.2">
      <c r="Z29" s="55">
        <f>MIN(O18:Y28)</f>
        <v>0.60651870175678979</v>
      </c>
    </row>
    <row r="30" spans="1:26" x14ac:dyDescent="0.2">
      <c r="G30" s="8" t="s">
        <v>73</v>
      </c>
    </row>
    <row r="31" spans="1:26" x14ac:dyDescent="0.2">
      <c r="G31" s="3">
        <v>963.15548157519095</v>
      </c>
    </row>
    <row r="32" spans="1:26" x14ac:dyDescent="0.2">
      <c r="G32" s="3">
        <v>1493.3384644848786</v>
      </c>
    </row>
    <row r="33" spans="7:7" x14ac:dyDescent="0.2">
      <c r="G33" s="3">
        <v>1264.8332605620974</v>
      </c>
    </row>
    <row r="34" spans="7:7" x14ac:dyDescent="0.2">
      <c r="G34" s="3">
        <v>1191.8832101847142</v>
      </c>
    </row>
    <row r="35" spans="7:7" x14ac:dyDescent="0.2">
      <c r="G35" s="3">
        <v>1697.9527967726167</v>
      </c>
    </row>
    <row r="36" spans="7:7" x14ac:dyDescent="0.2">
      <c r="G36" s="3">
        <v>1509.8728747997</v>
      </c>
    </row>
    <row r="37" spans="7:7" x14ac:dyDescent="0.2">
      <c r="G37" s="3">
        <v>1332.1230954034852</v>
      </c>
    </row>
    <row r="38" spans="7:7" x14ac:dyDescent="0.2">
      <c r="G38" s="3">
        <v>1425.4365999529061</v>
      </c>
    </row>
    <row r="39" spans="7:7" x14ac:dyDescent="0.2">
      <c r="G39" s="3">
        <v>1458.1009054435947</v>
      </c>
    </row>
    <row r="40" spans="7:7" x14ac:dyDescent="0.2">
      <c r="G40" s="3">
        <v>1743.5313252612307</v>
      </c>
    </row>
    <row r="41" spans="7:7" x14ac:dyDescent="0.2">
      <c r="G41" s="3">
        <v>1531.7976010456621</v>
      </c>
    </row>
    <row r="42" spans="7:7" x14ac:dyDescent="0.2">
      <c r="G42" s="3">
        <v>2044.3582999968971</v>
      </c>
    </row>
    <row r="43" spans="7:7" x14ac:dyDescent="0.2">
      <c r="G43" s="3">
        <v>1703.4172980150627</v>
      </c>
    </row>
    <row r="44" spans="7:7" x14ac:dyDescent="0.2">
      <c r="G44" s="3">
        <v>2298.0240716391145</v>
      </c>
    </row>
    <row r="45" spans="7:7" x14ac:dyDescent="0.2">
      <c r="G45" s="3">
        <v>2421.4191904794839</v>
      </c>
    </row>
    <row r="46" spans="7:7" x14ac:dyDescent="0.2">
      <c r="G46" s="3">
        <v>1873.4439960140373</v>
      </c>
    </row>
    <row r="47" spans="7:7" x14ac:dyDescent="0.2">
      <c r="G47" s="3">
        <v>1902.2676412916496</v>
      </c>
    </row>
    <row r="48" spans="7:7" x14ac:dyDescent="0.2">
      <c r="G48" s="3">
        <v>1954.6003960807061</v>
      </c>
    </row>
    <row r="49" spans="7:7" x14ac:dyDescent="0.2">
      <c r="G49" s="3">
        <v>2350.5232634011691</v>
      </c>
    </row>
    <row r="50" spans="7:7" x14ac:dyDescent="0.2">
      <c r="G50" s="3">
        <v>2377.6825272441906</v>
      </c>
    </row>
    <row r="51" spans="7:7" x14ac:dyDescent="0.2">
      <c r="G51" s="3">
        <v>3067.1892163631896</v>
      </c>
    </row>
  </sheetData>
  <conditionalFormatting sqref="N6:N15 N18:N28">
    <cfRule type="expression" dxfId="3" priority="3">
      <formula>$O5=$O$16</formula>
    </cfRule>
  </conditionalFormatting>
  <conditionalFormatting sqref="O6:O15">
    <cfRule type="cellIs" dxfId="2" priority="2" operator="equal">
      <formula>$Y$16</formula>
    </cfRule>
  </conditionalFormatting>
  <conditionalFormatting sqref="O18:Y28">
    <cfRule type="cellIs" dxfId="1" priority="1" operator="equal">
      <formula>$Z$29</formula>
    </cfRule>
  </conditionalFormatting>
  <conditionalFormatting sqref="O5:O15">
    <cfRule type="cellIs" dxfId="0" priority="4" operator="equal">
      <formula>$N$16</formula>
    </cfRule>
  </conditionalFormatting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"/>
  <sheetViews>
    <sheetView workbookViewId="0">
      <selection sqref="A1:H13"/>
    </sheetView>
  </sheetViews>
  <sheetFormatPr defaultRowHeight="15" x14ac:dyDescent="0.25"/>
  <cols>
    <col min="1" max="1" width="4.42578125" bestFit="1" customWidth="1"/>
    <col min="2" max="2" width="3" bestFit="1" customWidth="1"/>
    <col min="3" max="3" width="6" customWidth="1"/>
    <col min="4" max="4" width="13.5703125" bestFit="1" customWidth="1"/>
    <col min="6" max="6" width="10.7109375" bestFit="1" customWidth="1"/>
    <col min="7" max="7" width="9.5703125" bestFit="1" customWidth="1"/>
  </cols>
  <sheetData>
    <row r="1" spans="1:7" x14ac:dyDescent="0.25">
      <c r="A1" s="74" t="s">
        <v>89</v>
      </c>
      <c r="B1" s="4">
        <v>1</v>
      </c>
      <c r="C1" s="73">
        <v>8000</v>
      </c>
    </row>
    <row r="2" spans="1:7" x14ac:dyDescent="0.25">
      <c r="A2" s="62" t="s">
        <v>88</v>
      </c>
      <c r="B2" s="5">
        <v>2</v>
      </c>
      <c r="C2" s="65">
        <v>13000</v>
      </c>
    </row>
    <row r="3" spans="1:7" x14ac:dyDescent="0.25">
      <c r="A3" s="62" t="s">
        <v>87</v>
      </c>
      <c r="B3" s="5">
        <v>3</v>
      </c>
      <c r="C3" s="65">
        <v>23000</v>
      </c>
      <c r="D3">
        <f t="shared" ref="D3:D10" si="0">(C1+2*(C2+C3+C4)+C5)/8</f>
        <v>19750</v>
      </c>
      <c r="E3" s="64">
        <f t="shared" ref="E3:E10" si="1">C3/D3</f>
        <v>1.1645569620253164</v>
      </c>
      <c r="F3" s="69">
        <f t="shared" ref="F3:F10" si="2">C3/D3</f>
        <v>1.1645569620253164</v>
      </c>
    </row>
    <row r="4" spans="1:7" x14ac:dyDescent="0.25">
      <c r="A4" s="62" t="s">
        <v>86</v>
      </c>
      <c r="B4" s="5">
        <v>4</v>
      </c>
      <c r="C4" s="65">
        <v>34000</v>
      </c>
      <c r="D4">
        <f t="shared" si="0"/>
        <v>20625</v>
      </c>
      <c r="E4" s="64">
        <f t="shared" si="1"/>
        <v>1.6484848484848484</v>
      </c>
      <c r="F4" s="67">
        <f t="shared" si="2"/>
        <v>1.6484848484848484</v>
      </c>
      <c r="G4" s="72">
        <f>(F4+F8)/2</f>
        <v>1.682999486389317</v>
      </c>
    </row>
    <row r="5" spans="1:7" x14ac:dyDescent="0.25">
      <c r="A5" s="62" t="s">
        <v>85</v>
      </c>
      <c r="B5" s="5">
        <v>5</v>
      </c>
      <c r="C5" s="65">
        <v>10000</v>
      </c>
      <c r="D5">
        <f t="shared" si="0"/>
        <v>21250</v>
      </c>
      <c r="E5" s="64">
        <f t="shared" si="1"/>
        <v>0.47058823529411764</v>
      </c>
      <c r="F5" s="66">
        <f t="shared" si="2"/>
        <v>0.47058823529411764</v>
      </c>
      <c r="G5" s="71">
        <f>(F5+F9)/2</f>
        <v>0.50048748781280472</v>
      </c>
    </row>
    <row r="6" spans="1:7" x14ac:dyDescent="0.25">
      <c r="A6" s="62" t="s">
        <v>84</v>
      </c>
      <c r="B6" s="5">
        <v>6</v>
      </c>
      <c r="C6" s="65">
        <v>18000</v>
      </c>
      <c r="D6">
        <f t="shared" si="0"/>
        <v>21750</v>
      </c>
      <c r="E6" s="64">
        <f t="shared" si="1"/>
        <v>0.82758620689655171</v>
      </c>
      <c r="F6" s="63">
        <f t="shared" si="2"/>
        <v>0.82758620689655171</v>
      </c>
      <c r="G6" s="70">
        <f>(F6+F10)/2</f>
        <v>0.68322315526174737</v>
      </c>
    </row>
    <row r="7" spans="1:7" x14ac:dyDescent="0.25">
      <c r="A7" s="62" t="s">
        <v>83</v>
      </c>
      <c r="B7" s="5">
        <v>7</v>
      </c>
      <c r="C7" s="65">
        <v>23000</v>
      </c>
      <c r="D7">
        <f t="shared" si="0"/>
        <v>22500</v>
      </c>
      <c r="E7" s="64">
        <f t="shared" si="1"/>
        <v>1.0222222222222221</v>
      </c>
      <c r="F7" s="69">
        <f t="shared" si="2"/>
        <v>1.0222222222222221</v>
      </c>
      <c r="G7" s="68">
        <f>(F7+F3)/2</f>
        <v>1.0933895921237693</v>
      </c>
    </row>
    <row r="8" spans="1:7" x14ac:dyDescent="0.25">
      <c r="A8" s="62" t="s">
        <v>82</v>
      </c>
      <c r="B8" s="5">
        <v>8</v>
      </c>
      <c r="C8" s="65">
        <v>38000</v>
      </c>
      <c r="D8">
        <f t="shared" si="0"/>
        <v>22125</v>
      </c>
      <c r="E8" s="64">
        <f t="shared" si="1"/>
        <v>1.7175141242937852</v>
      </c>
      <c r="F8" s="67">
        <f t="shared" si="2"/>
        <v>1.7175141242937852</v>
      </c>
    </row>
    <row r="9" spans="1:7" x14ac:dyDescent="0.25">
      <c r="A9" s="62" t="s">
        <v>81</v>
      </c>
      <c r="B9" s="5">
        <v>9</v>
      </c>
      <c r="C9" s="65">
        <v>12000</v>
      </c>
      <c r="D9">
        <f t="shared" si="0"/>
        <v>22625</v>
      </c>
      <c r="E9" s="64">
        <f t="shared" si="1"/>
        <v>0.53038674033149169</v>
      </c>
      <c r="F9" s="66">
        <f t="shared" si="2"/>
        <v>0.53038674033149169</v>
      </c>
    </row>
    <row r="10" spans="1:7" x14ac:dyDescent="0.25">
      <c r="A10" s="62" t="s">
        <v>80</v>
      </c>
      <c r="B10" s="5">
        <v>10</v>
      </c>
      <c r="C10" s="65">
        <v>13000</v>
      </c>
      <c r="D10">
        <f t="shared" si="0"/>
        <v>24125</v>
      </c>
      <c r="E10" s="64">
        <f t="shared" si="1"/>
        <v>0.53886010362694303</v>
      </c>
      <c r="F10" s="63">
        <f t="shared" si="2"/>
        <v>0.53886010362694303</v>
      </c>
    </row>
    <row r="11" spans="1:7" x14ac:dyDescent="0.25">
      <c r="A11" s="62" t="s">
        <v>79</v>
      </c>
      <c r="B11" s="5">
        <v>11</v>
      </c>
      <c r="C11" s="61">
        <v>32000</v>
      </c>
    </row>
    <row r="12" spans="1:7" ht="15.75" thickBot="1" x14ac:dyDescent="0.3">
      <c r="A12" s="60" t="s">
        <v>78</v>
      </c>
      <c r="B12" s="7">
        <v>12</v>
      </c>
      <c r="C12" s="59">
        <v>41000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1.Trend&amp;Season</vt:lpstr>
      <vt:lpstr>0.ArdiData</vt:lpstr>
      <vt:lpstr>0.Regression</vt:lpstr>
      <vt:lpstr>TrAdES</vt:lpstr>
      <vt:lpstr>TrAdES2</vt:lpstr>
      <vt:lpstr>Sheet1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2019-05-26T06:20:57Z</dcterms:modified>
</cp:coreProperties>
</file>