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8F36A8A0-969D-41AC-AEB0-526E9131A488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Prac.TrAdES-3" sheetId="65" r:id="rId1"/>
    <sheet name="TrendAndSeasSocic" sheetId="59" r:id="rId2"/>
    <sheet name="TrendAndSeasChopraBook" sheetId="60" r:id="rId3"/>
    <sheet name="1.Trend&amp;Seas7Period" sheetId="66" r:id="rId4"/>
  </sheets>
  <externalReferences>
    <externalReference r:id="rId5"/>
    <externalReference r:id="rId6"/>
    <externalReference r:id="rId7"/>
  </externalReferences>
  <definedNames>
    <definedName name="Page1">#REF!</definedName>
    <definedName name="solver_adj" localSheetId="0" hidden="1">'Prac.TrAdES-3'!$E$1,'Prac.TrAdES-3'!$G$1</definedName>
    <definedName name="solver_adj" localSheetId="2" hidden="1">TrendAndSeasChopraBook!$C$38:$C$40</definedName>
    <definedName name="solver_adj" localSheetId="1" hidden="1">TrendAndSeasSocic!#REF!</definedName>
    <definedName name="solver_cvg" localSheetId="0" hidden="1">0.0001</definedName>
    <definedName name="solver_cvg" localSheetId="2" hidden="1">0.0001</definedName>
    <definedName name="solver_cvg" localSheetId="1" hidden="1">0.0001</definedName>
    <definedName name="solver_drv" localSheetId="0" hidden="1">1</definedName>
    <definedName name="solver_drv" localSheetId="2" hidden="1">1</definedName>
    <definedName name="solver_drv" localSheetId="1" hidden="1">1</definedName>
    <definedName name="solver_eng" localSheetId="0" hidden="1">1</definedName>
    <definedName name="solver_eng" localSheetId="2" hidden="1">1</definedName>
    <definedName name="solver_eng" localSheetId="1" hidden="1">1</definedName>
    <definedName name="solver_est" localSheetId="0" hidden="1">1</definedName>
    <definedName name="solver_est" localSheetId="2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1" hidden="1">2147483647</definedName>
    <definedName name="solver_lhs1" localSheetId="0" hidden="1">'Prac.TrAdES-3'!$E$1</definedName>
    <definedName name="solver_lhs1" localSheetId="2" hidden="1">TrendAndSeasChopraBook!$C$38:$C$40</definedName>
    <definedName name="solver_lhs1" localSheetId="1" hidden="1">TrendAndSeasSocic!#REF!</definedName>
    <definedName name="solver_lhs2" localSheetId="0" hidden="1">'Prac.TrAdES-3'!$E$1</definedName>
    <definedName name="solver_lhs2" localSheetId="2" hidden="1">TrendAndSeasChopraBook!$C$38:$C$40</definedName>
    <definedName name="solver_lhs2" localSheetId="1" hidden="1">TrendAndSeasSocic!#REF!</definedName>
    <definedName name="solver_lhs3" localSheetId="0" hidden="1">'Prac.TrAdES-3'!$G$1</definedName>
    <definedName name="solver_lhs3" localSheetId="2" hidden="1">TrendAndSeasChopraBook!$C$40</definedName>
    <definedName name="solver_lhs3" localSheetId="1" hidden="1">TrendAndSeasSocic!#REF!</definedName>
    <definedName name="solver_lhs4" localSheetId="0" hidden="1">'Prac.TrAdES-3'!$G$1</definedName>
    <definedName name="solver_lhs4" localSheetId="2" hidden="1">TrendAndSeasChopraBook!$C$40</definedName>
    <definedName name="solver_lhs4" localSheetId="1" hidden="1">TrendAndSeasSocic!#REF!</definedName>
    <definedName name="solver_lhs5" localSheetId="2" hidden="1">TrendAndSeasChopraBook!$C$40</definedName>
    <definedName name="solver_lhs5" localSheetId="1" hidden="1">TrendAndSeasSocic!#REF!</definedName>
    <definedName name="solver_lhs6" localSheetId="2" hidden="1">TrendAndSeasChopraBook!$C$40</definedName>
    <definedName name="solver_lhs6" localSheetId="1" hidden="1">TrendAndSeasSocic!#REF!</definedName>
    <definedName name="solver_mip" localSheetId="0" hidden="1">2147483647</definedName>
    <definedName name="solver_mip" localSheetId="2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od" localSheetId="0" hidden="1">2147483647</definedName>
    <definedName name="solver_nod" localSheetId="2" hidden="1">2147483647</definedName>
    <definedName name="solver_nod" localSheetId="1" hidden="1">2147483647</definedName>
    <definedName name="solver_num" localSheetId="0" hidden="1">4</definedName>
    <definedName name="solver_num" localSheetId="2" hidden="1">2</definedName>
    <definedName name="solver_num" localSheetId="1" hidden="1">2</definedName>
    <definedName name="solver_nwt" localSheetId="0" hidden="1">1</definedName>
    <definedName name="solver_nwt" localSheetId="2" hidden="1">1</definedName>
    <definedName name="solver_nwt" localSheetId="1" hidden="1">1</definedName>
    <definedName name="solver_opt" localSheetId="0" hidden="1">'Prac.TrAdES-3'!$G$31</definedName>
    <definedName name="solver_opt" localSheetId="2" hidden="1">TrendAndSeasChopraBook!$U$30</definedName>
    <definedName name="solver_opt" localSheetId="1" hidden="1">TrendAndSeasSocic!#REF!</definedName>
    <definedName name="solver_pre" localSheetId="0" hidden="1">0.000001</definedName>
    <definedName name="solver_pre" localSheetId="2" hidden="1">0.000001</definedName>
    <definedName name="solver_pre" localSheetId="1" hidden="1">0.000001</definedName>
    <definedName name="solver_rbv" localSheetId="0" hidden="1">1</definedName>
    <definedName name="solver_rbv" localSheetId="2" hidden="1">1</definedName>
    <definedName name="solver_rbv" localSheetId="1" hidden="1">1</definedName>
    <definedName name="solver_rel1" localSheetId="0" hidden="1">1</definedName>
    <definedName name="solver_rel1" localSheetId="2" hidden="1">1</definedName>
    <definedName name="solver_rel1" localSheetId="1" hidden="1">1</definedName>
    <definedName name="solver_rel2" localSheetId="0" hidden="1">3</definedName>
    <definedName name="solver_rel2" localSheetId="2" hidden="1">3</definedName>
    <definedName name="solver_rel2" localSheetId="1" hidden="1">3</definedName>
    <definedName name="solver_rel3" localSheetId="0" hidden="1">1</definedName>
    <definedName name="solver_rel3" localSheetId="2" hidden="1">3</definedName>
    <definedName name="solver_rel3" localSheetId="1" hidden="1">3</definedName>
    <definedName name="solver_rel4" localSheetId="0" hidden="1">3</definedName>
    <definedName name="solver_rel4" localSheetId="2" hidden="1">3</definedName>
    <definedName name="solver_rel4" localSheetId="1" hidden="1">3</definedName>
    <definedName name="solver_rel5" localSheetId="2" hidden="1">3</definedName>
    <definedName name="solver_rel5" localSheetId="1" hidden="1">3</definedName>
    <definedName name="solver_rel6" localSheetId="2" hidden="1">3</definedName>
    <definedName name="solver_rel6" localSheetId="1" hidden="1">3</definedName>
    <definedName name="solver_rhs1" localSheetId="0" hidden="1">1</definedName>
    <definedName name="solver_rhs1" localSheetId="2" hidden="1">1</definedName>
    <definedName name="solver_rhs1" localSheetId="1" hidden="1">1</definedName>
    <definedName name="solver_rhs2" localSheetId="0" hidden="1">0</definedName>
    <definedName name="solver_rhs2" localSheetId="2" hidden="1">0</definedName>
    <definedName name="solver_rhs2" localSheetId="1" hidden="1">0</definedName>
    <definedName name="solver_rhs3" localSheetId="0" hidden="1">1</definedName>
    <definedName name="solver_rhs3" localSheetId="2" hidden="1">0</definedName>
    <definedName name="solver_rhs3" localSheetId="1" hidden="1">0</definedName>
    <definedName name="solver_rhs4" localSheetId="0" hidden="1">0</definedName>
    <definedName name="solver_rhs4" localSheetId="2" hidden="1">0</definedName>
    <definedName name="solver_rhs4" localSheetId="1" hidden="1">0</definedName>
    <definedName name="solver_rhs5" localSheetId="2" hidden="1">0</definedName>
    <definedName name="solver_rhs5" localSheetId="1" hidden="1">0</definedName>
    <definedName name="solver_rhs6" localSheetId="2" hidden="1">0</definedName>
    <definedName name="solver_rhs6" localSheetId="1" hidden="1">0</definedName>
    <definedName name="solver_rlx" localSheetId="0" hidden="1">2</definedName>
    <definedName name="solver_rlx" localSheetId="2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1" hidden="1">0</definedName>
    <definedName name="solver_scl" localSheetId="0" hidden="1">1</definedName>
    <definedName name="solver_scl" localSheetId="2" hidden="1">1</definedName>
    <definedName name="solver_scl" localSheetId="1" hidden="1">1</definedName>
    <definedName name="solver_sho" localSheetId="0" hidden="1">2</definedName>
    <definedName name="solver_sho" localSheetId="2" hidden="1">2</definedName>
    <definedName name="solver_sho" localSheetId="1" hidden="1">2</definedName>
    <definedName name="solver_ssz" localSheetId="0" hidden="1">100</definedName>
    <definedName name="solver_ssz" localSheetId="2" hidden="1">100</definedName>
    <definedName name="solver_ssz" localSheetId="1" hidden="1">100</definedName>
    <definedName name="solver_tim" localSheetId="0" hidden="1">2147483647</definedName>
    <definedName name="solver_tim" localSheetId="2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1" hidden="1">0.01</definedName>
    <definedName name="solver_typ" localSheetId="0" hidden="1">2</definedName>
    <definedName name="solver_typ" localSheetId="2" hidden="1">2</definedName>
    <definedName name="solver_typ" localSheetId="1" hidden="1">2</definedName>
    <definedName name="solver_val" localSheetId="0" hidden="1">0</definedName>
    <definedName name="solver_val" localSheetId="2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1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66" l="1"/>
  <c r="E2" i="66" s="1"/>
  <c r="A3" i="66"/>
  <c r="C3" i="66"/>
  <c r="A4" i="66"/>
  <c r="G4" i="66" s="1"/>
  <c r="A5" i="66"/>
  <c r="G5" i="66" s="1"/>
  <c r="A6" i="66"/>
  <c r="G6" i="66" s="1"/>
  <c r="A7" i="66"/>
  <c r="G7" i="66" s="1"/>
  <c r="A8" i="66"/>
  <c r="D8" i="66"/>
  <c r="G8" i="66"/>
  <c r="A9" i="66"/>
  <c r="D9" i="66"/>
  <c r="G9" i="66"/>
  <c r="A10" i="66"/>
  <c r="D10" i="66"/>
  <c r="G10" i="66"/>
  <c r="A11" i="66"/>
  <c r="D11" i="66"/>
  <c r="G11" i="66"/>
  <c r="A12" i="66"/>
  <c r="D12" i="66"/>
  <c r="G12" i="66"/>
  <c r="A13" i="66"/>
  <c r="D13" i="66"/>
  <c r="G13" i="66"/>
  <c r="A14" i="66"/>
  <c r="D14" i="66"/>
  <c r="G14" i="66"/>
  <c r="A15" i="66"/>
  <c r="G15" i="66" s="1"/>
  <c r="D15" i="66"/>
  <c r="A16" i="66"/>
  <c r="G16" i="66" s="1"/>
  <c r="D16" i="66"/>
  <c r="A17" i="66"/>
  <c r="G17" i="66" s="1"/>
  <c r="D17" i="66"/>
  <c r="A18" i="66"/>
  <c r="D18" i="66"/>
  <c r="G18" i="66"/>
  <c r="A19" i="66"/>
  <c r="D19" i="66"/>
  <c r="G19" i="66"/>
  <c r="A20" i="66"/>
  <c r="D20" i="66"/>
  <c r="G20" i="66"/>
  <c r="A21" i="66"/>
  <c r="D21" i="66"/>
  <c r="G21" i="66"/>
  <c r="A22" i="66"/>
  <c r="G22" i="66" s="1"/>
  <c r="D22" i="66"/>
  <c r="A23" i="66"/>
  <c r="G23" i="66" s="1"/>
  <c r="D23" i="66"/>
  <c r="A24" i="66"/>
  <c r="G24" i="66" s="1"/>
  <c r="D24" i="66"/>
  <c r="A25" i="66"/>
  <c r="G25" i="66" s="1"/>
  <c r="D25" i="66"/>
  <c r="A26" i="66"/>
  <c r="D26" i="66"/>
  <c r="G26" i="66"/>
  <c r="A27" i="66"/>
  <c r="D27" i="66"/>
  <c r="G27" i="66"/>
  <c r="A28" i="66"/>
  <c r="D28" i="66"/>
  <c r="G28" i="66"/>
  <c r="A29" i="66"/>
  <c r="D29" i="66"/>
  <c r="G29" i="66"/>
  <c r="A30" i="66"/>
  <c r="G30" i="66" s="1"/>
  <c r="D30" i="66"/>
  <c r="A31" i="66"/>
  <c r="G31" i="66" s="1"/>
  <c r="D31" i="66"/>
  <c r="A32" i="66"/>
  <c r="G32" i="66" s="1"/>
  <c r="D32" i="66"/>
  <c r="A33" i="66"/>
  <c r="G33" i="66" s="1"/>
  <c r="D33" i="66"/>
  <c r="A34" i="66"/>
  <c r="D34" i="66"/>
  <c r="G34" i="66"/>
  <c r="A35" i="66"/>
  <c r="D35" i="66"/>
  <c r="G35" i="66"/>
  <c r="A36" i="66"/>
  <c r="D36" i="66"/>
  <c r="G36" i="66"/>
  <c r="A37" i="66"/>
  <c r="D37" i="66"/>
  <c r="G37" i="66"/>
  <c r="A38" i="66"/>
  <c r="G38" i="66" s="1"/>
  <c r="D38" i="66"/>
  <c r="A39" i="66"/>
  <c r="G39" i="66" s="1"/>
  <c r="D39" i="66"/>
  <c r="A40" i="66"/>
  <c r="G40" i="66" s="1"/>
  <c r="D40" i="66"/>
  <c r="A41" i="66"/>
  <c r="G41" i="66" s="1"/>
  <c r="D41" i="66"/>
  <c r="A42" i="66"/>
  <c r="D42" i="66"/>
  <c r="G42" i="66"/>
  <c r="A43" i="66"/>
  <c r="D43" i="66"/>
  <c r="G43" i="66"/>
  <c r="A44" i="66"/>
  <c r="D44" i="66"/>
  <c r="G44" i="66"/>
  <c r="A45" i="66"/>
  <c r="D45" i="66"/>
  <c r="G45" i="66"/>
  <c r="A46" i="66"/>
  <c r="G46" i="66" s="1"/>
  <c r="D46" i="66"/>
  <c r="A47" i="66"/>
  <c r="G47" i="66" s="1"/>
  <c r="D47" i="66"/>
  <c r="A48" i="66"/>
  <c r="G48" i="66" s="1"/>
  <c r="D48" i="66"/>
  <c r="A49" i="66"/>
  <c r="G49" i="66" s="1"/>
  <c r="D49" i="66"/>
  <c r="A50" i="66"/>
  <c r="D50" i="66"/>
  <c r="G50" i="66"/>
  <c r="A51" i="66"/>
  <c r="D51" i="66"/>
  <c r="G51" i="66"/>
  <c r="A52" i="66"/>
  <c r="D52" i="66"/>
  <c r="G52" i="66"/>
  <c r="A53" i="66"/>
  <c r="D53" i="66"/>
  <c r="G53" i="66"/>
  <c r="A54" i="66"/>
  <c r="G54" i="66" s="1"/>
  <c r="D54" i="66"/>
  <c r="A55" i="66"/>
  <c r="G55" i="66" s="1"/>
  <c r="D55" i="66"/>
  <c r="A56" i="66"/>
  <c r="G56" i="66" s="1"/>
  <c r="D56" i="66"/>
  <c r="A57" i="66"/>
  <c r="G57" i="66" s="1"/>
  <c r="D57" i="66"/>
  <c r="A58" i="66"/>
  <c r="D58" i="66"/>
  <c r="G58" i="66"/>
  <c r="A59" i="66"/>
  <c r="D59" i="66"/>
  <c r="G59" i="66"/>
  <c r="A60" i="66"/>
  <c r="D60" i="66"/>
  <c r="G60" i="66"/>
  <c r="A61" i="66"/>
  <c r="D61" i="66"/>
  <c r="G61" i="66"/>
  <c r="A62" i="66"/>
  <c r="G62" i="66" s="1"/>
  <c r="D62" i="66"/>
  <c r="A63" i="66"/>
  <c r="G63" i="66" s="1"/>
  <c r="D63" i="66"/>
  <c r="A64" i="66"/>
  <c r="G64" i="66" s="1"/>
  <c r="D64" i="66"/>
  <c r="A65" i="66"/>
  <c r="G65" i="66" s="1"/>
  <c r="D65" i="66"/>
  <c r="A66" i="66"/>
  <c r="D66" i="66"/>
  <c r="G66" i="66"/>
  <c r="A67" i="66"/>
  <c r="D67" i="66"/>
  <c r="G67" i="66"/>
  <c r="A68" i="66"/>
  <c r="D68" i="66"/>
  <c r="G68" i="66"/>
  <c r="A69" i="66"/>
  <c r="D69" i="66"/>
  <c r="G69" i="66"/>
  <c r="A70" i="66"/>
  <c r="G70" i="66" s="1"/>
  <c r="D70" i="66"/>
  <c r="A71" i="66"/>
  <c r="G71" i="66" s="1"/>
  <c r="D71" i="66"/>
  <c r="A72" i="66"/>
  <c r="G72" i="66" s="1"/>
  <c r="D72" i="66"/>
  <c r="A73" i="66"/>
  <c r="G73" i="66" s="1"/>
  <c r="D73" i="66"/>
  <c r="A74" i="66"/>
  <c r="D74" i="66"/>
  <c r="G74" i="66"/>
  <c r="A75" i="66"/>
  <c r="D75" i="66"/>
  <c r="G75" i="66"/>
  <c r="A76" i="66"/>
  <c r="G76" i="66"/>
  <c r="A77" i="66"/>
  <c r="G77" i="66" s="1"/>
  <c r="A78" i="66"/>
  <c r="G78" i="66" s="1"/>
  <c r="H2" i="66" l="1"/>
  <c r="G2" i="66"/>
  <c r="F2" i="66"/>
  <c r="E78" i="66" s="1"/>
  <c r="F78" i="66" l="1"/>
  <c r="E59" i="66"/>
  <c r="E12" i="66"/>
  <c r="E37" i="66"/>
  <c r="E62" i="66"/>
  <c r="E52" i="66"/>
  <c r="E39" i="66"/>
  <c r="E48" i="66"/>
  <c r="E17" i="66"/>
  <c r="E10" i="66"/>
  <c r="E29" i="66"/>
  <c r="E36" i="66"/>
  <c r="E31" i="66"/>
  <c r="E73" i="66"/>
  <c r="E43" i="66"/>
  <c r="E74" i="66"/>
  <c r="E44" i="66"/>
  <c r="E21" i="66"/>
  <c r="E46" i="66"/>
  <c r="E20" i="66"/>
  <c r="E23" i="66"/>
  <c r="E32" i="66"/>
  <c r="E65" i="66"/>
  <c r="E51" i="66"/>
  <c r="E68" i="66"/>
  <c r="E54" i="66"/>
  <c r="E40" i="66"/>
  <c r="E35" i="66"/>
  <c r="E66" i="66"/>
  <c r="E76" i="66"/>
  <c r="E13" i="66"/>
  <c r="E38" i="66"/>
  <c r="E77" i="66"/>
  <c r="E15" i="66"/>
  <c r="E24" i="66"/>
  <c r="E57" i="66"/>
  <c r="E30" i="66"/>
  <c r="E19" i="66"/>
  <c r="E50" i="66"/>
  <c r="E61" i="66"/>
  <c r="E42" i="66"/>
  <c r="E22" i="66"/>
  <c r="E63" i="66"/>
  <c r="E72" i="66"/>
  <c r="E6" i="66"/>
  <c r="E41" i="66"/>
  <c r="E27" i="66"/>
  <c r="E26" i="66"/>
  <c r="E11" i="66"/>
  <c r="E34" i="66"/>
  <c r="E53" i="66"/>
  <c r="E60" i="66"/>
  <c r="E14" i="66"/>
  <c r="E55" i="66"/>
  <c r="E64" i="66"/>
  <c r="E5" i="66"/>
  <c r="E33" i="66"/>
  <c r="E58" i="66"/>
  <c r="E69" i="66"/>
  <c r="E9" i="66"/>
  <c r="E71" i="66"/>
  <c r="E7" i="66"/>
  <c r="E16" i="66"/>
  <c r="E49" i="66"/>
  <c r="E67" i="66"/>
  <c r="E28" i="66"/>
  <c r="E18" i="66"/>
  <c r="E45" i="66"/>
  <c r="E70" i="66"/>
  <c r="E8" i="66"/>
  <c r="E47" i="66"/>
  <c r="E56" i="66"/>
  <c r="E4" i="66"/>
  <c r="E25" i="66"/>
  <c r="E75" i="66"/>
  <c r="F49" i="66" l="1"/>
  <c r="F51" i="66"/>
  <c r="F16" i="66"/>
  <c r="F27" i="66"/>
  <c r="F65" i="66"/>
  <c r="F8" i="66"/>
  <c r="F7" i="66"/>
  <c r="F41" i="66"/>
  <c r="F19" i="66"/>
  <c r="F76" i="66"/>
  <c r="F32" i="66"/>
  <c r="F73" i="66"/>
  <c r="F52" i="66"/>
  <c r="F56" i="66"/>
  <c r="F74" i="66"/>
  <c r="F64" i="66"/>
  <c r="F50" i="66"/>
  <c r="F13" i="66"/>
  <c r="F43" i="66"/>
  <c r="F39" i="66"/>
  <c r="F55" i="66"/>
  <c r="F70" i="66"/>
  <c r="F71" i="66"/>
  <c r="F14" i="66"/>
  <c r="F6" i="66"/>
  <c r="K5" i="66" s="1"/>
  <c r="F30" i="66"/>
  <c r="F66" i="66"/>
  <c r="F23" i="66"/>
  <c r="F31" i="66"/>
  <c r="F62" i="66"/>
  <c r="F48" i="66"/>
  <c r="F45" i="66"/>
  <c r="F72" i="66"/>
  <c r="F36" i="66"/>
  <c r="F75" i="66"/>
  <c r="F18" i="66"/>
  <c r="F69" i="66"/>
  <c r="F53" i="66"/>
  <c r="F63" i="66"/>
  <c r="F24" i="66"/>
  <c r="F40" i="66"/>
  <c r="F46" i="66"/>
  <c r="F29" i="66"/>
  <c r="F12" i="66"/>
  <c r="F61" i="66"/>
  <c r="F47" i="66"/>
  <c r="F60" i="66"/>
  <c r="F57" i="66"/>
  <c r="F35" i="66"/>
  <c r="F20" i="66"/>
  <c r="F37" i="66"/>
  <c r="F25" i="66"/>
  <c r="F28" i="66"/>
  <c r="F58" i="66"/>
  <c r="F34" i="66"/>
  <c r="F22" i="66"/>
  <c r="F15" i="66"/>
  <c r="F54" i="66"/>
  <c r="F21" i="66"/>
  <c r="F10" i="66"/>
  <c r="F59" i="66"/>
  <c r="F5" i="66"/>
  <c r="F38" i="66"/>
  <c r="F9" i="66"/>
  <c r="F4" i="66"/>
  <c r="K3" i="66" s="1"/>
  <c r="F67" i="66"/>
  <c r="F33" i="66"/>
  <c r="F11" i="66"/>
  <c r="F42" i="66"/>
  <c r="F77" i="66"/>
  <c r="F68" i="66"/>
  <c r="F44" i="66"/>
  <c r="F17" i="66"/>
  <c r="F26" i="66"/>
  <c r="K8" i="66" l="1"/>
  <c r="K9" i="66"/>
  <c r="K6" i="66"/>
  <c r="K4" i="66"/>
  <c r="K7" i="66"/>
  <c r="K10" i="66" l="1"/>
  <c r="L5" i="66" s="1"/>
  <c r="L7" i="66" l="1"/>
  <c r="L8" i="66"/>
  <c r="L9" i="66"/>
  <c r="L6" i="66"/>
  <c r="L4" i="66"/>
  <c r="L3" i="66"/>
  <c r="H65" i="66"/>
  <c r="H72" i="66"/>
  <c r="H37" i="66"/>
  <c r="H44" i="66"/>
  <c r="H51" i="66"/>
  <c r="H9" i="66"/>
  <c r="H30" i="66"/>
  <c r="H58" i="66"/>
  <c r="H16" i="66"/>
  <c r="H23" i="66"/>
  <c r="H31" i="66"/>
  <c r="H17" i="66"/>
  <c r="H10" i="66"/>
  <c r="H59" i="66"/>
  <c r="H66" i="66"/>
  <c r="H38" i="66"/>
  <c r="H45" i="66"/>
  <c r="H73" i="66"/>
  <c r="H24" i="66"/>
  <c r="H52" i="66"/>
  <c r="H49" i="66"/>
  <c r="H42" i="66"/>
  <c r="H28" i="66"/>
  <c r="H56" i="66"/>
  <c r="H70" i="66"/>
  <c r="H77" i="66"/>
  <c r="H7" i="66"/>
  <c r="H63" i="66"/>
  <c r="H21" i="66"/>
  <c r="H35" i="66"/>
  <c r="H14" i="66"/>
  <c r="H40" i="66"/>
  <c r="H61" i="66"/>
  <c r="H75" i="66"/>
  <c r="H68" i="66"/>
  <c r="H47" i="66"/>
  <c r="H54" i="66"/>
  <c r="H5" i="66"/>
  <c r="H26" i="66"/>
  <c r="H33" i="66"/>
  <c r="H12" i="66"/>
  <c r="H19" i="66"/>
  <c r="H78" i="66"/>
  <c r="H50" i="66"/>
  <c r="H15" i="66"/>
  <c r="H36" i="66"/>
  <c r="H43" i="66"/>
  <c r="H8" i="66"/>
  <c r="H71" i="66"/>
  <c r="H29" i="66"/>
  <c r="H64" i="66"/>
  <c r="H57" i="66"/>
  <c r="H22" i="66"/>
  <c r="L10" i="66"/>
  <c r="H4" i="66"/>
  <c r="H67" i="66"/>
  <c r="H60" i="66"/>
  <c r="H53" i="66"/>
  <c r="H46" i="66"/>
  <c r="H32" i="66"/>
  <c r="H74" i="66"/>
  <c r="H11" i="66"/>
  <c r="H39" i="66"/>
  <c r="H18" i="66"/>
  <c r="H25" i="66"/>
  <c r="H55" i="66"/>
  <c r="H6" i="66"/>
  <c r="H69" i="66"/>
  <c r="H76" i="66"/>
  <c r="H13" i="66"/>
  <c r="H20" i="66"/>
  <c r="H62" i="66"/>
  <c r="H48" i="66"/>
  <c r="H34" i="66"/>
  <c r="H27" i="66"/>
  <c r="H41" i="66"/>
  <c r="B62" i="66" l="1"/>
  <c r="B78" i="66"/>
  <c r="B77" i="66"/>
  <c r="B72" i="66"/>
  <c r="B64" i="66"/>
  <c r="B76" i="66"/>
  <c r="B75" i="66"/>
  <c r="B70" i="66"/>
  <c r="B4" i="66" l="1"/>
  <c r="B74" i="66"/>
  <c r="B68" i="66"/>
  <c r="B5" i="66"/>
  <c r="B66" i="66"/>
  <c r="B18" i="66"/>
  <c r="B48" i="66"/>
  <c r="B69" i="66"/>
  <c r="B33" i="66"/>
  <c r="B51" i="66"/>
  <c r="B50" i="66"/>
  <c r="B26" i="66"/>
  <c r="B31" i="66"/>
  <c r="B56" i="66"/>
  <c r="B40" i="66"/>
  <c r="B24" i="66"/>
  <c r="B8" i="66"/>
  <c r="B61" i="66"/>
  <c r="B45" i="66"/>
  <c r="B29" i="66"/>
  <c r="B13" i="66"/>
  <c r="B49" i="66"/>
  <c r="B17" i="66"/>
  <c r="B54" i="66"/>
  <c r="B38" i="66"/>
  <c r="B22" i="66"/>
  <c r="B6" i="66"/>
  <c r="B42" i="66"/>
  <c r="B32" i="66"/>
  <c r="B53" i="66"/>
  <c r="B21" i="66"/>
  <c r="B46" i="66"/>
  <c r="B35" i="66"/>
  <c r="B52" i="66"/>
  <c r="B36" i="66"/>
  <c r="B20" i="66"/>
  <c r="B65" i="66"/>
  <c r="B41" i="66"/>
  <c r="B9" i="66"/>
  <c r="B47" i="66"/>
  <c r="B34" i="66"/>
  <c r="B63" i="66"/>
  <c r="B23" i="66"/>
  <c r="B58" i="66"/>
  <c r="B55" i="66"/>
  <c r="B16" i="66"/>
  <c r="B37" i="66"/>
  <c r="B12" i="66"/>
  <c r="B30" i="66"/>
  <c r="B14" i="66"/>
  <c r="B67" i="66"/>
  <c r="B19" i="66"/>
  <c r="B60" i="66"/>
  <c r="B44" i="66"/>
  <c r="B28" i="66"/>
  <c r="B73" i="66"/>
  <c r="B57" i="66"/>
  <c r="B25" i="66"/>
  <c r="B71" i="66"/>
  <c r="B15" i="66"/>
  <c r="B59" i="66"/>
  <c r="B43" i="66"/>
  <c r="B27" i="66"/>
  <c r="B11" i="66"/>
  <c r="B10" i="66"/>
  <c r="B39" i="66"/>
  <c r="B7" i="66"/>
  <c r="B4" i="65" l="1"/>
  <c r="B3" i="65" s="1"/>
  <c r="B5" i="65"/>
  <c r="B6" i="65"/>
  <c r="W6" i="65"/>
  <c r="X6" i="65" s="1"/>
  <c r="Y6" i="65"/>
  <c r="Z6" i="65" s="1"/>
  <c r="AA6" i="65" s="1"/>
  <c r="AB6" i="65" s="1"/>
  <c r="AC6" i="65" s="1"/>
  <c r="AD6" i="65" s="1"/>
  <c r="AE6" i="65" s="1"/>
  <c r="AF6" i="65" s="1"/>
  <c r="AG6" i="65" s="1"/>
  <c r="B7" i="65"/>
  <c r="V7" i="65"/>
  <c r="B8" i="65"/>
  <c r="V8" i="65"/>
  <c r="B9" i="65"/>
  <c r="V9" i="65"/>
  <c r="V10" i="65" s="1"/>
  <c r="V11" i="65" s="1"/>
  <c r="V12" i="65" s="1"/>
  <c r="V13" i="65" s="1"/>
  <c r="B10" i="65"/>
  <c r="B11" i="65"/>
  <c r="B12" i="65"/>
  <c r="B13" i="65"/>
  <c r="B14" i="65"/>
  <c r="V14" i="65"/>
  <c r="V15" i="65" s="1"/>
  <c r="V16" i="65" s="1"/>
  <c r="V17" i="65" s="1"/>
  <c r="B15" i="65"/>
  <c r="B16" i="65"/>
  <c r="B17" i="65"/>
  <c r="B18" i="65"/>
  <c r="AH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D3" i="65" s="1"/>
  <c r="F3" i="60"/>
  <c r="F4" i="60"/>
  <c r="C5" i="60"/>
  <c r="C2" i="60" s="1"/>
  <c r="F5" i="60"/>
  <c r="Z5" i="60"/>
  <c r="Z6" i="60" s="1"/>
  <c r="AA5" i="60"/>
  <c r="C6" i="60"/>
  <c r="F6" i="60"/>
  <c r="C7" i="60"/>
  <c r="F7" i="60"/>
  <c r="C8" i="60"/>
  <c r="F8" i="60"/>
  <c r="C9" i="60"/>
  <c r="F9" i="60"/>
  <c r="C10" i="60"/>
  <c r="F10" i="60"/>
  <c r="C11" i="60"/>
  <c r="F11" i="60"/>
  <c r="C12" i="60"/>
  <c r="F12" i="60"/>
  <c r="F13" i="60"/>
  <c r="F14" i="60"/>
  <c r="C2" i="59"/>
  <c r="F3" i="59" s="1"/>
  <c r="G3" i="59" s="1"/>
  <c r="D2" i="59"/>
  <c r="E3" i="59"/>
  <c r="U3" i="59" s="1"/>
  <c r="U4" i="59" s="1"/>
  <c r="S3" i="59"/>
  <c r="E4" i="59"/>
  <c r="S4" i="59"/>
  <c r="E5" i="59"/>
  <c r="E6" i="59"/>
  <c r="C3" i="65" l="1"/>
  <c r="E4" i="65" s="1"/>
  <c r="C4" i="65" s="1"/>
  <c r="J2" i="60"/>
  <c r="D7" i="60"/>
  <c r="H3" i="59"/>
  <c r="J3" i="59"/>
  <c r="K3" i="59"/>
  <c r="C3" i="59"/>
  <c r="R3" i="59"/>
  <c r="R4" i="59" s="1"/>
  <c r="E7" i="59"/>
  <c r="Q3" i="59"/>
  <c r="Q4" i="59" s="1"/>
  <c r="D2" i="60"/>
  <c r="K2" i="60" s="1"/>
  <c r="D4" i="65" l="1"/>
  <c r="E5" i="65" s="1"/>
  <c r="F4" i="65"/>
  <c r="E7" i="60"/>
  <c r="D13" i="60"/>
  <c r="V3" i="59"/>
  <c r="V4" i="59" s="1"/>
  <c r="V5" i="59" s="1"/>
  <c r="T3" i="59"/>
  <c r="T4" i="59" s="1"/>
  <c r="T5" i="59" s="1"/>
  <c r="D5" i="60"/>
  <c r="D4" i="60"/>
  <c r="D12" i="60"/>
  <c r="D10" i="60"/>
  <c r="D8" i="60"/>
  <c r="O3" i="59"/>
  <c r="N3" i="59"/>
  <c r="D14" i="60"/>
  <c r="D6" i="60"/>
  <c r="R5" i="59"/>
  <c r="L3" i="59"/>
  <c r="I3" i="59"/>
  <c r="D9" i="60"/>
  <c r="D11" i="60"/>
  <c r="D3" i="59"/>
  <c r="E8" i="59" s="1"/>
  <c r="D3" i="60"/>
  <c r="C5" i="65" l="1"/>
  <c r="D5" i="65" s="1"/>
  <c r="F5" i="65"/>
  <c r="G5" i="65" s="1"/>
  <c r="G4" i="65"/>
  <c r="E13" i="60"/>
  <c r="E4" i="60"/>
  <c r="E12" i="60"/>
  <c r="E3" i="60"/>
  <c r="D4" i="59"/>
  <c r="E5" i="60"/>
  <c r="E11" i="60"/>
  <c r="E6" i="60"/>
  <c r="F4" i="59"/>
  <c r="G4" i="59" s="1"/>
  <c r="E9" i="60"/>
  <c r="M3" i="59"/>
  <c r="E14" i="60"/>
  <c r="E8" i="60"/>
  <c r="C4" i="59"/>
  <c r="E10" i="60"/>
  <c r="E6" i="65" l="1"/>
  <c r="J4" i="59"/>
  <c r="K4" i="59"/>
  <c r="H4" i="59"/>
  <c r="G3" i="60"/>
  <c r="G6" i="60"/>
  <c r="G5" i="60"/>
  <c r="H5" i="60" s="1"/>
  <c r="C5" i="59"/>
  <c r="D5" i="59" s="1"/>
  <c r="E9" i="59"/>
  <c r="F5" i="59"/>
  <c r="G5" i="59" s="1"/>
  <c r="G4" i="60"/>
  <c r="F6" i="65" l="1"/>
  <c r="C6" i="65"/>
  <c r="I4" i="59"/>
  <c r="L5" i="59"/>
  <c r="L4" i="59"/>
  <c r="H4" i="60"/>
  <c r="O4" i="59"/>
  <c r="H5" i="59"/>
  <c r="I5" i="59" s="1"/>
  <c r="J5" i="59"/>
  <c r="K5" i="59"/>
  <c r="O5" i="59" s="1"/>
  <c r="N5" i="59"/>
  <c r="N4" i="59"/>
  <c r="E10" i="59"/>
  <c r="C6" i="59"/>
  <c r="F6" i="59"/>
  <c r="G6" i="59" s="1"/>
  <c r="L5" i="60"/>
  <c r="I13" i="60"/>
  <c r="I5" i="60"/>
  <c r="I9" i="60"/>
  <c r="H6" i="60"/>
  <c r="H3" i="60"/>
  <c r="G7" i="60"/>
  <c r="G6" i="65" l="1"/>
  <c r="D6" i="65"/>
  <c r="E7" i="65" s="1"/>
  <c r="H6" i="59"/>
  <c r="J6" i="59"/>
  <c r="K6" i="59"/>
  <c r="M4" i="59"/>
  <c r="M5" i="59"/>
  <c r="C7" i="59"/>
  <c r="F7" i="59"/>
  <c r="G7" i="59" s="1"/>
  <c r="D6" i="59"/>
  <c r="H7" i="60"/>
  <c r="L3" i="60"/>
  <c r="I7" i="60"/>
  <c r="I11" i="60"/>
  <c r="I3" i="60"/>
  <c r="N6" i="59"/>
  <c r="L6" i="60"/>
  <c r="I10" i="60"/>
  <c r="I6" i="60"/>
  <c r="I14" i="60"/>
  <c r="L4" i="60"/>
  <c r="I8" i="60"/>
  <c r="I4" i="60"/>
  <c r="I12" i="60"/>
  <c r="C7" i="65" l="1"/>
  <c r="D7" i="65" s="1"/>
  <c r="F7" i="65"/>
  <c r="J3" i="60"/>
  <c r="L7" i="60"/>
  <c r="M3" i="60"/>
  <c r="N3" i="60" s="1"/>
  <c r="O6" i="59"/>
  <c r="D7" i="59"/>
  <c r="J7" i="59"/>
  <c r="K7" i="59"/>
  <c r="H7" i="59"/>
  <c r="I6" i="59"/>
  <c r="L6" i="59"/>
  <c r="E11" i="59"/>
  <c r="F8" i="59"/>
  <c r="G8" i="59" s="1"/>
  <c r="E8" i="65" l="1"/>
  <c r="G7" i="65"/>
  <c r="M6" i="59"/>
  <c r="I7" i="59"/>
  <c r="M7" i="59" s="1"/>
  <c r="N8" i="59"/>
  <c r="N7" i="59"/>
  <c r="E12" i="59"/>
  <c r="Q3" i="60"/>
  <c r="R3" i="60"/>
  <c r="O3" i="60"/>
  <c r="H8" i="59"/>
  <c r="J8" i="59"/>
  <c r="K8" i="59"/>
  <c r="C8" i="59"/>
  <c r="L7" i="59"/>
  <c r="O7" i="59" s="1"/>
  <c r="J4" i="60"/>
  <c r="K3" i="60"/>
  <c r="F8" i="65" l="1"/>
  <c r="C8" i="65"/>
  <c r="U3" i="60"/>
  <c r="C9" i="59"/>
  <c r="E13" i="59"/>
  <c r="F9" i="59"/>
  <c r="G9" i="59" s="1"/>
  <c r="K4" i="60"/>
  <c r="L8" i="60"/>
  <c r="I8" i="59"/>
  <c r="M8" i="59" s="1"/>
  <c r="L8" i="59"/>
  <c r="O8" i="59" s="1"/>
  <c r="D8" i="59"/>
  <c r="J5" i="60"/>
  <c r="L9" i="60"/>
  <c r="P3" i="60"/>
  <c r="S3" i="60"/>
  <c r="V3" i="60" s="1"/>
  <c r="D8" i="65" l="1"/>
  <c r="G8" i="65"/>
  <c r="T3" i="60"/>
  <c r="K5" i="60"/>
  <c r="M4" i="60"/>
  <c r="N4" i="60" s="1"/>
  <c r="D9" i="59"/>
  <c r="H9" i="59"/>
  <c r="J9" i="59"/>
  <c r="K9" i="59"/>
  <c r="E9" i="65" l="1"/>
  <c r="L10" i="60"/>
  <c r="N9" i="59"/>
  <c r="J6" i="60"/>
  <c r="M5" i="60"/>
  <c r="N5" i="60" s="1"/>
  <c r="E14" i="59"/>
  <c r="I9" i="59"/>
  <c r="L9" i="59"/>
  <c r="O9" i="59" s="1"/>
  <c r="F10" i="59"/>
  <c r="G10" i="59" s="1"/>
  <c r="O4" i="60"/>
  <c r="Q4" i="60"/>
  <c r="R4" i="60"/>
  <c r="C10" i="59"/>
  <c r="F9" i="65" l="1"/>
  <c r="C9" i="65"/>
  <c r="M6" i="60"/>
  <c r="N6" i="60" s="1"/>
  <c r="K6" i="60"/>
  <c r="C11" i="59"/>
  <c r="F11" i="59"/>
  <c r="G11" i="59" s="1"/>
  <c r="U4" i="60"/>
  <c r="M9" i="59"/>
  <c r="Q5" i="60"/>
  <c r="R5" i="60"/>
  <c r="V5" i="60" s="1"/>
  <c r="O5" i="60"/>
  <c r="P5" i="60" s="1"/>
  <c r="P4" i="60"/>
  <c r="S5" i="60"/>
  <c r="S4" i="60"/>
  <c r="V4" i="60" s="1"/>
  <c r="J10" i="59"/>
  <c r="N10" i="59" s="1"/>
  <c r="K10" i="59"/>
  <c r="H10" i="59"/>
  <c r="D10" i="59"/>
  <c r="E15" i="59" s="1"/>
  <c r="G9" i="65" l="1"/>
  <c r="D9" i="65"/>
  <c r="E10" i="65" s="1"/>
  <c r="H11" i="59"/>
  <c r="J11" i="59"/>
  <c r="N11" i="59" s="1"/>
  <c r="K11" i="59"/>
  <c r="C12" i="59"/>
  <c r="E16" i="59"/>
  <c r="D11" i="59"/>
  <c r="U5" i="60"/>
  <c r="I10" i="59"/>
  <c r="M10" i="59" s="1"/>
  <c r="L10" i="59"/>
  <c r="T4" i="60"/>
  <c r="T5" i="60"/>
  <c r="L11" i="60"/>
  <c r="O10" i="59"/>
  <c r="J7" i="60"/>
  <c r="O6" i="60"/>
  <c r="Q6" i="60"/>
  <c r="R6" i="60"/>
  <c r="F10" i="65" l="1"/>
  <c r="G10" i="65" s="1"/>
  <c r="C10" i="65"/>
  <c r="D10" i="65" s="1"/>
  <c r="K7" i="60"/>
  <c r="I11" i="59"/>
  <c r="M11" i="59" s="1"/>
  <c r="L11" i="59"/>
  <c r="O11" i="59" s="1"/>
  <c r="U6" i="60"/>
  <c r="D12" i="59"/>
  <c r="P6" i="60"/>
  <c r="S6" i="60"/>
  <c r="V6" i="60" s="1"/>
  <c r="F12" i="59"/>
  <c r="G12" i="59" s="1"/>
  <c r="E11" i="65" l="1"/>
  <c r="L12" i="60"/>
  <c r="M7" i="60"/>
  <c r="N7" i="60" s="1"/>
  <c r="J8" i="60"/>
  <c r="H12" i="59"/>
  <c r="J12" i="59"/>
  <c r="N12" i="59" s="1"/>
  <c r="K12" i="59"/>
  <c r="F13" i="59"/>
  <c r="G13" i="59" s="1"/>
  <c r="T6" i="60"/>
  <c r="E17" i="59"/>
  <c r="C13" i="59"/>
  <c r="C11" i="65" l="1"/>
  <c r="F11" i="65"/>
  <c r="G11" i="65" s="1"/>
  <c r="I12" i="59"/>
  <c r="M12" i="59" s="1"/>
  <c r="L12" i="59"/>
  <c r="O12" i="59" s="1"/>
  <c r="J9" i="60"/>
  <c r="M8" i="60"/>
  <c r="N8" i="60" s="1"/>
  <c r="L13" i="60"/>
  <c r="F14" i="59"/>
  <c r="G14" i="59" s="1"/>
  <c r="O7" i="60"/>
  <c r="Q7" i="60"/>
  <c r="R7" i="60"/>
  <c r="D13" i="59"/>
  <c r="K13" i="59"/>
  <c r="H13" i="59"/>
  <c r="J13" i="59"/>
  <c r="N13" i="59" s="1"/>
  <c r="K8" i="60"/>
  <c r="D11" i="65" l="1"/>
  <c r="O8" i="60"/>
  <c r="P8" i="60" s="1"/>
  <c r="Q8" i="60"/>
  <c r="R8" i="60"/>
  <c r="I13" i="59"/>
  <c r="M13" i="59" s="1"/>
  <c r="L13" i="59"/>
  <c r="J10" i="60"/>
  <c r="M9" i="60"/>
  <c r="N9" i="60" s="1"/>
  <c r="K9" i="60"/>
  <c r="P7" i="60"/>
  <c r="S7" i="60"/>
  <c r="V7" i="60" s="1"/>
  <c r="S8" i="60"/>
  <c r="H14" i="59"/>
  <c r="J14" i="59"/>
  <c r="N14" i="59" s="1"/>
  <c r="K14" i="59"/>
  <c r="O13" i="59"/>
  <c r="C14" i="59"/>
  <c r="U8" i="60"/>
  <c r="U7" i="60"/>
  <c r="E18" i="59"/>
  <c r="E12" i="65" l="1"/>
  <c r="R9" i="60"/>
  <c r="O9" i="60"/>
  <c r="Q9" i="60"/>
  <c r="T8" i="60"/>
  <c r="T7" i="60"/>
  <c r="I14" i="59"/>
  <c r="M14" i="59" s="1"/>
  <c r="L14" i="59"/>
  <c r="O14" i="59" s="1"/>
  <c r="K10" i="60"/>
  <c r="V8" i="60"/>
  <c r="F15" i="59"/>
  <c r="F17" i="59"/>
  <c r="F16" i="59"/>
  <c r="C15" i="59"/>
  <c r="L14" i="60"/>
  <c r="D14" i="59"/>
  <c r="F18" i="59" s="1"/>
  <c r="C12" i="65" l="1"/>
  <c r="F12" i="65"/>
  <c r="G12" i="65" s="1"/>
  <c r="U9" i="60"/>
  <c r="K11" i="60"/>
  <c r="D15" i="59"/>
  <c r="L15" i="60"/>
  <c r="P9" i="60"/>
  <c r="M10" i="60"/>
  <c r="N10" i="60" s="1"/>
  <c r="S9" i="60"/>
  <c r="V9" i="60" s="1"/>
  <c r="J11" i="60"/>
  <c r="D12" i="65" l="1"/>
  <c r="Q10" i="60"/>
  <c r="U10" i="60" s="1"/>
  <c r="R10" i="60"/>
  <c r="O10" i="60"/>
  <c r="T9" i="60"/>
  <c r="J12" i="60"/>
  <c r="K12" i="60" s="1"/>
  <c r="M11" i="60"/>
  <c r="N11" i="60" s="1"/>
  <c r="L16" i="60"/>
  <c r="C16" i="59"/>
  <c r="E13" i="65" l="1"/>
  <c r="C17" i="59"/>
  <c r="P10" i="60"/>
  <c r="T10" i="60" s="1"/>
  <c r="S10" i="60"/>
  <c r="V10" i="60" s="1"/>
  <c r="O11" i="60"/>
  <c r="Q11" i="60"/>
  <c r="U11" i="60" s="1"/>
  <c r="R11" i="60"/>
  <c r="M12" i="60"/>
  <c r="N12" i="60" s="1"/>
  <c r="J13" i="60"/>
  <c r="L17" i="60"/>
  <c r="D16" i="59"/>
  <c r="C13" i="65" l="1"/>
  <c r="F13" i="65"/>
  <c r="G13" i="65" s="1"/>
  <c r="P11" i="60"/>
  <c r="T11" i="60" s="1"/>
  <c r="S11" i="60"/>
  <c r="V11" i="60" s="1"/>
  <c r="D17" i="59"/>
  <c r="C18" i="59" s="1"/>
  <c r="J14" i="60"/>
  <c r="M13" i="60"/>
  <c r="N13" i="60" s="1"/>
  <c r="L18" i="60"/>
  <c r="O12" i="60"/>
  <c r="Q12" i="60"/>
  <c r="U12" i="60" s="1"/>
  <c r="R12" i="60"/>
  <c r="K13" i="60"/>
  <c r="D13" i="65" l="1"/>
  <c r="O13" i="60"/>
  <c r="Q13" i="60"/>
  <c r="U13" i="60" s="1"/>
  <c r="R13" i="60"/>
  <c r="K14" i="60"/>
  <c r="M15" i="60" s="1"/>
  <c r="M17" i="60"/>
  <c r="M14" i="60"/>
  <c r="N14" i="60" s="1"/>
  <c r="M18" i="60"/>
  <c r="D18" i="59"/>
  <c r="P12" i="60"/>
  <c r="T12" i="60" s="1"/>
  <c r="S12" i="60"/>
  <c r="V12" i="60" s="1"/>
  <c r="E14" i="65" l="1"/>
  <c r="R14" i="60"/>
  <c r="O14" i="60"/>
  <c r="Q14" i="60"/>
  <c r="U14" i="60" s="1"/>
  <c r="M16" i="60"/>
  <c r="P13" i="60"/>
  <c r="T13" i="60" s="1"/>
  <c r="S13" i="60"/>
  <c r="V13" i="60" s="1"/>
  <c r="C14" i="65" l="1"/>
  <c r="F14" i="65"/>
  <c r="G14" i="65" s="1"/>
  <c r="P14" i="60"/>
  <c r="T14" i="60" s="1"/>
  <c r="S14" i="60"/>
  <c r="V14" i="60" s="1"/>
  <c r="D14" i="65" l="1"/>
  <c r="E15" i="65" l="1"/>
  <c r="C15" i="65" l="1"/>
  <c r="F15" i="65"/>
  <c r="G15" i="65" s="1"/>
  <c r="D15" i="65" l="1"/>
  <c r="E16" i="65" l="1"/>
  <c r="F16" i="65" l="1"/>
  <c r="G16" i="65" s="1"/>
  <c r="C16" i="65"/>
  <c r="D16" i="65" l="1"/>
  <c r="E17" i="65" l="1"/>
  <c r="F17" i="65" l="1"/>
  <c r="G17" i="65" s="1"/>
  <c r="C17" i="65"/>
  <c r="D17" i="65" l="1"/>
  <c r="E18" i="65" l="1"/>
  <c r="F18" i="65" l="1"/>
  <c r="G18" i="65" s="1"/>
  <c r="C18" i="65"/>
  <c r="D18" i="65" l="1"/>
  <c r="E19" i="65" l="1"/>
  <c r="F19" i="65" l="1"/>
  <c r="G19" i="65" s="1"/>
  <c r="C19" i="65"/>
  <c r="D19" i="65" l="1"/>
  <c r="E20" i="65" s="1"/>
  <c r="F20" i="65" l="1"/>
  <c r="G20" i="65" s="1"/>
  <c r="C20" i="65"/>
  <c r="D20" i="65" s="1"/>
  <c r="E21" i="65" l="1"/>
  <c r="C21" i="65" l="1"/>
  <c r="F21" i="65"/>
  <c r="G21" i="65" s="1"/>
  <c r="D21" i="65" l="1"/>
  <c r="E22" i="65" s="1"/>
  <c r="F22" i="65" l="1"/>
  <c r="G22" i="65" s="1"/>
  <c r="C22" i="65"/>
  <c r="D22" i="65" s="1"/>
  <c r="E23" i="65" l="1"/>
  <c r="F23" i="65" l="1"/>
  <c r="G23" i="65" s="1"/>
  <c r="C23" i="65"/>
  <c r="D23" i="65" l="1"/>
  <c r="E24" i="65" l="1"/>
  <c r="C24" i="65" l="1"/>
  <c r="F24" i="65"/>
  <c r="G24" i="65" s="1"/>
  <c r="D24" i="65" l="1"/>
  <c r="E25" i="65" l="1"/>
  <c r="F25" i="65" l="1"/>
  <c r="G25" i="65" s="1"/>
  <c r="C25" i="65"/>
  <c r="D25" i="65" l="1"/>
  <c r="E26" i="65" l="1"/>
  <c r="F26" i="65" l="1"/>
  <c r="G26" i="65" s="1"/>
  <c r="C26" i="65"/>
  <c r="D26" i="65" l="1"/>
  <c r="E27" i="65" l="1"/>
  <c r="C27" i="65" l="1"/>
  <c r="F27" i="65"/>
  <c r="G27" i="65" s="1"/>
  <c r="D27" i="65" l="1"/>
  <c r="E28" i="65" l="1"/>
  <c r="F28" i="65" l="1"/>
  <c r="G28" i="65" s="1"/>
  <c r="C28" i="65"/>
  <c r="D28" i="65" l="1"/>
  <c r="E29" i="65" l="1"/>
  <c r="F29" i="65" l="1"/>
  <c r="G29" i="65" s="1"/>
  <c r="C29" i="65"/>
  <c r="D29" i="65" l="1"/>
  <c r="E30" i="65" l="1"/>
  <c r="F30" i="65" l="1"/>
  <c r="G30" i="65" s="1"/>
  <c r="C30" i="65"/>
  <c r="D30" i="65" l="1"/>
  <c r="E31" i="65" l="1"/>
  <c r="F31" i="65" l="1"/>
  <c r="G31" i="65" s="1"/>
  <c r="V6" i="65" s="1"/>
  <c r="C31" i="65"/>
  <c r="D31" i="65" l="1"/>
  <c r="E32" i="65" s="1"/>
</calcChain>
</file>

<file path=xl/sharedStrings.xml><?xml version="1.0" encoding="utf-8"?>
<sst xmlns="http://schemas.openxmlformats.org/spreadsheetml/2006/main" count="107" uniqueCount="65">
  <si>
    <t>MAD</t>
  </si>
  <si>
    <t>|E|</t>
  </si>
  <si>
    <t>E</t>
  </si>
  <si>
    <t>Per.</t>
  </si>
  <si>
    <t>Trend</t>
  </si>
  <si>
    <t>Seas</t>
  </si>
  <si>
    <t>TS</t>
  </si>
  <si>
    <t>alpha=</t>
  </si>
  <si>
    <t>Level</t>
  </si>
  <si>
    <t>Periodicity</t>
  </si>
  <si>
    <t>Ft</t>
  </si>
  <si>
    <t>E2</t>
  </si>
  <si>
    <t>MSE</t>
  </si>
  <si>
    <t>MAPE</t>
  </si>
  <si>
    <t>Bias</t>
  </si>
  <si>
    <t>Seasonality</t>
  </si>
  <si>
    <t>The Forecast for New Level is the Previous Lever + Previous Trend</t>
  </si>
  <si>
    <t>Actual Trend is the difference between current Level and previous Level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</si>
  <si>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</si>
  <si>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</si>
  <si>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</si>
  <si>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</si>
  <si>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</si>
  <si>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</si>
  <si>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</si>
  <si>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Beta</t>
  </si>
  <si>
    <t>Gamma</t>
  </si>
  <si>
    <t>Alpha</t>
  </si>
  <si>
    <t>a</t>
  </si>
  <si>
    <t>p</t>
  </si>
  <si>
    <t>b</t>
  </si>
  <si>
    <t>g</t>
  </si>
  <si>
    <t>A-S</t>
  </si>
  <si>
    <t>F-S</t>
  </si>
  <si>
    <t>A-T</t>
  </si>
  <si>
    <t>F-T</t>
  </si>
  <si>
    <t>A-L</t>
  </si>
  <si>
    <t>F-L</t>
  </si>
  <si>
    <t>|E|/A</t>
  </si>
  <si>
    <t>Ft(TrSeasAdjExpSmoo</t>
  </si>
  <si>
    <t>TrendData</t>
  </si>
  <si>
    <t>Ft (Stat.Reg)</t>
  </si>
  <si>
    <t>SeasIndAdj</t>
  </si>
  <si>
    <t>SeasInd</t>
  </si>
  <si>
    <t>Seas.Ind</t>
  </si>
  <si>
    <t>Deseas.Reg</t>
  </si>
  <si>
    <t>Centered.MA</t>
  </si>
  <si>
    <t>Forecast Seasonality is current demand divided by current level</t>
  </si>
  <si>
    <t>Actual Seasonality is demand divided by the current lever</t>
  </si>
  <si>
    <t>Forecast Trend the  previous trend</t>
  </si>
  <si>
    <t>Actual for Level id Actual Data divided by Seasonality of N Period ago</t>
  </si>
  <si>
    <t>Initial Seasonality are the sensualities of the first N periods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</si>
  <si>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</si>
  <si>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</si>
  <si>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beta=</t>
  </si>
  <si>
    <t>Forecast</t>
  </si>
  <si>
    <t>Season</t>
  </si>
  <si>
    <t>Index</t>
  </si>
  <si>
    <t>Reg-Cen-MA</t>
  </si>
  <si>
    <t>Centered-MA</t>
  </si>
  <si>
    <t>Normlized Index</t>
  </si>
  <si>
    <t>SE</t>
  </si>
  <si>
    <t>R2</t>
  </si>
  <si>
    <t>b1</t>
  </si>
  <si>
    <t>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</si>
</sst>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00"/>
    <numFmt numFmtId="168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1"/>
      <color theme="0"/>
      <name val="Book Antiqua"/>
      <family val="1"/>
    </font>
    <font>
      <b/>
      <sz val="10"/>
      <name val="Symbol"/>
      <family val="1"/>
      <charset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Book Antiqua"/>
      <family val="1"/>
    </font>
    <font>
      <b/>
      <sz val="10"/>
      <color theme="0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B9C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2" applyFont="1"/>
    <xf numFmtId="0" fontId="3" fillId="0" borderId="1" xfId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65" fontId="4" fillId="0" borderId="0" xfId="2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6" fillId="2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2" fontId="0" fillId="0" borderId="0" xfId="0" applyNumberFormat="1" applyAlignment="1">
      <alignment horizontal="left" vertical="top"/>
    </xf>
    <xf numFmtId="0" fontId="5" fillId="0" borderId="0" xfId="2" applyFont="1"/>
    <xf numFmtId="0" fontId="7" fillId="0" borderId="0" xfId="2" applyFont="1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center"/>
    </xf>
    <xf numFmtId="166" fontId="11" fillId="5" borderId="0" xfId="0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4" fillId="0" borderId="0" xfId="2" applyNumberFormat="1" applyFont="1"/>
    <xf numFmtId="166" fontId="11" fillId="2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2" fontId="4" fillId="0" borderId="0" xfId="2" applyNumberFormat="1" applyFont="1" applyAlignment="1">
      <alignment horizontal="center" vertical="top"/>
    </xf>
    <xf numFmtId="0" fontId="3" fillId="0" borderId="2" xfId="1" applyFont="1" applyBorder="1" applyAlignment="1">
      <alignment horizontal="center"/>
    </xf>
    <xf numFmtId="1" fontId="4" fillId="0" borderId="0" xfId="2" applyNumberFormat="1" applyFont="1" applyAlignment="1">
      <alignment horizontal="left" vertical="top"/>
    </xf>
    <xf numFmtId="2" fontId="6" fillId="2" borderId="0" xfId="1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/>
    </xf>
    <xf numFmtId="165" fontId="6" fillId="4" borderId="0" xfId="1" applyNumberFormat="1" applyFont="1" applyFill="1" applyAlignment="1">
      <alignment horizontal="center"/>
    </xf>
    <xf numFmtId="2" fontId="6" fillId="7" borderId="0" xfId="1" applyNumberFormat="1" applyFont="1" applyFill="1" applyAlignment="1">
      <alignment horizontal="center"/>
    </xf>
    <xf numFmtId="167" fontId="6" fillId="4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2" fontId="6" fillId="4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2" fontId="6" fillId="5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4" fillId="0" borderId="0" xfId="2" applyNumberFormat="1" applyFont="1" applyAlignment="1">
      <alignment horizontal="center"/>
    </xf>
    <xf numFmtId="0" fontId="12" fillId="2" borderId="2" xfId="1" applyFont="1" applyFill="1" applyBorder="1" applyAlignment="1">
      <alignment horizontal="center"/>
    </xf>
    <xf numFmtId="2" fontId="4" fillId="0" borderId="0" xfId="2" applyNumberFormat="1" applyFont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13" fillId="8" borderId="0" xfId="2" applyNumberFormat="1" applyFont="1" applyFill="1" applyAlignment="1">
      <alignment horizontal="center"/>
    </xf>
    <xf numFmtId="1" fontId="13" fillId="9" borderId="0" xfId="2" applyNumberFormat="1" applyFont="1" applyFill="1" applyAlignment="1">
      <alignment horizontal="center"/>
    </xf>
    <xf numFmtId="1" fontId="13" fillId="4" borderId="0" xfId="2" applyNumberFormat="1" applyFont="1" applyFill="1" applyAlignment="1">
      <alignment horizontal="center"/>
    </xf>
    <xf numFmtId="0" fontId="4" fillId="10" borderId="0" xfId="2" applyFont="1" applyFill="1" applyAlignment="1">
      <alignment horizontal="left"/>
    </xf>
    <xf numFmtId="168" fontId="4" fillId="0" borderId="0" xfId="2" applyNumberFormat="1" applyFont="1" applyAlignment="1">
      <alignment horizontal="center"/>
    </xf>
    <xf numFmtId="1" fontId="4" fillId="0" borderId="0" xfId="2" applyNumberFormat="1" applyFont="1" applyAlignment="1">
      <alignment horizontal="center"/>
    </xf>
    <xf numFmtId="164" fontId="13" fillId="11" borderId="0" xfId="2" applyNumberFormat="1" applyFont="1" applyFill="1" applyAlignment="1">
      <alignment horizontal="center" vertical="center"/>
    </xf>
    <xf numFmtId="165" fontId="13" fillId="11" borderId="0" xfId="2" applyNumberFormat="1" applyFont="1" applyFill="1" applyAlignment="1">
      <alignment horizontal="center" vertical="center"/>
    </xf>
    <xf numFmtId="0" fontId="13" fillId="11" borderId="0" xfId="2" applyFont="1" applyFill="1" applyAlignment="1">
      <alignment horizontal="center" vertical="center"/>
    </xf>
  </cellXfs>
  <cellStyles count="8">
    <cellStyle name="Hyperlink 2" xfId="6" xr:uid="{DF4BE1C7-C298-4FD4-9905-99046DADFCCC}"/>
    <cellStyle name="Neutral 2" xfId="7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5" xr:uid="{FEFE2A3A-4016-4B9B-887C-D04F3DF9672E}"/>
    <cellStyle name="Normal 3 2" xfId="4" xr:uid="{00000000-0005-0000-0000-000003000000}"/>
    <cellStyle name="Normal 4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'Prac.TrAdES-3'!$B$2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'Prac.TrAdES-3'!$B$2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'Prac.TrAdES-3'!$A$4:$A$31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'Prac.TrAdES-3'!$B$4:$B$31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2-4700-B1E7-1DC5B6445A96}"/>
            </c:ext>
          </c:extLst>
        </c:ser>
        <c:ser>
          <c:idx val="0"/>
          <c:order val="1"/>
          <c:tx>
            <c:strRef>
              <c:f>'Prac.TrAdES-3'!$E$2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'Prac.TrAdES-3'!$A$4:$A$32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'Prac.TrAdES-3'!$E$4:$E$32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2-4700-B1E7-1DC5B644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A-46E6-893C-10A66599F343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A-46E6-893C-10A66599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C-47D6-82EF-98DAB2F8C61E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C-47D6-82EF-98DAB2F8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'1.Trend&amp;Seas7Period'!$C$4:$C$78</c:f>
              <c:numCache>
                <c:formatCode>0</c:formatCode>
                <c:ptCount val="75"/>
                <c:pt idx="0">
                  <c:v>35</c:v>
                </c:pt>
                <c:pt idx="1">
                  <c:v>74</c:v>
                </c:pt>
                <c:pt idx="2">
                  <c:v>89</c:v>
                </c:pt>
                <c:pt idx="3">
                  <c:v>163</c:v>
                </c:pt>
                <c:pt idx="4">
                  <c:v>41</c:v>
                </c:pt>
                <c:pt idx="5">
                  <c:v>73</c:v>
                </c:pt>
                <c:pt idx="6">
                  <c:v>29</c:v>
                </c:pt>
                <c:pt idx="7">
                  <c:v>54</c:v>
                </c:pt>
                <c:pt idx="8">
                  <c:v>79</c:v>
                </c:pt>
                <c:pt idx="9">
                  <c:v>124</c:v>
                </c:pt>
                <c:pt idx="10">
                  <c:v>229</c:v>
                </c:pt>
                <c:pt idx="11">
                  <c:v>194</c:v>
                </c:pt>
                <c:pt idx="12">
                  <c:v>92</c:v>
                </c:pt>
                <c:pt idx="13">
                  <c:v>58</c:v>
                </c:pt>
                <c:pt idx="14">
                  <c:v>71</c:v>
                </c:pt>
                <c:pt idx="15">
                  <c:v>130</c:v>
                </c:pt>
                <c:pt idx="16">
                  <c:v>186</c:v>
                </c:pt>
                <c:pt idx="17">
                  <c:v>286</c:v>
                </c:pt>
                <c:pt idx="18">
                  <c:v>150</c:v>
                </c:pt>
                <c:pt idx="19">
                  <c:v>102</c:v>
                </c:pt>
                <c:pt idx="20">
                  <c:v>47</c:v>
                </c:pt>
                <c:pt idx="21">
                  <c:v>82</c:v>
                </c:pt>
                <c:pt idx="22">
                  <c:v>211</c:v>
                </c:pt>
                <c:pt idx="23">
                  <c:v>161</c:v>
                </c:pt>
                <c:pt idx="24">
                  <c:v>315</c:v>
                </c:pt>
                <c:pt idx="25">
                  <c:v>337</c:v>
                </c:pt>
                <c:pt idx="26">
                  <c:v>225</c:v>
                </c:pt>
                <c:pt idx="27">
                  <c:v>75</c:v>
                </c:pt>
                <c:pt idx="28">
                  <c:v>104</c:v>
                </c:pt>
                <c:pt idx="29">
                  <c:v>230</c:v>
                </c:pt>
                <c:pt idx="30">
                  <c:v>214</c:v>
                </c:pt>
                <c:pt idx="31">
                  <c:v>446</c:v>
                </c:pt>
                <c:pt idx="32">
                  <c:v>220</c:v>
                </c:pt>
                <c:pt idx="33">
                  <c:v>219</c:v>
                </c:pt>
                <c:pt idx="34">
                  <c:v>97</c:v>
                </c:pt>
                <c:pt idx="35">
                  <c:v>94</c:v>
                </c:pt>
                <c:pt idx="36">
                  <c:v>285</c:v>
                </c:pt>
                <c:pt idx="37">
                  <c:v>365</c:v>
                </c:pt>
                <c:pt idx="38">
                  <c:v>492</c:v>
                </c:pt>
                <c:pt idx="39">
                  <c:v>161</c:v>
                </c:pt>
                <c:pt idx="40">
                  <c:v>197</c:v>
                </c:pt>
                <c:pt idx="41">
                  <c:v>131</c:v>
                </c:pt>
                <c:pt idx="42">
                  <c:v>161</c:v>
                </c:pt>
                <c:pt idx="43">
                  <c:v>201</c:v>
                </c:pt>
                <c:pt idx="44">
                  <c:v>415</c:v>
                </c:pt>
                <c:pt idx="45">
                  <c:v>494</c:v>
                </c:pt>
                <c:pt idx="46">
                  <c:v>362</c:v>
                </c:pt>
                <c:pt idx="47">
                  <c:v>255</c:v>
                </c:pt>
                <c:pt idx="48">
                  <c:v>173</c:v>
                </c:pt>
                <c:pt idx="49">
                  <c:v>128</c:v>
                </c:pt>
                <c:pt idx="50">
                  <c:v>295</c:v>
                </c:pt>
                <c:pt idx="51">
                  <c:v>317</c:v>
                </c:pt>
                <c:pt idx="52">
                  <c:v>556</c:v>
                </c:pt>
                <c:pt idx="53">
                  <c:v>507</c:v>
                </c:pt>
                <c:pt idx="54">
                  <c:v>228</c:v>
                </c:pt>
                <c:pt idx="55">
                  <c:v>159</c:v>
                </c:pt>
                <c:pt idx="56">
                  <c:v>153</c:v>
                </c:pt>
                <c:pt idx="57">
                  <c:v>268</c:v>
                </c:pt>
                <c:pt idx="58">
                  <c:v>447</c:v>
                </c:pt>
                <c:pt idx="59">
                  <c:v>523</c:v>
                </c:pt>
                <c:pt idx="60">
                  <c:v>559</c:v>
                </c:pt>
                <c:pt idx="61">
                  <c:v>332</c:v>
                </c:pt>
                <c:pt idx="62">
                  <c:v>203</c:v>
                </c:pt>
                <c:pt idx="63">
                  <c:v>205</c:v>
                </c:pt>
                <c:pt idx="64">
                  <c:v>383</c:v>
                </c:pt>
                <c:pt idx="65">
                  <c:v>320</c:v>
                </c:pt>
                <c:pt idx="66">
                  <c:v>699</c:v>
                </c:pt>
                <c:pt idx="67">
                  <c:v>480</c:v>
                </c:pt>
                <c:pt idx="68">
                  <c:v>323</c:v>
                </c:pt>
                <c:pt idx="69">
                  <c:v>160</c:v>
                </c:pt>
                <c:pt idx="70">
                  <c:v>105</c:v>
                </c:pt>
                <c:pt idx="71">
                  <c:v>433</c:v>
                </c:pt>
                <c:pt idx="72">
                  <c:v>628</c:v>
                </c:pt>
                <c:pt idx="73">
                  <c:v>674</c:v>
                </c:pt>
                <c:pt idx="74">
                  <c:v>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2D-447E-B8D5-5A6C246A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'1.Trend&amp;Seas7Period'!$D$3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'1.Trend&amp;Seas7Period'!$D$4:$D$78</c:f>
              <c:numCache>
                <c:formatCode>General</c:formatCode>
                <c:ptCount val="75"/>
                <c:pt idx="3" formatCode="0">
                  <c:v>72</c:v>
                </c:pt>
                <c:pt idx="4" formatCode="0">
                  <c:v>74.714285714285708</c:v>
                </c:pt>
                <c:pt idx="5" formatCode="0">
                  <c:v>75.428571428571431</c:v>
                </c:pt>
                <c:pt idx="6" formatCode="0">
                  <c:v>80.428571428571431</c:v>
                </c:pt>
                <c:pt idx="7" formatCode="0">
                  <c:v>89.857142857142861</c:v>
                </c:pt>
                <c:pt idx="8" formatCode="0">
                  <c:v>111.71428571428571</c:v>
                </c:pt>
                <c:pt idx="9" formatCode="0">
                  <c:v>114.42857142857143</c:v>
                </c:pt>
                <c:pt idx="10" formatCode="0">
                  <c:v>118.57142857142857</c:v>
                </c:pt>
                <c:pt idx="11" formatCode="0">
                  <c:v>121</c:v>
                </c:pt>
                <c:pt idx="12" formatCode="0">
                  <c:v>128.28571428571428</c:v>
                </c:pt>
                <c:pt idx="13" formatCode="0">
                  <c:v>137.14285714285714</c:v>
                </c:pt>
                <c:pt idx="14" formatCode="0">
                  <c:v>145.28571428571428</c:v>
                </c:pt>
                <c:pt idx="15" formatCode="0">
                  <c:v>139</c:v>
                </c:pt>
                <c:pt idx="16" formatCode="0">
                  <c:v>140.42857142857142</c:v>
                </c:pt>
                <c:pt idx="17" formatCode="0">
                  <c:v>138.85714285714286</c:v>
                </c:pt>
                <c:pt idx="18" formatCode="0">
                  <c:v>140.42857142857142</c:v>
                </c:pt>
                <c:pt idx="19" formatCode="0">
                  <c:v>152</c:v>
                </c:pt>
                <c:pt idx="20" formatCode="0">
                  <c:v>148.42857142857142</c:v>
                </c:pt>
                <c:pt idx="21" formatCode="0">
                  <c:v>152.57142857142858</c:v>
                </c:pt>
                <c:pt idx="22" formatCode="0">
                  <c:v>179.28571428571428</c:v>
                </c:pt>
                <c:pt idx="23" formatCode="0">
                  <c:v>196.85714285714286</c:v>
                </c:pt>
                <c:pt idx="24" formatCode="0">
                  <c:v>200.85714285714286</c:v>
                </c:pt>
                <c:pt idx="25" formatCode="0">
                  <c:v>204</c:v>
                </c:pt>
                <c:pt idx="26" formatCode="0">
                  <c:v>206.71428571428572</c:v>
                </c:pt>
                <c:pt idx="27" formatCode="0">
                  <c:v>214.28571428571428</c:v>
                </c:pt>
                <c:pt idx="28" formatCode="0">
                  <c:v>233</c:v>
                </c:pt>
                <c:pt idx="29" formatCode="0">
                  <c:v>216.28571428571428</c:v>
                </c:pt>
                <c:pt idx="30" formatCode="0">
                  <c:v>215.42857142857142</c:v>
                </c:pt>
                <c:pt idx="31" formatCode="0">
                  <c:v>218.57142857142858</c:v>
                </c:pt>
                <c:pt idx="32" formatCode="0">
                  <c:v>217.14285714285714</c:v>
                </c:pt>
                <c:pt idx="33" formatCode="0">
                  <c:v>225</c:v>
                </c:pt>
                <c:pt idx="34" formatCode="0">
                  <c:v>246.57142857142858</c:v>
                </c:pt>
                <c:pt idx="35" formatCode="0">
                  <c:v>253.14285714285714</c:v>
                </c:pt>
                <c:pt idx="36" formatCode="0">
                  <c:v>244.71428571428572</c:v>
                </c:pt>
                <c:pt idx="37" formatCode="0">
                  <c:v>241.57142857142858</c:v>
                </c:pt>
                <c:pt idx="38" formatCode="0">
                  <c:v>246.42857142857142</c:v>
                </c:pt>
                <c:pt idx="39" formatCode="0">
                  <c:v>256</c:v>
                </c:pt>
                <c:pt idx="40" formatCode="0">
                  <c:v>244</c:v>
                </c:pt>
                <c:pt idx="41" formatCode="0">
                  <c:v>251.14285714285714</c:v>
                </c:pt>
                <c:pt idx="42" formatCode="0">
                  <c:v>251.42857142857142</c:v>
                </c:pt>
                <c:pt idx="43" formatCode="0">
                  <c:v>280.14285714285717</c:v>
                </c:pt>
                <c:pt idx="44" formatCode="0">
                  <c:v>288.42857142857144</c:v>
                </c:pt>
                <c:pt idx="45" formatCode="0">
                  <c:v>294.42857142857144</c:v>
                </c:pt>
                <c:pt idx="46" formatCode="0">
                  <c:v>289.71428571428572</c:v>
                </c:pt>
                <c:pt idx="47" formatCode="0">
                  <c:v>303.14285714285717</c:v>
                </c:pt>
                <c:pt idx="48" formatCode="0">
                  <c:v>289.14285714285717</c:v>
                </c:pt>
                <c:pt idx="49" formatCode="0">
                  <c:v>298</c:v>
                </c:pt>
                <c:pt idx="50" formatCode="0">
                  <c:v>318.71428571428572</c:v>
                </c:pt>
                <c:pt idx="51" formatCode="0">
                  <c:v>314.85714285714283</c:v>
                </c:pt>
                <c:pt idx="52" formatCode="0">
                  <c:v>312.85714285714283</c:v>
                </c:pt>
                <c:pt idx="53" formatCode="0">
                  <c:v>316.42857142857144</c:v>
                </c:pt>
                <c:pt idx="54" formatCode="0">
                  <c:v>312.57142857142856</c:v>
                </c:pt>
                <c:pt idx="55" formatCode="0">
                  <c:v>331.14285714285717</c:v>
                </c:pt>
                <c:pt idx="56" formatCode="0">
                  <c:v>326.42857142857144</c:v>
                </c:pt>
                <c:pt idx="57" formatCode="0">
                  <c:v>333.85714285714283</c:v>
                </c:pt>
                <c:pt idx="58" formatCode="0">
                  <c:v>348.71428571428572</c:v>
                </c:pt>
                <c:pt idx="59" formatCode="0">
                  <c:v>355</c:v>
                </c:pt>
                <c:pt idx="60" formatCode="0">
                  <c:v>362.42857142857144</c:v>
                </c:pt>
                <c:pt idx="61" formatCode="0">
                  <c:v>378.85714285714283</c:v>
                </c:pt>
                <c:pt idx="62" formatCode="0">
                  <c:v>360.71428571428572</c:v>
                </c:pt>
                <c:pt idx="63" formatCode="0">
                  <c:v>385.85714285714283</c:v>
                </c:pt>
                <c:pt idx="64" formatCode="0">
                  <c:v>374.57142857142856</c:v>
                </c:pt>
                <c:pt idx="65" formatCode="0">
                  <c:v>373.28571428571428</c:v>
                </c:pt>
                <c:pt idx="66" formatCode="0">
                  <c:v>367.14285714285717</c:v>
                </c:pt>
                <c:pt idx="67" formatCode="0">
                  <c:v>352.85714285714283</c:v>
                </c:pt>
                <c:pt idx="68" formatCode="0">
                  <c:v>360</c:v>
                </c:pt>
                <c:pt idx="69" formatCode="0">
                  <c:v>404</c:v>
                </c:pt>
                <c:pt idx="70" formatCode="0">
                  <c:v>400.42857142857144</c:v>
                </c:pt>
                <c:pt idx="71" formatCode="0">
                  <c:v>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47-4966-A16F-739BFAC45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'1.Trend&amp;Seas7Period'!$E$3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'1.Trend&amp;Seas7Period'!$E$4:$E$78</c:f>
              <c:numCache>
                <c:formatCode>0.0</c:formatCode>
                <c:ptCount val="75"/>
                <c:pt idx="0">
                  <c:v>69.317754928058079</c:v>
                </c:pt>
                <c:pt idx="1">
                  <c:v>74.055236007446354</c:v>
                </c:pt>
                <c:pt idx="2">
                  <c:v>78.792717086834642</c:v>
                </c:pt>
                <c:pt idx="3">
                  <c:v>83.530198166222917</c:v>
                </c:pt>
                <c:pt idx="4">
                  <c:v>88.267679245611191</c:v>
                </c:pt>
                <c:pt idx="5">
                  <c:v>93.00516032499948</c:v>
                </c:pt>
                <c:pt idx="6">
                  <c:v>97.742641404387754</c:v>
                </c:pt>
                <c:pt idx="7">
                  <c:v>102.48012248377603</c:v>
                </c:pt>
                <c:pt idx="8">
                  <c:v>107.2176035631643</c:v>
                </c:pt>
                <c:pt idx="9">
                  <c:v>111.95508464255258</c:v>
                </c:pt>
                <c:pt idx="10">
                  <c:v>116.69256572194087</c:v>
                </c:pt>
                <c:pt idx="11">
                  <c:v>121.43004680132914</c:v>
                </c:pt>
                <c:pt idx="12">
                  <c:v>126.16752788071742</c:v>
                </c:pt>
                <c:pt idx="13">
                  <c:v>130.9050089601057</c:v>
                </c:pt>
                <c:pt idx="14">
                  <c:v>135.64249003949396</c:v>
                </c:pt>
                <c:pt idx="15">
                  <c:v>140.37997111888225</c:v>
                </c:pt>
                <c:pt idx="16">
                  <c:v>145.11745219827054</c:v>
                </c:pt>
                <c:pt idx="17">
                  <c:v>149.8549332776588</c:v>
                </c:pt>
                <c:pt idx="18">
                  <c:v>154.59241435704709</c:v>
                </c:pt>
                <c:pt idx="19">
                  <c:v>159.32989543643538</c:v>
                </c:pt>
                <c:pt idx="20">
                  <c:v>164.06737651582364</c:v>
                </c:pt>
                <c:pt idx="21">
                  <c:v>168.80485759521193</c:v>
                </c:pt>
                <c:pt idx="22">
                  <c:v>173.54233867460022</c:v>
                </c:pt>
                <c:pt idx="23">
                  <c:v>178.27981975398848</c:v>
                </c:pt>
                <c:pt idx="24">
                  <c:v>183.01730083337674</c:v>
                </c:pt>
                <c:pt idx="25">
                  <c:v>187.75478191276503</c:v>
                </c:pt>
                <c:pt idx="26">
                  <c:v>192.49226299215331</c:v>
                </c:pt>
                <c:pt idx="27">
                  <c:v>197.2297440715416</c:v>
                </c:pt>
                <c:pt idx="28">
                  <c:v>201.96722515092986</c:v>
                </c:pt>
                <c:pt idx="29">
                  <c:v>206.70470623031815</c:v>
                </c:pt>
                <c:pt idx="30">
                  <c:v>211.44218730970641</c:v>
                </c:pt>
                <c:pt idx="31">
                  <c:v>216.1796683890947</c:v>
                </c:pt>
                <c:pt idx="32">
                  <c:v>220.91714946848299</c:v>
                </c:pt>
                <c:pt idx="33">
                  <c:v>225.65463054787125</c:v>
                </c:pt>
                <c:pt idx="34">
                  <c:v>230.39211162725954</c:v>
                </c:pt>
                <c:pt idx="35">
                  <c:v>235.1295927066478</c:v>
                </c:pt>
                <c:pt idx="36">
                  <c:v>239.86707378603609</c:v>
                </c:pt>
                <c:pt idx="37">
                  <c:v>244.60455486542438</c:v>
                </c:pt>
                <c:pt idx="38">
                  <c:v>249.34203594481264</c:v>
                </c:pt>
                <c:pt idx="39">
                  <c:v>254.07951702420092</c:v>
                </c:pt>
                <c:pt idx="40">
                  <c:v>258.81699810358919</c:v>
                </c:pt>
                <c:pt idx="41">
                  <c:v>263.5544791829775</c:v>
                </c:pt>
                <c:pt idx="42">
                  <c:v>268.29196026236576</c:v>
                </c:pt>
                <c:pt idx="43">
                  <c:v>273.02944134175402</c:v>
                </c:pt>
                <c:pt idx="44">
                  <c:v>277.76692242114234</c:v>
                </c:pt>
                <c:pt idx="45">
                  <c:v>282.5044035005306</c:v>
                </c:pt>
                <c:pt idx="46">
                  <c:v>287.24188457991886</c:v>
                </c:pt>
                <c:pt idx="47">
                  <c:v>291.97936565930718</c:v>
                </c:pt>
                <c:pt idx="48">
                  <c:v>296.71684673869544</c:v>
                </c:pt>
                <c:pt idx="49">
                  <c:v>301.4543278180837</c:v>
                </c:pt>
                <c:pt idx="50">
                  <c:v>306.19180889747201</c:v>
                </c:pt>
                <c:pt idx="51">
                  <c:v>310.92928997686022</c:v>
                </c:pt>
                <c:pt idx="52">
                  <c:v>315.66677105624854</c:v>
                </c:pt>
                <c:pt idx="53">
                  <c:v>320.40425213563685</c:v>
                </c:pt>
                <c:pt idx="54">
                  <c:v>325.14173321502506</c:v>
                </c:pt>
                <c:pt idx="55">
                  <c:v>329.87921429441337</c:v>
                </c:pt>
                <c:pt idx="56">
                  <c:v>334.61669537380169</c:v>
                </c:pt>
                <c:pt idx="57">
                  <c:v>339.35417645318989</c:v>
                </c:pt>
                <c:pt idx="58">
                  <c:v>344.09165753257821</c:v>
                </c:pt>
                <c:pt idx="59">
                  <c:v>348.82913861196653</c:v>
                </c:pt>
                <c:pt idx="60">
                  <c:v>353.56661969135473</c:v>
                </c:pt>
                <c:pt idx="61">
                  <c:v>358.30410077074305</c:v>
                </c:pt>
                <c:pt idx="62">
                  <c:v>363.04158185013137</c:v>
                </c:pt>
                <c:pt idx="63">
                  <c:v>367.77906292951957</c:v>
                </c:pt>
                <c:pt idx="64">
                  <c:v>372.51654400890789</c:v>
                </c:pt>
                <c:pt idx="65">
                  <c:v>377.2540250882962</c:v>
                </c:pt>
                <c:pt idx="66">
                  <c:v>381.99150616768441</c:v>
                </c:pt>
                <c:pt idx="67">
                  <c:v>386.72898724707272</c:v>
                </c:pt>
                <c:pt idx="68">
                  <c:v>391.46646832646104</c:v>
                </c:pt>
                <c:pt idx="69">
                  <c:v>396.20394940584924</c:v>
                </c:pt>
                <c:pt idx="70">
                  <c:v>400.94143048523756</c:v>
                </c:pt>
                <c:pt idx="71">
                  <c:v>405.67891156462576</c:v>
                </c:pt>
                <c:pt idx="72">
                  <c:v>410.41639264401408</c:v>
                </c:pt>
                <c:pt idx="73">
                  <c:v>415.1538737234024</c:v>
                </c:pt>
                <c:pt idx="74">
                  <c:v>419.8913548027906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C-4A5F-BA4C-879771DE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'1.Trend&amp;Seas7Period'!$H$3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'1.Trend&amp;Seas7Period'!$C$4:$C$78</c:f>
              <c:numCache>
                <c:formatCode>0</c:formatCode>
                <c:ptCount val="75"/>
                <c:pt idx="0">
                  <c:v>35</c:v>
                </c:pt>
                <c:pt idx="1">
                  <c:v>74</c:v>
                </c:pt>
                <c:pt idx="2">
                  <c:v>89</c:v>
                </c:pt>
                <c:pt idx="3">
                  <c:v>163</c:v>
                </c:pt>
                <c:pt idx="4">
                  <c:v>41</c:v>
                </c:pt>
                <c:pt idx="5">
                  <c:v>73</c:v>
                </c:pt>
                <c:pt idx="6">
                  <c:v>29</c:v>
                </c:pt>
                <c:pt idx="7">
                  <c:v>54</c:v>
                </c:pt>
                <c:pt idx="8">
                  <c:v>79</c:v>
                </c:pt>
                <c:pt idx="9">
                  <c:v>124</c:v>
                </c:pt>
                <c:pt idx="10">
                  <c:v>229</c:v>
                </c:pt>
                <c:pt idx="11">
                  <c:v>194</c:v>
                </c:pt>
                <c:pt idx="12">
                  <c:v>92</c:v>
                </c:pt>
                <c:pt idx="13">
                  <c:v>58</c:v>
                </c:pt>
                <c:pt idx="14">
                  <c:v>71</c:v>
                </c:pt>
                <c:pt idx="15">
                  <c:v>130</c:v>
                </c:pt>
                <c:pt idx="16">
                  <c:v>186</c:v>
                </c:pt>
                <c:pt idx="17">
                  <c:v>286</c:v>
                </c:pt>
                <c:pt idx="18">
                  <c:v>150</c:v>
                </c:pt>
                <c:pt idx="19">
                  <c:v>102</c:v>
                </c:pt>
                <c:pt idx="20">
                  <c:v>47</c:v>
                </c:pt>
                <c:pt idx="21">
                  <c:v>82</c:v>
                </c:pt>
                <c:pt idx="22">
                  <c:v>211</c:v>
                </c:pt>
                <c:pt idx="23">
                  <c:v>161</c:v>
                </c:pt>
                <c:pt idx="24">
                  <c:v>315</c:v>
                </c:pt>
                <c:pt idx="25">
                  <c:v>337</c:v>
                </c:pt>
                <c:pt idx="26">
                  <c:v>225</c:v>
                </c:pt>
                <c:pt idx="27">
                  <c:v>75</c:v>
                </c:pt>
                <c:pt idx="28">
                  <c:v>104</c:v>
                </c:pt>
                <c:pt idx="29">
                  <c:v>230</c:v>
                </c:pt>
                <c:pt idx="30">
                  <c:v>214</c:v>
                </c:pt>
                <c:pt idx="31">
                  <c:v>446</c:v>
                </c:pt>
                <c:pt idx="32">
                  <c:v>220</c:v>
                </c:pt>
                <c:pt idx="33">
                  <c:v>219</c:v>
                </c:pt>
                <c:pt idx="34">
                  <c:v>97</c:v>
                </c:pt>
                <c:pt idx="35">
                  <c:v>94</c:v>
                </c:pt>
                <c:pt idx="36">
                  <c:v>285</c:v>
                </c:pt>
                <c:pt idx="37">
                  <c:v>365</c:v>
                </c:pt>
                <c:pt idx="38">
                  <c:v>492</c:v>
                </c:pt>
                <c:pt idx="39">
                  <c:v>161</c:v>
                </c:pt>
                <c:pt idx="40">
                  <c:v>197</c:v>
                </c:pt>
                <c:pt idx="41">
                  <c:v>131</c:v>
                </c:pt>
                <c:pt idx="42">
                  <c:v>161</c:v>
                </c:pt>
                <c:pt idx="43">
                  <c:v>201</c:v>
                </c:pt>
                <c:pt idx="44">
                  <c:v>415</c:v>
                </c:pt>
                <c:pt idx="45">
                  <c:v>494</c:v>
                </c:pt>
                <c:pt idx="46">
                  <c:v>362</c:v>
                </c:pt>
                <c:pt idx="47">
                  <c:v>255</c:v>
                </c:pt>
                <c:pt idx="48">
                  <c:v>173</c:v>
                </c:pt>
                <c:pt idx="49">
                  <c:v>128</c:v>
                </c:pt>
                <c:pt idx="50">
                  <c:v>295</c:v>
                </c:pt>
                <c:pt idx="51">
                  <c:v>317</c:v>
                </c:pt>
                <c:pt idx="52">
                  <c:v>556</c:v>
                </c:pt>
                <c:pt idx="53">
                  <c:v>507</c:v>
                </c:pt>
                <c:pt idx="54">
                  <c:v>228</c:v>
                </c:pt>
                <c:pt idx="55">
                  <c:v>159</c:v>
                </c:pt>
                <c:pt idx="56">
                  <c:v>153</c:v>
                </c:pt>
                <c:pt idx="57">
                  <c:v>268</c:v>
                </c:pt>
                <c:pt idx="58">
                  <c:v>447</c:v>
                </c:pt>
                <c:pt idx="59">
                  <c:v>523</c:v>
                </c:pt>
                <c:pt idx="60">
                  <c:v>559</c:v>
                </c:pt>
                <c:pt idx="61">
                  <c:v>332</c:v>
                </c:pt>
                <c:pt idx="62">
                  <c:v>203</c:v>
                </c:pt>
                <c:pt idx="63">
                  <c:v>205</c:v>
                </c:pt>
                <c:pt idx="64">
                  <c:v>383</c:v>
                </c:pt>
                <c:pt idx="65">
                  <c:v>320</c:v>
                </c:pt>
                <c:pt idx="66">
                  <c:v>699</c:v>
                </c:pt>
                <c:pt idx="67">
                  <c:v>480</c:v>
                </c:pt>
                <c:pt idx="68">
                  <c:v>323</c:v>
                </c:pt>
                <c:pt idx="69">
                  <c:v>160</c:v>
                </c:pt>
                <c:pt idx="70">
                  <c:v>105</c:v>
                </c:pt>
                <c:pt idx="71">
                  <c:v>433</c:v>
                </c:pt>
                <c:pt idx="72">
                  <c:v>628</c:v>
                </c:pt>
                <c:pt idx="73">
                  <c:v>674</c:v>
                </c:pt>
                <c:pt idx="74">
                  <c:v>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7D-4CCA-AEB9-12A70CFB429B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'1.Trend&amp;Seas7Period'!$A$4:$A$78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'1.Trend&amp;Seas7Period'!$H$4:$H$83</c:f>
              <c:numCache>
                <c:formatCode>0.00</c:formatCode>
                <c:ptCount val="80"/>
                <c:pt idx="0">
                  <c:v>33.360719308773639</c:v>
                </c:pt>
                <c:pt idx="1">
                  <c:v>72.974353946952874</c:v>
                </c:pt>
                <c:pt idx="2">
                  <c:v>94.620030020801437</c:v>
                </c:pt>
                <c:pt idx="3">
                  <c:v>153.26661301284511</c:v>
                </c:pt>
                <c:pt idx="4">
                  <c:v>107.26754691051771</c:v>
                </c:pt>
                <c:pt idx="5">
                  <c:v>78.497096895970941</c:v>
                </c:pt>
                <c:pt idx="6">
                  <c:v>42.843039146360361</c:v>
                </c:pt>
                <c:pt idx="7">
                  <c:v>49.320850112041732</c:v>
                </c:pt>
                <c:pt idx="8">
                  <c:v>105.65269619795284</c:v>
                </c:pt>
                <c:pt idx="9">
                  <c:v>134.44381487930301</c:v>
                </c:pt>
                <c:pt idx="10">
                  <c:v>214.11507101168218</c:v>
                </c:pt>
                <c:pt idx="11">
                  <c:v>147.56820789819943</c:v>
                </c:pt>
                <c:pt idx="12">
                  <c:v>106.48639953492651</c:v>
                </c:pt>
                <c:pt idx="13">
                  <c:v>57.378932498141985</c:v>
                </c:pt>
                <c:pt idx="14">
                  <c:v>65.280980915309812</c:v>
                </c:pt>
                <c:pt idx="15">
                  <c:v>138.3310384489528</c:v>
                </c:pt>
                <c:pt idx="16">
                  <c:v>174.2675997378046</c:v>
                </c:pt>
                <c:pt idx="17">
                  <c:v>274.96352901051927</c:v>
                </c:pt>
                <c:pt idx="18">
                  <c:v>187.86886888588114</c:v>
                </c:pt>
                <c:pt idx="19">
                  <c:v>134.4757021738821</c:v>
                </c:pt>
                <c:pt idx="20">
                  <c:v>71.914825849923602</c:v>
                </c:pt>
                <c:pt idx="21">
                  <c:v>81.241111718577912</c:v>
                </c:pt>
                <c:pt idx="22">
                  <c:v>171.00938069995277</c:v>
                </c:pt>
                <c:pt idx="23">
                  <c:v>214.09138459630614</c:v>
                </c:pt>
                <c:pt idx="24">
                  <c:v>335.8119870093563</c:v>
                </c:pt>
                <c:pt idx="25">
                  <c:v>228.16952987356285</c:v>
                </c:pt>
                <c:pt idx="26">
                  <c:v>162.46500481283766</c:v>
                </c:pt>
                <c:pt idx="27">
                  <c:v>86.450719201705226</c:v>
                </c:pt>
                <c:pt idx="28">
                  <c:v>97.201242521845998</c:v>
                </c:pt>
                <c:pt idx="29">
                  <c:v>203.68772295095272</c:v>
                </c:pt>
                <c:pt idx="30">
                  <c:v>253.91516945480771</c:v>
                </c:pt>
                <c:pt idx="31">
                  <c:v>396.66044500819339</c:v>
                </c:pt>
                <c:pt idx="32">
                  <c:v>268.47019086124459</c:v>
                </c:pt>
                <c:pt idx="33">
                  <c:v>190.45430745179323</c:v>
                </c:pt>
                <c:pt idx="34">
                  <c:v>100.98661255348685</c:v>
                </c:pt>
                <c:pt idx="35">
                  <c:v>113.16137332511408</c:v>
                </c:pt>
                <c:pt idx="36">
                  <c:v>236.36606520195267</c:v>
                </c:pt>
                <c:pt idx="37">
                  <c:v>293.73895431330931</c:v>
                </c:pt>
                <c:pt idx="38">
                  <c:v>457.50890300703043</c:v>
                </c:pt>
                <c:pt idx="39">
                  <c:v>308.77085184892627</c:v>
                </c:pt>
                <c:pt idx="40">
                  <c:v>218.44361009074879</c:v>
                </c:pt>
                <c:pt idx="41">
                  <c:v>115.52250590526847</c:v>
                </c:pt>
                <c:pt idx="42">
                  <c:v>129.12150412838218</c:v>
                </c:pt>
                <c:pt idx="43">
                  <c:v>269.04440745295261</c:v>
                </c:pt>
                <c:pt idx="44">
                  <c:v>333.5627391718109</c:v>
                </c:pt>
                <c:pt idx="45">
                  <c:v>518.35736100586757</c:v>
                </c:pt>
                <c:pt idx="46">
                  <c:v>349.07151283660795</c:v>
                </c:pt>
                <c:pt idx="47">
                  <c:v>246.43291272970441</c:v>
                </c:pt>
                <c:pt idx="48">
                  <c:v>130.0583992570501</c:v>
                </c:pt>
                <c:pt idx="49">
                  <c:v>145.08163493165026</c:v>
                </c:pt>
                <c:pt idx="50">
                  <c:v>301.72274970395262</c:v>
                </c:pt>
                <c:pt idx="51">
                  <c:v>373.38652403031239</c:v>
                </c:pt>
                <c:pt idx="52">
                  <c:v>579.20581900470461</c:v>
                </c:pt>
                <c:pt idx="53">
                  <c:v>389.37217382428975</c:v>
                </c:pt>
                <c:pt idx="54">
                  <c:v>274.42221536865992</c:v>
                </c:pt>
                <c:pt idx="55">
                  <c:v>144.59429260883169</c:v>
                </c:pt>
                <c:pt idx="56">
                  <c:v>161.04176573491839</c:v>
                </c:pt>
                <c:pt idx="57">
                  <c:v>334.40109195495251</c:v>
                </c:pt>
                <c:pt idx="58">
                  <c:v>413.21030888881404</c:v>
                </c:pt>
                <c:pt idx="59">
                  <c:v>640.05427700354176</c:v>
                </c:pt>
                <c:pt idx="60">
                  <c:v>429.67283481197137</c:v>
                </c:pt>
                <c:pt idx="61">
                  <c:v>302.41151800761554</c:v>
                </c:pt>
                <c:pt idx="62">
                  <c:v>159.13018596061335</c:v>
                </c:pt>
                <c:pt idx="63">
                  <c:v>177.00189653818643</c:v>
                </c:pt>
                <c:pt idx="64">
                  <c:v>367.07943420595251</c:v>
                </c:pt>
                <c:pt idx="65">
                  <c:v>453.03409374731564</c:v>
                </c:pt>
                <c:pt idx="66">
                  <c:v>700.90273500237868</c:v>
                </c:pt>
                <c:pt idx="67">
                  <c:v>469.97349579965311</c:v>
                </c:pt>
                <c:pt idx="68">
                  <c:v>330.40082064657116</c:v>
                </c:pt>
                <c:pt idx="69">
                  <c:v>173.66607931239494</c:v>
                </c:pt>
                <c:pt idx="70">
                  <c:v>192.96202734145456</c:v>
                </c:pt>
                <c:pt idx="71">
                  <c:v>399.7577764569524</c:v>
                </c:pt>
                <c:pt idx="72">
                  <c:v>492.85787860581712</c:v>
                </c:pt>
                <c:pt idx="73">
                  <c:v>761.75119300121582</c:v>
                </c:pt>
                <c:pt idx="74">
                  <c:v>510.27415678733473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7D-4CCA-AEB9-12A70CFB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384788</xdr:colOff>
      <xdr:row>18</xdr:row>
      <xdr:rowOff>160697</xdr:rowOff>
    </xdr:from>
    <xdr:to>
      <xdr:col>29</xdr:col>
      <xdr:colOff>260924</xdr:colOff>
      <xdr:row>34</xdr:row>
      <xdr:rowOff>52504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335671</xdr:colOff>
      <xdr:row>9</xdr:row>
      <xdr:rowOff>5225</xdr:rowOff>
    </xdr:from>
    <xdr:to>
      <xdr:col>20</xdr:col>
      <xdr:colOff>545849</xdr:colOff>
      <xdr:row>24</xdr:row>
      <xdr:rowOff>126680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7FCF6-A863-488B-925E-52F455982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582745</xdr:colOff>
      <xdr:row>6</xdr:row>
      <xdr:rowOff>182443</xdr:rowOff>
    </xdr:from>
    <xdr:to>
      <xdr:col>23</xdr:col>
      <xdr:colOff>177309</xdr:colOff>
      <xdr:row>22</xdr:row>
      <xdr:rowOff>130369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3EB3D6-7AE9-4F39-8E01-EA14AB907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105139</xdr:colOff>
      <xdr:row>22</xdr:row>
      <xdr:rowOff>89695</xdr:rowOff>
    </xdr:from>
    <xdr:to>
      <xdr:col>16</xdr:col>
      <xdr:colOff>585503</xdr:colOff>
      <xdr:row>38</xdr:row>
      <xdr:rowOff>42840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4A46EB-D901-4144-A7C1-0ECD7108D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61501</xdr:colOff>
      <xdr:row>28</xdr:row>
      <xdr:rowOff>82049</xdr:rowOff>
    </xdr:from>
    <xdr:to>
      <xdr:col>20</xdr:col>
      <xdr:colOff>268383</xdr:colOff>
      <xdr:row>44</xdr:row>
      <xdr:rowOff>62623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5C2B8E-2560-47EB-99E0-1EADC3AAF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Forecasting\ES-Adv-2020\NameItSh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TrendAndSeasonalityOddEv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  <row r="3">
          <cell r="B3">
            <v>25</v>
          </cell>
        </row>
        <row r="4">
          <cell r="B4">
            <v>33</v>
          </cell>
        </row>
        <row r="5">
          <cell r="B5">
            <v>72</v>
          </cell>
        </row>
        <row r="6">
          <cell r="B6">
            <v>67</v>
          </cell>
        </row>
        <row r="7">
          <cell r="B7">
            <v>35</v>
          </cell>
        </row>
        <row r="8">
          <cell r="B8">
            <v>42</v>
          </cell>
        </row>
        <row r="9">
          <cell r="B9">
            <v>44</v>
          </cell>
        </row>
        <row r="10">
          <cell r="B10">
            <v>51</v>
          </cell>
        </row>
        <row r="11">
          <cell r="B11">
            <v>39</v>
          </cell>
        </row>
        <row r="12">
          <cell r="B12">
            <v>46</v>
          </cell>
        </row>
        <row r="13">
          <cell r="B13">
            <v>41</v>
          </cell>
        </row>
        <row r="14">
          <cell r="B14">
            <v>69</v>
          </cell>
        </row>
        <row r="15">
          <cell r="B15">
            <v>28</v>
          </cell>
        </row>
        <row r="16">
          <cell r="B16">
            <v>82</v>
          </cell>
        </row>
        <row r="17">
          <cell r="B17">
            <v>65</v>
          </cell>
        </row>
        <row r="18">
          <cell r="B18">
            <v>47</v>
          </cell>
        </row>
        <row r="19">
          <cell r="B19">
            <v>53</v>
          </cell>
        </row>
        <row r="20">
          <cell r="B20">
            <v>90</v>
          </cell>
        </row>
        <row r="21">
          <cell r="B21">
            <v>56</v>
          </cell>
        </row>
        <row r="22">
          <cell r="B22">
            <v>51</v>
          </cell>
        </row>
        <row r="23">
          <cell r="B23">
            <v>40</v>
          </cell>
        </row>
        <row r="24">
          <cell r="B24">
            <v>61</v>
          </cell>
        </row>
        <row r="25">
          <cell r="B25">
            <v>72</v>
          </cell>
        </row>
        <row r="26">
          <cell r="B26">
            <v>39</v>
          </cell>
        </row>
        <row r="27">
          <cell r="B27">
            <v>31</v>
          </cell>
        </row>
        <row r="28">
          <cell r="B28">
            <v>62</v>
          </cell>
        </row>
        <row r="29">
          <cell r="B29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"/>
      <sheetName val="Sheet2"/>
      <sheetName val="0.Regression"/>
      <sheetName val="TrAdES"/>
      <sheetName val="TrAdES2"/>
      <sheetName val="Sheet1"/>
    </sheetNames>
    <sheetDataSet>
      <sheetData sheetId="0">
        <row r="3">
          <cell r="D3">
            <v>43</v>
          </cell>
        </row>
        <row r="4">
          <cell r="D4">
            <v>80</v>
          </cell>
        </row>
        <row r="5">
          <cell r="D5">
            <v>127</v>
          </cell>
        </row>
        <row r="6">
          <cell r="D6">
            <v>177</v>
          </cell>
        </row>
        <row r="7">
          <cell r="D7">
            <v>178</v>
          </cell>
        </row>
        <row r="8">
          <cell r="D8">
            <v>96</v>
          </cell>
        </row>
        <row r="9">
          <cell r="D9">
            <v>63</v>
          </cell>
        </row>
        <row r="10">
          <cell r="D10">
            <v>68</v>
          </cell>
        </row>
        <row r="11">
          <cell r="D11">
            <v>152</v>
          </cell>
        </row>
        <row r="12">
          <cell r="D12">
            <v>271</v>
          </cell>
        </row>
        <row r="13">
          <cell r="D13">
            <v>318</v>
          </cell>
        </row>
        <row r="14">
          <cell r="D14">
            <v>263</v>
          </cell>
        </row>
        <row r="15">
          <cell r="D15">
            <v>162</v>
          </cell>
        </row>
        <row r="16">
          <cell r="D16">
            <v>100</v>
          </cell>
        </row>
        <row r="17">
          <cell r="D17">
            <v>87</v>
          </cell>
        </row>
        <row r="18">
          <cell r="D18">
            <v>185</v>
          </cell>
        </row>
        <row r="19">
          <cell r="D19">
            <v>336</v>
          </cell>
        </row>
        <row r="20">
          <cell r="D20">
            <v>319</v>
          </cell>
        </row>
        <row r="21">
          <cell r="D21">
            <v>272</v>
          </cell>
        </row>
        <row r="22">
          <cell r="D22">
            <v>211</v>
          </cell>
        </row>
        <row r="23">
          <cell r="D23">
            <v>93</v>
          </cell>
        </row>
        <row r="24">
          <cell r="D24">
            <v>154</v>
          </cell>
        </row>
        <row r="25">
          <cell r="D25">
            <v>278</v>
          </cell>
        </row>
        <row r="26">
          <cell r="D26">
            <v>446</v>
          </cell>
        </row>
        <row r="27">
          <cell r="D27">
            <v>520</v>
          </cell>
        </row>
        <row r="28">
          <cell r="D28">
            <v>242</v>
          </cell>
        </row>
        <row r="29">
          <cell r="D29">
            <v>277</v>
          </cell>
        </row>
        <row r="30">
          <cell r="D30">
            <v>105</v>
          </cell>
        </row>
        <row r="31">
          <cell r="D31">
            <v>89</v>
          </cell>
        </row>
        <row r="32">
          <cell r="D32">
            <v>263</v>
          </cell>
        </row>
        <row r="33">
          <cell r="D33">
            <v>603</v>
          </cell>
        </row>
        <row r="34">
          <cell r="D34">
            <v>667</v>
          </cell>
        </row>
        <row r="35">
          <cell r="D35">
            <v>323</v>
          </cell>
        </row>
        <row r="36">
          <cell r="D36">
            <v>415</v>
          </cell>
        </row>
        <row r="37">
          <cell r="D37">
            <v>224</v>
          </cell>
        </row>
        <row r="38">
          <cell r="D38">
            <v>201</v>
          </cell>
        </row>
        <row r="39">
          <cell r="D39">
            <v>331</v>
          </cell>
        </row>
        <row r="40">
          <cell r="D40">
            <v>640</v>
          </cell>
        </row>
        <row r="41">
          <cell r="D41">
            <v>977</v>
          </cell>
        </row>
        <row r="42">
          <cell r="D42">
            <v>453</v>
          </cell>
        </row>
        <row r="43">
          <cell r="D43">
            <v>260</v>
          </cell>
        </row>
        <row r="44">
          <cell r="D44">
            <v>225</v>
          </cell>
        </row>
        <row r="45">
          <cell r="D45">
            <v>244</v>
          </cell>
        </row>
        <row r="46">
          <cell r="D46">
            <v>451</v>
          </cell>
        </row>
        <row r="47">
          <cell r="D47">
            <v>497</v>
          </cell>
        </row>
        <row r="48">
          <cell r="D48">
            <v>905</v>
          </cell>
        </row>
        <row r="49">
          <cell r="D49">
            <v>526</v>
          </cell>
        </row>
        <row r="50">
          <cell r="D50">
            <v>353</v>
          </cell>
        </row>
        <row r="51">
          <cell r="D51">
            <v>169</v>
          </cell>
        </row>
        <row r="52">
          <cell r="D52">
            <v>207</v>
          </cell>
        </row>
        <row r="53">
          <cell r="D53">
            <v>341</v>
          </cell>
        </row>
        <row r="54">
          <cell r="D54">
            <v>836</v>
          </cell>
        </row>
        <row r="55">
          <cell r="D55">
            <v>951</v>
          </cell>
        </row>
        <row r="56">
          <cell r="D56">
            <v>390</v>
          </cell>
        </row>
        <row r="57">
          <cell r="D57">
            <v>661</v>
          </cell>
        </row>
        <row r="58">
          <cell r="D58">
            <v>245</v>
          </cell>
        </row>
        <row r="59">
          <cell r="D59">
            <v>219</v>
          </cell>
        </row>
        <row r="60">
          <cell r="D60">
            <v>340</v>
          </cell>
        </row>
        <row r="61">
          <cell r="D61">
            <v>453</v>
          </cell>
        </row>
        <row r="62">
          <cell r="D62">
            <v>1265</v>
          </cell>
        </row>
        <row r="63">
          <cell r="D63">
            <v>550</v>
          </cell>
        </row>
        <row r="64">
          <cell r="D64">
            <v>545</v>
          </cell>
        </row>
        <row r="65">
          <cell r="D65">
            <v>304</v>
          </cell>
        </row>
        <row r="66">
          <cell r="D66">
            <v>343</v>
          </cell>
        </row>
        <row r="67">
          <cell r="D67">
            <v>546</v>
          </cell>
        </row>
        <row r="68">
          <cell r="D68">
            <v>926</v>
          </cell>
        </row>
        <row r="69">
          <cell r="D69">
            <v>843</v>
          </cell>
        </row>
        <row r="70">
          <cell r="D70">
            <v>811</v>
          </cell>
        </row>
        <row r="71">
          <cell r="D71">
            <v>381</v>
          </cell>
        </row>
        <row r="72">
          <cell r="D72">
            <v>230</v>
          </cell>
        </row>
        <row r="73">
          <cell r="D73">
            <v>234</v>
          </cell>
        </row>
        <row r="74">
          <cell r="D74">
            <v>505</v>
          </cell>
        </row>
        <row r="75">
          <cell r="D75">
            <v>1143</v>
          </cell>
        </row>
        <row r="76">
          <cell r="D76">
            <v>1083</v>
          </cell>
        </row>
        <row r="77">
          <cell r="D77">
            <v>1045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C20-F0E7-49C6-8378-085D5244E72C}">
  <sheetPr>
    <tabColor rgb="FF92D050"/>
  </sheetPr>
  <dimension ref="A1:BN300"/>
  <sheetViews>
    <sheetView zoomScale="96" zoomScaleNormal="96" workbookViewId="0">
      <selection activeCell="D3" sqref="D3"/>
    </sheetView>
  </sheetViews>
  <sheetFormatPr defaultColWidth="9.140625" defaultRowHeight="15" x14ac:dyDescent="0.25"/>
  <cols>
    <col min="1" max="1" width="4.5703125" style="5" bestFit="1" customWidth="1"/>
    <col min="2" max="2" width="11.42578125" style="5" bestFit="1" customWidth="1"/>
    <col min="3" max="3" width="13" style="5" customWidth="1"/>
    <col min="4" max="4" width="8.7109375" style="5" customWidth="1"/>
    <col min="5" max="5" width="12.42578125" style="5" bestFit="1" customWidth="1"/>
    <col min="6" max="6" width="9.7109375" style="5" customWidth="1"/>
    <col min="7" max="18" width="9.140625" style="5"/>
    <col min="19" max="19" width="10.85546875" style="5" customWidth="1"/>
    <col min="20" max="20" width="12.140625" style="5" bestFit="1" customWidth="1"/>
    <col min="21" max="24" width="9.28515625" style="5" bestFit="1" customWidth="1"/>
    <col min="25" max="26" width="9.140625" style="5"/>
    <col min="27" max="27" width="9.28515625" style="5" bestFit="1" customWidth="1"/>
    <col min="28" max="38" width="9.140625" style="5"/>
    <col min="39" max="39" width="9.140625" style="5" customWidth="1"/>
    <col min="40" max="42" width="9.140625" style="5"/>
    <col min="43" max="43" width="9.28515625" bestFit="1" customWidth="1"/>
    <col min="44" max="44" width="14" customWidth="1"/>
    <col min="45" max="45" width="12.28515625" customWidth="1"/>
    <col min="46" max="46" width="10.140625" bestFit="1" customWidth="1"/>
    <col min="47" max="47" width="10.140625" customWidth="1"/>
    <col min="48" max="50" width="9.28515625" customWidth="1"/>
    <col min="51" max="51" width="9.28515625" bestFit="1" customWidth="1"/>
    <col min="52" max="52" width="12.28515625" bestFit="1" customWidth="1"/>
    <col min="62" max="16384" width="9.140625" style="5"/>
  </cols>
  <sheetData>
    <row r="1" spans="1:66" ht="15.75" thickBot="1" x14ac:dyDescent="0.3">
      <c r="D1" s="13" t="s">
        <v>7</v>
      </c>
      <c r="E1" s="14">
        <v>1</v>
      </c>
      <c r="F1" s="13" t="s">
        <v>54</v>
      </c>
      <c r="G1" s="3">
        <v>0.31904520104151834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66" customFormat="1" ht="17.25" thickBot="1" x14ac:dyDescent="0.35">
      <c r="A2" s="6" t="s">
        <v>3</v>
      </c>
      <c r="B2" s="43" t="s">
        <v>40</v>
      </c>
      <c r="C2" s="7" t="s">
        <v>8</v>
      </c>
      <c r="D2" s="7" t="s">
        <v>4</v>
      </c>
      <c r="E2" s="1" t="s">
        <v>10</v>
      </c>
      <c r="F2" s="1" t="s">
        <v>11</v>
      </c>
      <c r="G2" s="1" t="s">
        <v>12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66" customFormat="1" x14ac:dyDescent="0.25">
      <c r="A3" s="5">
        <v>0</v>
      </c>
      <c r="B3" s="5">
        <f>B4</f>
        <v>50</v>
      </c>
      <c r="C3" s="41">
        <f>B4</f>
        <v>50</v>
      </c>
      <c r="D3" s="41">
        <f>(B31-B4)/(A31-1)</f>
        <v>-7.407407407407407E-2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5"/>
      <c r="AI3" s="5"/>
      <c r="AJ3" s="5"/>
      <c r="AK3" s="5"/>
      <c r="AL3" s="5"/>
      <c r="AM3" s="5"/>
      <c r="AN3" s="5"/>
      <c r="AO3" s="5"/>
      <c r="AP3" s="5"/>
      <c r="BJ3" s="5"/>
      <c r="BK3" s="5"/>
      <c r="BL3" s="5"/>
      <c r="BM3" s="5"/>
      <c r="BN3" s="5"/>
    </row>
    <row r="4" spans="1:66" customFormat="1" ht="16.5" x14ac:dyDescent="0.3">
      <c r="A4" s="12">
        <v>1</v>
      </c>
      <c r="B4" s="40">
        <f>'[1]1.StatFitPoissNorm'!B2</f>
        <v>50</v>
      </c>
      <c r="C4" s="42">
        <f t="shared" ref="C4:C31" si="0">$E$1*B4+(1-$E$1)*E4</f>
        <v>50</v>
      </c>
      <c r="D4" s="42">
        <f t="shared" ref="D4:D31" si="1">(1-$G$1)*D3+$G$1*(C4-C3)</f>
        <v>-5.0441096219146789E-2</v>
      </c>
      <c r="E4" s="41">
        <f t="shared" ref="E4:E32" si="2">C3+D3</f>
        <v>49.925925925925924</v>
      </c>
      <c r="F4" s="11">
        <f t="shared" ref="F4:F31" si="3">(B4-E4)^2</f>
        <v>5.4869684499317247E-3</v>
      </c>
      <c r="G4" s="11">
        <f>AVERAGE(F$4:F4)</f>
        <v>5.4869684499317247E-3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"/>
      <c r="T4" s="5"/>
      <c r="V4">
        <v>0.9</v>
      </c>
      <c r="AI4" s="5"/>
      <c r="AJ4" s="5"/>
      <c r="AK4" s="5"/>
      <c r="AL4" s="5"/>
      <c r="AM4" s="5"/>
      <c r="AN4" s="5"/>
      <c r="AO4" s="5"/>
      <c r="AP4" s="5"/>
      <c r="BJ4" s="5"/>
      <c r="BK4" s="5"/>
      <c r="BL4" s="5"/>
      <c r="BM4" s="5"/>
      <c r="BN4" s="5"/>
    </row>
    <row r="5" spans="1:66" customFormat="1" ht="16.5" x14ac:dyDescent="0.3">
      <c r="A5" s="12">
        <v>2</v>
      </c>
      <c r="B5" s="40">
        <f>'[1]1.StatFitPoissNorm'!B3</f>
        <v>25</v>
      </c>
      <c r="C5" s="42">
        <f t="shared" si="0"/>
        <v>25</v>
      </c>
      <c r="D5" s="42">
        <f t="shared" si="1"/>
        <v>-8.0104781325731143</v>
      </c>
      <c r="E5" s="41">
        <f t="shared" si="2"/>
        <v>49.949558903780854</v>
      </c>
      <c r="F5" s="11">
        <f t="shared" si="3"/>
        <v>622.48048949323049</v>
      </c>
      <c r="G5" s="11">
        <f>AVERAGE(F$4:F5)</f>
        <v>311.24298823084024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5"/>
      <c r="T5" s="5"/>
      <c r="V5">
        <v>0.01</v>
      </c>
      <c r="AI5" s="5"/>
      <c r="AJ5" s="5"/>
      <c r="AK5" s="5"/>
      <c r="AL5" s="5"/>
      <c r="AM5" s="5"/>
      <c r="AN5" s="5"/>
      <c r="AO5" s="5"/>
      <c r="AP5" s="5"/>
      <c r="BJ5" s="5"/>
      <c r="BK5" s="5"/>
      <c r="BL5" s="5"/>
      <c r="BM5" s="5"/>
      <c r="BN5" s="5"/>
    </row>
    <row r="6" spans="1:66" customFormat="1" ht="16.5" x14ac:dyDescent="0.3">
      <c r="A6" s="12">
        <v>3</v>
      </c>
      <c r="B6" s="40">
        <f>'[1]1.StatFitPoissNorm'!B4</f>
        <v>33</v>
      </c>
      <c r="C6" s="42">
        <f t="shared" si="0"/>
        <v>33</v>
      </c>
      <c r="D6" s="42">
        <f t="shared" si="1"/>
        <v>-2.9024119179954919</v>
      </c>
      <c r="E6" s="41">
        <f t="shared" si="2"/>
        <v>16.989521867426888</v>
      </c>
      <c r="F6" s="11">
        <f t="shared" si="3"/>
        <v>256.33541003360182</v>
      </c>
      <c r="G6" s="11">
        <f>AVERAGE(F$4:F6)</f>
        <v>292.94046216509406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5"/>
      <c r="T6" s="5">
        <v>0.2</v>
      </c>
      <c r="U6">
        <v>0.02</v>
      </c>
      <c r="V6" s="10">
        <f>G31</f>
        <v>746.72247994877853</v>
      </c>
      <c r="W6">
        <f>T6</f>
        <v>0.2</v>
      </c>
      <c r="X6">
        <f t="shared" ref="X6:AG6" si="4">W6+$U$6</f>
        <v>0.22</v>
      </c>
      <c r="Y6">
        <f t="shared" si="4"/>
        <v>0.24</v>
      </c>
      <c r="Z6">
        <f t="shared" si="4"/>
        <v>0.26</v>
      </c>
      <c r="AA6">
        <f t="shared" si="4"/>
        <v>0.28000000000000003</v>
      </c>
      <c r="AB6">
        <f t="shared" si="4"/>
        <v>0.30000000000000004</v>
      </c>
      <c r="AC6">
        <f t="shared" si="4"/>
        <v>0.32000000000000006</v>
      </c>
      <c r="AD6">
        <f t="shared" si="4"/>
        <v>0.34000000000000008</v>
      </c>
      <c r="AE6">
        <f t="shared" si="4"/>
        <v>0.3600000000000001</v>
      </c>
      <c r="AF6">
        <f t="shared" si="4"/>
        <v>0.38000000000000012</v>
      </c>
      <c r="AG6">
        <f t="shared" si="4"/>
        <v>0.40000000000000013</v>
      </c>
      <c r="AI6" s="5"/>
      <c r="AJ6" s="5"/>
      <c r="AK6" s="5"/>
      <c r="AL6" s="5"/>
      <c r="AM6" s="5"/>
      <c r="AN6" s="5"/>
      <c r="AO6" s="5"/>
      <c r="AP6" s="5"/>
      <c r="BJ6" s="5"/>
      <c r="BK6" s="5"/>
      <c r="BL6" s="5"/>
      <c r="BM6" s="5"/>
      <c r="BN6" s="5"/>
    </row>
    <row r="7" spans="1:66" customFormat="1" ht="16.5" x14ac:dyDescent="0.3">
      <c r="A7" s="12">
        <v>4</v>
      </c>
      <c r="B7" s="40">
        <f>'[1]1.StatFitPoissNorm'!B5</f>
        <v>72</v>
      </c>
      <c r="C7" s="42">
        <f t="shared" si="0"/>
        <v>72</v>
      </c>
      <c r="D7" s="42">
        <f t="shared" si="1"/>
        <v>10.466351516505894</v>
      </c>
      <c r="E7" s="41">
        <f t="shared" si="2"/>
        <v>30.097588082004506</v>
      </c>
      <c r="F7" s="11">
        <f t="shared" si="3"/>
        <v>1755.8121245453708</v>
      </c>
      <c r="G7" s="11">
        <f>AVERAGE(F$4:F7)</f>
        <v>658.65837776016326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5"/>
      <c r="T7" s="5"/>
      <c r="V7">
        <f>V4</f>
        <v>0.9</v>
      </c>
      <c r="W7">
        <f t="dataTable" ref="W7:AG17" dt2D="1" dtr="1" r1="G1" r2="E1"/>
        <v>601.46932344147592</v>
      </c>
      <c r="X7">
        <v>612.81120773605221</v>
      </c>
      <c r="Y7">
        <v>624.39180726145321</v>
      </c>
      <c r="Z7">
        <v>636.21498901797099</v>
      </c>
      <c r="AA7">
        <v>648.28439805712719</v>
      </c>
      <c r="AB7">
        <v>660.60350694159297</v>
      </c>
      <c r="AC7">
        <v>673.17563566938122</v>
      </c>
      <c r="AD7">
        <v>686.00395325603756</v>
      </c>
      <c r="AE7">
        <v>699.09146951616083</v>
      </c>
      <c r="AF7">
        <v>712.44102299288591</v>
      </c>
      <c r="AG7">
        <v>726.05526885065842</v>
      </c>
      <c r="AI7" s="5"/>
      <c r="AJ7" s="5"/>
      <c r="AK7" s="5"/>
      <c r="AL7" s="5"/>
      <c r="AM7" s="5"/>
      <c r="AN7" s="5"/>
      <c r="AO7" s="5"/>
      <c r="AP7" s="5"/>
      <c r="BJ7" s="5"/>
      <c r="BK7" s="5"/>
      <c r="BL7" s="5"/>
      <c r="BM7" s="5"/>
      <c r="BN7" s="5"/>
    </row>
    <row r="8" spans="1:66" customFormat="1" ht="16.5" x14ac:dyDescent="0.3">
      <c r="A8" s="12">
        <v>5</v>
      </c>
      <c r="B8" s="40">
        <f>'[1]1.StatFitPoissNorm'!B6</f>
        <v>67</v>
      </c>
      <c r="C8" s="42">
        <f t="shared" si="0"/>
        <v>67</v>
      </c>
      <c r="D8" s="42">
        <f t="shared" si="1"/>
        <v>5.531886287543478</v>
      </c>
      <c r="E8" s="41">
        <f t="shared" si="2"/>
        <v>82.466351516505895</v>
      </c>
      <c r="F8" s="11">
        <f t="shared" si="3"/>
        <v>239.2080292321242</v>
      </c>
      <c r="G8" s="11">
        <f>AVERAGE(F$4:F8)</f>
        <v>574.76830805455552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5"/>
      <c r="T8" s="5"/>
      <c r="V8">
        <f t="shared" ref="V8:V17" si="5">V7+$V$5</f>
        <v>0.91</v>
      </c>
      <c r="W8">
        <v>607.12736073479084</v>
      </c>
      <c r="X8">
        <v>618.67131882295496</v>
      </c>
      <c r="Y8">
        <v>630.45921322917536</v>
      </c>
      <c r="Z8">
        <v>642.49494515485333</v>
      </c>
      <c r="AA8">
        <v>654.78219318202821</v>
      </c>
      <c r="AB8">
        <v>667.32446241696675</v>
      </c>
      <c r="AC8">
        <v>680.12510504443185</v>
      </c>
      <c r="AD8">
        <v>693.18732326543534</v>
      </c>
      <c r="AE8">
        <v>706.51416294418561</v>
      </c>
      <c r="AF8">
        <v>720.10850373864105</v>
      </c>
      <c r="AG8">
        <v>733.97304940764786</v>
      </c>
      <c r="AI8" s="5"/>
      <c r="AJ8" s="5"/>
      <c r="AK8" s="5"/>
      <c r="AL8" s="5"/>
      <c r="AM8" s="5"/>
      <c r="AN8" s="5"/>
      <c r="AO8" s="5"/>
      <c r="AP8" s="5"/>
      <c r="BJ8" s="5"/>
      <c r="BK8" s="5"/>
      <c r="BL8" s="5"/>
      <c r="BM8" s="5"/>
      <c r="BN8" s="5"/>
    </row>
    <row r="9" spans="1:66" customFormat="1" ht="16.5" x14ac:dyDescent="0.3">
      <c r="A9" s="12">
        <v>6</v>
      </c>
      <c r="B9" s="40">
        <f>'[1]1.StatFitPoissNorm'!B7</f>
        <v>35</v>
      </c>
      <c r="C9" s="42">
        <f t="shared" si="0"/>
        <v>35</v>
      </c>
      <c r="D9" s="42">
        <f t="shared" si="1"/>
        <v>-6.442481918533236</v>
      </c>
      <c r="E9" s="41">
        <f t="shared" si="2"/>
        <v>72.531886287543472</v>
      </c>
      <c r="F9" s="11">
        <f t="shared" si="3"/>
        <v>1408.6424883010936</v>
      </c>
      <c r="G9" s="11">
        <f>AVERAGE(F$4:F9)</f>
        <v>713.7473380956452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5"/>
      <c r="T9" s="5"/>
      <c r="V9">
        <f t="shared" si="5"/>
        <v>0.92</v>
      </c>
      <c r="W9">
        <v>612.85178821280465</v>
      </c>
      <c r="X9">
        <v>624.60111045555402</v>
      </c>
      <c r="Y9">
        <v>636.59976219009513</v>
      </c>
      <c r="Z9">
        <v>648.85169198547715</v>
      </c>
      <c r="AA9">
        <v>661.36062664184499</v>
      </c>
      <c r="AB9">
        <v>674.13012036323175</v>
      </c>
      <c r="AC9">
        <v>687.16357624293084</v>
      </c>
      <c r="AD9">
        <v>700.46425082308087</v>
      </c>
      <c r="AE9">
        <v>714.03524985161494</v>
      </c>
      <c r="AF9">
        <v>727.87952084999688</v>
      </c>
      <c r="AG9">
        <v>741.99984607398414</v>
      </c>
      <c r="AI9" s="5"/>
      <c r="AJ9" s="5"/>
      <c r="AK9" s="5"/>
      <c r="AL9" s="5"/>
      <c r="AM9" s="5"/>
      <c r="AN9" s="5"/>
      <c r="AO9" s="5"/>
      <c r="AP9" s="5"/>
      <c r="BJ9" s="5"/>
      <c r="BK9" s="5"/>
      <c r="BL9" s="5"/>
      <c r="BM9" s="5"/>
      <c r="BN9" s="5"/>
    </row>
    <row r="10" spans="1:66" customFormat="1" ht="16.5" x14ac:dyDescent="0.3">
      <c r="A10" s="12">
        <v>7</v>
      </c>
      <c r="B10" s="40">
        <f>'[1]1.StatFitPoissNorm'!B8</f>
        <v>42</v>
      </c>
      <c r="C10" s="42">
        <f t="shared" si="0"/>
        <v>42</v>
      </c>
      <c r="D10" s="42">
        <f t="shared" si="1"/>
        <v>-2.1537225723378244</v>
      </c>
      <c r="E10" s="41">
        <f t="shared" si="2"/>
        <v>28.557518081466764</v>
      </c>
      <c r="F10" s="11">
        <f t="shared" si="3"/>
        <v>180.70032013009299</v>
      </c>
      <c r="G10" s="11">
        <f>AVERAGE(F$4:F10)</f>
        <v>637.59776410056634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5"/>
      <c r="T10" s="5"/>
      <c r="V10">
        <f t="shared" si="5"/>
        <v>0.93</v>
      </c>
      <c r="W10">
        <v>618.64609741228901</v>
      </c>
      <c r="X10">
        <v>630.60435440314518</v>
      </c>
      <c r="Y10">
        <v>642.81753098927118</v>
      </c>
      <c r="Z10">
        <v>655.28963871160545</v>
      </c>
      <c r="AA10">
        <v>668.02446996229207</v>
      </c>
      <c r="AB10">
        <v>681.02564753941374</v>
      </c>
      <c r="AC10">
        <v>694.29664737627627</v>
      </c>
      <c r="AD10">
        <v>707.84080500585389</v>
      </c>
      <c r="AE10">
        <v>721.6613136940897</v>
      </c>
      <c r="AF10">
        <v>735.7612197074435</v>
      </c>
      <c r="AG10">
        <v>750.1434181976</v>
      </c>
      <c r="AI10" s="5"/>
      <c r="AJ10" s="5"/>
      <c r="AK10" s="5"/>
      <c r="AL10" s="5"/>
      <c r="AM10" s="5"/>
      <c r="AN10" s="5"/>
      <c r="AO10" s="5"/>
      <c r="AP10" s="5"/>
      <c r="BJ10" s="5"/>
      <c r="BK10" s="5"/>
      <c r="BL10" s="5"/>
      <c r="BM10" s="5"/>
      <c r="BN10" s="5"/>
    </row>
    <row r="11" spans="1:66" customFormat="1" ht="16.5" x14ac:dyDescent="0.3">
      <c r="A11" s="12">
        <v>8</v>
      </c>
      <c r="B11" s="40">
        <f>'[1]1.StatFitPoissNorm'!B9</f>
        <v>44</v>
      </c>
      <c r="C11" s="42">
        <f t="shared" si="0"/>
        <v>44</v>
      </c>
      <c r="D11" s="42">
        <f t="shared" si="1"/>
        <v>-0.82849731917561042</v>
      </c>
      <c r="E11" s="41">
        <f t="shared" si="2"/>
        <v>39.846277427662173</v>
      </c>
      <c r="F11" s="11">
        <f t="shared" si="3"/>
        <v>17.253411207948776</v>
      </c>
      <c r="G11" s="11">
        <f>AVERAGE(F$4:F11)</f>
        <v>560.05471998898906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5"/>
      <c r="T11" s="5"/>
      <c r="V11">
        <f t="shared" si="5"/>
        <v>0.94000000000000006</v>
      </c>
      <c r="W11">
        <v>624.51404414100205</v>
      </c>
      <c r="X11">
        <v>636.68511203295213</v>
      </c>
      <c r="Y11">
        <v>649.11691386078667</v>
      </c>
      <c r="Z11">
        <v>661.81354241692134</v>
      </c>
      <c r="AA11">
        <v>674.77887600499798</v>
      </c>
      <c r="AB11">
        <v>688.01662874007991</v>
      </c>
      <c r="AC11">
        <v>701.53037485028165</v>
      </c>
      <c r="AD11">
        <v>715.32355735006217</v>
      </c>
      <c r="AE11">
        <v>729.39948884246462</v>
      </c>
      <c r="AF11">
        <v>743.76134978054529</v>
      </c>
      <c r="AG11">
        <v>758.41218758281957</v>
      </c>
      <c r="AI11" s="5"/>
      <c r="AJ11" s="5"/>
      <c r="AK11" s="5"/>
      <c r="AL11" s="5"/>
      <c r="AM11" s="5"/>
      <c r="AN11" s="5"/>
      <c r="AO11" s="5"/>
      <c r="AP11" s="5"/>
      <c r="BJ11" s="5"/>
      <c r="BK11" s="5"/>
      <c r="BL11" s="5"/>
      <c r="BM11" s="5"/>
      <c r="BN11" s="5"/>
    </row>
    <row r="12" spans="1:66" customFormat="1" ht="16.5" x14ac:dyDescent="0.3">
      <c r="A12" s="12">
        <v>9</v>
      </c>
      <c r="B12" s="40">
        <f>'[1]1.StatFitPoissNorm'!B10</f>
        <v>51</v>
      </c>
      <c r="C12" s="42">
        <f t="shared" si="0"/>
        <v>51</v>
      </c>
      <c r="D12" s="42">
        <f t="shared" si="1"/>
        <v>1.6691471818737593</v>
      </c>
      <c r="E12" s="41">
        <f t="shared" si="2"/>
        <v>43.171502680824389</v>
      </c>
      <c r="F12" s="11">
        <f t="shared" si="3"/>
        <v>61.285370276339727</v>
      </c>
      <c r="G12" s="11">
        <f>AVERAGE(F$4:F12)</f>
        <v>504.63590335425022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5"/>
      <c r="T12" s="5"/>
      <c r="V12">
        <f t="shared" si="5"/>
        <v>0.95000000000000007</v>
      </c>
      <c r="W12">
        <v>630.45966331484999</v>
      </c>
      <c r="X12">
        <v>642.84775089270386</v>
      </c>
      <c r="Y12">
        <v>655.50264095990644</v>
      </c>
      <c r="Z12">
        <v>668.42852877827067</v>
      </c>
      <c r="AA12">
        <v>681.62940211637567</v>
      </c>
      <c r="AB12">
        <v>695.10909267352758</v>
      </c>
      <c r="AC12">
        <v>708.87130230220635</v>
      </c>
      <c r="AD12">
        <v>722.91961421986741</v>
      </c>
      <c r="AE12">
        <v>737.25749680417459</v>
      </c>
      <c r="AF12">
        <v>751.88830517951169</v>
      </c>
      <c r="AG12">
        <v>766.81528391281336</v>
      </c>
      <c r="AI12" s="5"/>
      <c r="AJ12" s="5"/>
      <c r="AK12" s="5"/>
      <c r="AL12" s="5"/>
      <c r="AM12" s="5"/>
      <c r="AN12" s="5"/>
      <c r="AO12" s="5"/>
      <c r="AP12" s="5"/>
      <c r="BJ12" s="5"/>
      <c r="BK12" s="5"/>
      <c r="BL12" s="5"/>
      <c r="BM12" s="5"/>
      <c r="BN12" s="5"/>
    </row>
    <row r="13" spans="1:66" customFormat="1" ht="16.5" x14ac:dyDescent="0.3">
      <c r="A13" s="12">
        <v>10</v>
      </c>
      <c r="B13" s="40">
        <f>'[1]1.StatFitPoissNorm'!B11</f>
        <v>39</v>
      </c>
      <c r="C13" s="42">
        <f t="shared" si="0"/>
        <v>39</v>
      </c>
      <c r="D13" s="42">
        <f t="shared" si="1"/>
        <v>-2.6919286288332582</v>
      </c>
      <c r="E13" s="41">
        <f t="shared" si="2"/>
        <v>52.669147181873761</v>
      </c>
      <c r="F13" s="11">
        <f t="shared" si="3"/>
        <v>186.84558467972738</v>
      </c>
      <c r="G13" s="11">
        <f>AVERAGE(F$4:F13)</f>
        <v>472.8568714867979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5"/>
      <c r="T13" s="5"/>
      <c r="V13">
        <f t="shared" si="5"/>
        <v>0.96000000000000008</v>
      </c>
      <c r="W13">
        <v>636.48728498322635</v>
      </c>
      <c r="X13">
        <v>649.09696264934507</v>
      </c>
      <c r="Y13">
        <v>661.97979844415477</v>
      </c>
      <c r="Z13">
        <v>675.14011454720674</v>
      </c>
      <c r="AA13">
        <v>688.5820353010738</v>
      </c>
      <c r="AB13">
        <v>702.30954015670318</v>
      </c>
      <c r="AC13">
        <v>716.32649219016059</v>
      </c>
      <c r="AD13">
        <v>730.63665221378926</v>
      </c>
      <c r="AE13">
        <v>745.24368592593771</v>
      </c>
      <c r="AF13">
        <v>760.15116919759578</v>
      </c>
      <c r="AG13">
        <v>775.36259474857457</v>
      </c>
      <c r="AI13" s="5"/>
      <c r="AJ13" s="5"/>
      <c r="AK13" s="5"/>
      <c r="AL13" s="5"/>
      <c r="AM13" s="5"/>
      <c r="AN13" s="5"/>
      <c r="AO13" s="5"/>
      <c r="AP13" s="5"/>
      <c r="BJ13" s="5"/>
      <c r="BK13" s="5"/>
      <c r="BL13" s="5"/>
      <c r="BM13" s="5"/>
      <c r="BN13" s="5"/>
    </row>
    <row r="14" spans="1:66" customFormat="1" ht="16.5" x14ac:dyDescent="0.3">
      <c r="A14" s="12">
        <v>11</v>
      </c>
      <c r="B14" s="40">
        <f>'[1]1.StatFitPoissNorm'!B12</f>
        <v>46</v>
      </c>
      <c r="C14" s="42">
        <f t="shared" si="0"/>
        <v>46</v>
      </c>
      <c r="D14" s="42">
        <f t="shared" si="1"/>
        <v>0.40023468903289561</v>
      </c>
      <c r="E14" s="41">
        <f t="shared" si="2"/>
        <v>36.30807137116674</v>
      </c>
      <c r="F14" s="11">
        <f t="shared" si="3"/>
        <v>93.93348054639776</v>
      </c>
      <c r="G14" s="11">
        <f>AVERAGE(F$4:F14)</f>
        <v>438.40929049221609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5"/>
      <c r="T14" s="5"/>
      <c r="V14">
        <f t="shared" si="5"/>
        <v>0.97000000000000008</v>
      </c>
      <c r="W14">
        <v>642.60155167237974</v>
      </c>
      <c r="X14">
        <v>655.43778253485948</v>
      </c>
      <c r="Y14">
        <v>668.55385027885484</v>
      </c>
      <c r="Z14">
        <v>681.95423200595064</v>
      </c>
      <c r="AA14">
        <v>695.64321965737497</v>
      </c>
      <c r="AB14">
        <v>709.62497490286876</v>
      </c>
      <c r="AC14">
        <v>723.90356035597108</v>
      </c>
      <c r="AD14">
        <v>738.48295698287643</v>
      </c>
      <c r="AE14">
        <v>753.36707501264993</v>
      </c>
      <c r="AF14">
        <v>768.55976335069579</v>
      </c>
      <c r="AG14">
        <v>784.0648206943988</v>
      </c>
      <c r="AI14" s="5"/>
      <c r="AJ14" s="5"/>
      <c r="AK14" s="5"/>
      <c r="AL14" s="5"/>
      <c r="AM14" s="5"/>
      <c r="AN14" s="5"/>
      <c r="AO14" s="5"/>
      <c r="AP14" s="5"/>
      <c r="BJ14" s="5"/>
      <c r="BK14" s="5"/>
      <c r="BL14" s="5"/>
      <c r="BM14" s="5"/>
      <c r="BN14" s="5"/>
    </row>
    <row r="15" spans="1:66" customFormat="1" ht="16.5" x14ac:dyDescent="0.3">
      <c r="A15" s="12">
        <v>12</v>
      </c>
      <c r="B15" s="40">
        <f>'[1]1.StatFitPoissNorm'!B13</f>
        <v>41</v>
      </c>
      <c r="C15" s="42">
        <f t="shared" si="0"/>
        <v>41</v>
      </c>
      <c r="D15" s="42">
        <f t="shared" si="1"/>
        <v>-1.322684273000986</v>
      </c>
      <c r="E15" s="41">
        <f t="shared" si="2"/>
        <v>46.400234689032892</v>
      </c>
      <c r="F15" s="11">
        <f t="shared" si="3"/>
        <v>29.162534696634179</v>
      </c>
      <c r="G15" s="11">
        <f>AVERAGE(F$4:F15)</f>
        <v>404.30539417591757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5"/>
      <c r="T15" s="5"/>
      <c r="V15">
        <f t="shared" si="5"/>
        <v>0.98000000000000009</v>
      </c>
      <c r="W15">
        <v>648.80743719097313</v>
      </c>
      <c r="X15">
        <v>661.87561046714393</v>
      </c>
      <c r="Y15">
        <v>675.23066196277898</v>
      </c>
      <c r="Z15">
        <v>688.87725562570938</v>
      </c>
      <c r="AA15">
        <v>702.81988634014203</v>
      </c>
      <c r="AB15">
        <v>717.06293721162376</v>
      </c>
      <c r="AC15">
        <v>731.61071392248789</v>
      </c>
      <c r="AD15">
        <v>746.46746588162046</v>
      </c>
      <c r="AE15">
        <v>761.63740135386809</v>
      </c>
      <c r="AF15">
        <v>777.12470148796933</v>
      </c>
      <c r="AG15">
        <v>792.93353640036355</v>
      </c>
      <c r="AI15" s="5"/>
      <c r="AJ15" s="5"/>
      <c r="AK15" s="5"/>
      <c r="AL15" s="5"/>
      <c r="AM15" s="5"/>
      <c r="AN15" s="5"/>
      <c r="AO15" s="5"/>
      <c r="AP15" s="5"/>
      <c r="BJ15" s="5"/>
      <c r="BK15" s="5"/>
      <c r="BL15" s="5"/>
      <c r="BM15" s="5"/>
      <c r="BN15" s="5"/>
    </row>
    <row r="16" spans="1:66" customFormat="1" ht="16.5" x14ac:dyDescent="0.3">
      <c r="A16" s="12">
        <v>13</v>
      </c>
      <c r="B16" s="40">
        <f>'[1]1.StatFitPoissNorm'!B14</f>
        <v>69</v>
      </c>
      <c r="C16" s="42">
        <f t="shared" si="0"/>
        <v>69</v>
      </c>
      <c r="D16" s="42">
        <f t="shared" si="1"/>
        <v>8.03257742595558</v>
      </c>
      <c r="E16" s="41">
        <f t="shared" si="2"/>
        <v>39.677315726999012</v>
      </c>
      <c r="F16" s="11">
        <f t="shared" si="3"/>
        <v>859.81981297409948</v>
      </c>
      <c r="G16" s="11">
        <f>AVERAGE(F$4:F16)</f>
        <v>439.3449648527008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5"/>
      <c r="T16" s="5"/>
      <c r="V16">
        <f t="shared" si="5"/>
        <v>0.9900000000000001</v>
      </c>
      <c r="W16">
        <v>655.11026705800191</v>
      </c>
      <c r="X16">
        <v>668.41623403284416</v>
      </c>
      <c r="Y16">
        <v>682.01652639207248</v>
      </c>
      <c r="Z16">
        <v>695.91603118206126</v>
      </c>
      <c r="AA16">
        <v>710.1194863487882</v>
      </c>
      <c r="AB16">
        <v>724.63154090879686</v>
      </c>
      <c r="AC16">
        <v>739.45679293150295</v>
      </c>
      <c r="AD16">
        <v>754.59981492656766</v>
      </c>
      <c r="AE16">
        <v>770.06517371362202</v>
      </c>
      <c r="AF16">
        <v>785.85744962415731</v>
      </c>
      <c r="AG16">
        <v>801.98125816427398</v>
      </c>
      <c r="AI16" s="5"/>
      <c r="AJ16" s="5"/>
      <c r="AK16" s="5"/>
      <c r="AL16" s="5"/>
      <c r="AM16" s="5"/>
      <c r="AN16" s="5"/>
      <c r="AO16" s="5"/>
      <c r="AP16" s="5"/>
      <c r="BJ16" s="5"/>
      <c r="BK16" s="5"/>
      <c r="BL16" s="5"/>
      <c r="BM16" s="5"/>
      <c r="BN16" s="5"/>
    </row>
    <row r="17" spans="1:66" customFormat="1" ht="16.5" x14ac:dyDescent="0.3">
      <c r="A17" s="12">
        <v>14</v>
      </c>
      <c r="B17" s="40">
        <f>'[1]1.StatFitPoissNorm'!B15</f>
        <v>28</v>
      </c>
      <c r="C17" s="42">
        <f t="shared" si="0"/>
        <v>28</v>
      </c>
      <c r="D17" s="42">
        <f t="shared" si="1"/>
        <v>-7.6110310964922325</v>
      </c>
      <c r="E17" s="41">
        <f t="shared" si="2"/>
        <v>77.03257742595558</v>
      </c>
      <c r="F17" s="11">
        <f t="shared" si="3"/>
        <v>2404.1936490323287</v>
      </c>
      <c r="G17" s="11">
        <f>AVERAGE(F$4:F17)</f>
        <v>579.69129943695987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5"/>
      <c r="T17" s="5"/>
      <c r="V17">
        <f t="shared" si="5"/>
        <v>1</v>
      </c>
      <c r="W17">
        <v>661.51574073102267</v>
      </c>
      <c r="X17">
        <v>675.06585354024526</v>
      </c>
      <c r="Y17">
        <v>688.91819210584833</v>
      </c>
      <c r="Z17">
        <v>703.07790761218064</v>
      </c>
      <c r="AA17">
        <v>717.5500264735681</v>
      </c>
      <c r="AB17">
        <v>732.33951392648976</v>
      </c>
      <c r="AC17">
        <v>747.451316179522</v>
      </c>
      <c r="AD17">
        <v>762.89039059865456</v>
      </c>
      <c r="AE17">
        <v>778.66173091234009</v>
      </c>
      <c r="AF17">
        <v>794.77039223178497</v>
      </c>
      <c r="AG17">
        <v>811.22151900036977</v>
      </c>
      <c r="AI17" s="5"/>
      <c r="AJ17" s="5"/>
      <c r="AK17" s="5"/>
      <c r="AL17" s="5"/>
      <c r="AM17" s="5"/>
      <c r="AN17" s="5"/>
      <c r="AO17" s="5"/>
      <c r="AP17" s="5"/>
      <c r="BJ17" s="5"/>
      <c r="BK17" s="5"/>
      <c r="BL17" s="5"/>
      <c r="BM17" s="5"/>
      <c r="BN17" s="5"/>
    </row>
    <row r="18" spans="1:66" ht="16.5" x14ac:dyDescent="0.3">
      <c r="A18" s="12">
        <v>15</v>
      </c>
      <c r="B18" s="40">
        <f>'[1]1.StatFitPoissNorm'!B16</f>
        <v>82</v>
      </c>
      <c r="C18" s="42">
        <f t="shared" si="0"/>
        <v>82</v>
      </c>
      <c r="D18" s="42">
        <f t="shared" si="1"/>
        <v>12.045672706063371</v>
      </c>
      <c r="E18" s="41">
        <f t="shared" si="2"/>
        <v>20.388968903507767</v>
      </c>
      <c r="F18" s="11">
        <f t="shared" si="3"/>
        <v>3795.9191527729331</v>
      </c>
      <c r="G18" s="11">
        <f>AVERAGE(F$4:F18)</f>
        <v>794.10648965935809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V18"/>
      <c r="W18"/>
      <c r="AH18" s="5">
        <f>MIN(W7:AG17)</f>
        <v>601.46932344147592</v>
      </c>
    </row>
    <row r="19" spans="1:66" ht="16.5" x14ac:dyDescent="0.3">
      <c r="A19" s="12">
        <v>16</v>
      </c>
      <c r="B19" s="40">
        <f>'[1]1.StatFitPoissNorm'!B17</f>
        <v>65</v>
      </c>
      <c r="C19" s="42">
        <f t="shared" si="0"/>
        <v>65</v>
      </c>
      <c r="D19" s="42">
        <f t="shared" si="1"/>
        <v>2.7787902181712401</v>
      </c>
      <c r="E19" s="41">
        <f t="shared" si="2"/>
        <v>94.045672706063371</v>
      </c>
      <c r="F19" s="11">
        <f t="shared" si="3"/>
        <v>843.65110294775468</v>
      </c>
      <c r="G19" s="11">
        <f>AVERAGE(F$4:F19)</f>
        <v>797.20302798988291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66" ht="16.5" x14ac:dyDescent="0.3">
      <c r="A20" s="12">
        <v>17</v>
      </c>
      <c r="B20" s="40">
        <f>'[1]1.StatFitPoissNorm'!B18</f>
        <v>47</v>
      </c>
      <c r="C20" s="42">
        <f t="shared" si="0"/>
        <v>47</v>
      </c>
      <c r="D20" s="42">
        <f t="shared" si="1"/>
        <v>-3.8505830843847386</v>
      </c>
      <c r="E20" s="41">
        <f t="shared" si="2"/>
        <v>67.778790218171238</v>
      </c>
      <c r="F20" s="11">
        <f t="shared" si="3"/>
        <v>431.75812293076876</v>
      </c>
      <c r="G20" s="11">
        <f>AVERAGE(F$4:F20)</f>
        <v>775.70626886875857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66" ht="16.5" x14ac:dyDescent="0.3">
      <c r="A21" s="12">
        <v>18</v>
      </c>
      <c r="B21" s="40">
        <f>'[1]1.StatFitPoissNorm'!B19</f>
        <v>53</v>
      </c>
      <c r="C21" s="42">
        <f t="shared" si="0"/>
        <v>53</v>
      </c>
      <c r="D21" s="42">
        <f t="shared" si="1"/>
        <v>-0.70780182385102997</v>
      </c>
      <c r="E21" s="41">
        <f t="shared" si="2"/>
        <v>43.149416915615262</v>
      </c>
      <c r="F21" s="11">
        <f t="shared" si="3"/>
        <v>97.033987102366737</v>
      </c>
      <c r="G21" s="11">
        <f>AVERAGE(F$4:F21)</f>
        <v>738.00225321507014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66" ht="16.5" x14ac:dyDescent="0.3">
      <c r="A22" s="12">
        <v>19</v>
      </c>
      <c r="B22" s="40">
        <f>'[1]1.StatFitPoissNorm'!B20</f>
        <v>90</v>
      </c>
      <c r="C22" s="42">
        <f t="shared" si="0"/>
        <v>90</v>
      </c>
      <c r="D22" s="42">
        <f t="shared" si="1"/>
        <v>11.322691389873253</v>
      </c>
      <c r="E22" s="41">
        <f t="shared" si="2"/>
        <v>52.292198176148972</v>
      </c>
      <c r="F22" s="11">
        <f t="shared" si="3"/>
        <v>1421.8783183868229</v>
      </c>
      <c r="G22" s="11">
        <f>AVERAGE(F$4:F22)</f>
        <v>773.99573032937292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66" ht="16.5" x14ac:dyDescent="0.3">
      <c r="A23" s="12">
        <v>20</v>
      </c>
      <c r="B23" s="40">
        <f>'[1]1.StatFitPoissNorm'!B21</f>
        <v>56</v>
      </c>
      <c r="C23" s="42">
        <f t="shared" si="0"/>
        <v>56</v>
      </c>
      <c r="D23" s="42">
        <f t="shared" si="1"/>
        <v>-3.1372957963515518</v>
      </c>
      <c r="E23" s="41">
        <f t="shared" si="2"/>
        <v>101.32269138987326</v>
      </c>
      <c r="F23" s="11">
        <f t="shared" si="3"/>
        <v>2054.1463548216916</v>
      </c>
      <c r="G23" s="11">
        <f>AVERAGE(F$4:F23)</f>
        <v>838.00326155398886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66" ht="16.5" x14ac:dyDescent="0.3">
      <c r="A24" s="12">
        <v>21</v>
      </c>
      <c r="B24" s="40">
        <f>'[1]1.StatFitPoissNorm'!B22</f>
        <v>51</v>
      </c>
      <c r="C24" s="42">
        <f t="shared" si="0"/>
        <v>51</v>
      </c>
      <c r="D24" s="42">
        <f t="shared" si="1"/>
        <v>-3.731582633485452</v>
      </c>
      <c r="E24" s="41">
        <f t="shared" si="2"/>
        <v>52.862704203648448</v>
      </c>
      <c r="F24" s="11">
        <f t="shared" si="3"/>
        <v>3.4696669502895996</v>
      </c>
      <c r="G24" s="11">
        <f>AVERAGE(F$4:F24)</f>
        <v>798.26356657286033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66" ht="16.5" x14ac:dyDescent="0.3">
      <c r="A25" s="12">
        <v>22</v>
      </c>
      <c r="B25" s="40">
        <f>'[1]1.StatFitPoissNorm'!B23</f>
        <v>40</v>
      </c>
      <c r="C25" s="42">
        <f t="shared" si="0"/>
        <v>40</v>
      </c>
      <c r="D25" s="42">
        <f t="shared" si="1"/>
        <v>-6.0505363134387498</v>
      </c>
      <c r="E25" s="41">
        <f t="shared" si="2"/>
        <v>47.268417366514548</v>
      </c>
      <c r="F25" s="11">
        <f t="shared" si="3"/>
        <v>52.829891013850279</v>
      </c>
      <c r="G25" s="11">
        <f>AVERAGE(F$4:F25)</f>
        <v>764.38021768381441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66" ht="16.5" x14ac:dyDescent="0.3">
      <c r="A26" s="12">
        <v>23</v>
      </c>
      <c r="B26" s="40">
        <f>'[1]1.StatFitPoissNorm'!B24</f>
        <v>61</v>
      </c>
      <c r="C26" s="42">
        <f t="shared" si="0"/>
        <v>61</v>
      </c>
      <c r="D26" s="42">
        <f t="shared" si="1"/>
        <v>2.5798074829632087</v>
      </c>
      <c r="E26" s="41">
        <f t="shared" si="2"/>
        <v>33.949463686561252</v>
      </c>
      <c r="F26" s="11">
        <f t="shared" si="3"/>
        <v>731.73151484466837</v>
      </c>
      <c r="G26" s="11">
        <f>AVERAGE(F$4:F26)</f>
        <v>762.96070886472114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66" ht="16.5" x14ac:dyDescent="0.3">
      <c r="A27" s="12">
        <v>24</v>
      </c>
      <c r="B27" s="40">
        <f>'[1]1.StatFitPoissNorm'!B25</f>
        <v>72</v>
      </c>
      <c r="C27" s="42">
        <f t="shared" si="0"/>
        <v>72</v>
      </c>
      <c r="D27" s="42">
        <f t="shared" si="1"/>
        <v>5.2662294973694994</v>
      </c>
      <c r="E27" s="41">
        <f t="shared" si="2"/>
        <v>63.579807482963211</v>
      </c>
      <c r="F27" s="11">
        <f t="shared" si="3"/>
        <v>70.899642023962329</v>
      </c>
      <c r="G27" s="11">
        <f>AVERAGE(F$4:F27)</f>
        <v>734.12483107968956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66" ht="16.5" x14ac:dyDescent="0.3">
      <c r="A28" s="12">
        <v>25</v>
      </c>
      <c r="B28" s="40">
        <f>'[1]1.StatFitPoissNorm'!B26</f>
        <v>39</v>
      </c>
      <c r="C28" s="42">
        <f t="shared" si="0"/>
        <v>39</v>
      </c>
      <c r="D28" s="42">
        <f t="shared" si="1"/>
        <v>-6.9424273857196326</v>
      </c>
      <c r="E28" s="41">
        <f t="shared" si="2"/>
        <v>77.266229497369494</v>
      </c>
      <c r="F28" s="11">
        <f t="shared" si="3"/>
        <v>1464.3043199453512</v>
      </c>
      <c r="G28" s="11">
        <f>AVERAGE(F$4:F28)</f>
        <v>763.33201063431591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66" ht="16.5" x14ac:dyDescent="0.3">
      <c r="A29" s="12">
        <v>26</v>
      </c>
      <c r="B29" s="40">
        <f>'[1]1.StatFitPoissNorm'!B27</f>
        <v>31</v>
      </c>
      <c r="C29" s="42">
        <f t="shared" si="0"/>
        <v>31</v>
      </c>
      <c r="D29" s="42">
        <f t="shared" si="1"/>
        <v>-7.2798408530587162</v>
      </c>
      <c r="E29" s="41">
        <f t="shared" si="2"/>
        <v>32.057572614280367</v>
      </c>
      <c r="F29" s="11">
        <f t="shared" si="3"/>
        <v>1.1184598344758108</v>
      </c>
      <c r="G29" s="11">
        <f>AVERAGE(F$4:F29)</f>
        <v>734.01610483432216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66" ht="16.5" x14ac:dyDescent="0.3">
      <c r="A30" s="12">
        <v>27</v>
      </c>
      <c r="B30" s="40">
        <f>'[1]1.StatFitPoissNorm'!B28</f>
        <v>62</v>
      </c>
      <c r="C30" s="42">
        <f t="shared" si="0"/>
        <v>62</v>
      </c>
      <c r="D30" s="42">
        <f t="shared" si="1"/>
        <v>4.9331586677427284</v>
      </c>
      <c r="E30" s="41">
        <f t="shared" si="2"/>
        <v>23.720159146941285</v>
      </c>
      <c r="F30" s="11">
        <f t="shared" si="3"/>
        <v>1465.3462157355029</v>
      </c>
      <c r="G30" s="11">
        <f>AVERAGE(F$4:F30)</f>
        <v>761.10240523806954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66" ht="16.5" x14ac:dyDescent="0.3">
      <c r="A31" s="12">
        <v>28</v>
      </c>
      <c r="B31" s="40">
        <f>'[1]1.StatFitPoissNorm'!B29</f>
        <v>48</v>
      </c>
      <c r="C31" s="42">
        <f t="shared" si="0"/>
        <v>48</v>
      </c>
      <c r="D31" s="42">
        <f t="shared" si="1"/>
        <v>-1.1073747457582157</v>
      </c>
      <c r="E31" s="41">
        <f t="shared" si="2"/>
        <v>66.933158667742731</v>
      </c>
      <c r="F31" s="11">
        <f t="shared" si="3"/>
        <v>358.46449713792168</v>
      </c>
      <c r="G31" s="11">
        <f>AVERAGE(F$4:F31)</f>
        <v>746.72247994877853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66" ht="16.5" x14ac:dyDescent="0.3">
      <c r="A32" s="2">
        <v>29</v>
      </c>
      <c r="B32"/>
      <c r="E32" s="1">
        <f t="shared" si="2"/>
        <v>46.892625254241786</v>
      </c>
      <c r="F32" s="7"/>
      <c r="G32"/>
      <c r="H32"/>
      <c r="I32"/>
      <c r="J32"/>
      <c r="K32"/>
      <c r="L32"/>
      <c r="M32"/>
      <c r="N32"/>
      <c r="O32"/>
      <c r="P32"/>
      <c r="Q32"/>
      <c r="R32"/>
      <c r="BJ32"/>
      <c r="BK32"/>
      <c r="BL32"/>
      <c r="BM32"/>
      <c r="BN32"/>
    </row>
    <row r="33" spans="1:66" x14ac:dyDescent="0.25">
      <c r="A33"/>
      <c r="B33"/>
      <c r="C33"/>
      <c r="BJ33"/>
      <c r="BK33"/>
      <c r="BL33"/>
      <c r="BM33"/>
      <c r="BN33"/>
    </row>
    <row r="34" spans="1:66" x14ac:dyDescent="0.25">
      <c r="A34"/>
      <c r="B34"/>
      <c r="C34"/>
      <c r="BJ34"/>
      <c r="BK34"/>
      <c r="BL34"/>
      <c r="BM34"/>
      <c r="BN34"/>
    </row>
    <row r="35" spans="1:66" x14ac:dyDescent="0.25">
      <c r="A35" s="5" t="s">
        <v>53</v>
      </c>
      <c r="B35"/>
      <c r="C35"/>
      <c r="BJ35"/>
      <c r="BK35"/>
      <c r="BL35"/>
      <c r="BM35"/>
      <c r="BN35"/>
    </row>
    <row r="36" spans="1:66" x14ac:dyDescent="0.25">
      <c r="A36" s="5" t="s">
        <v>52</v>
      </c>
      <c r="B36"/>
      <c r="C36"/>
      <c r="BJ36"/>
      <c r="BK36"/>
      <c r="BL36"/>
      <c r="BM36"/>
      <c r="BN36"/>
    </row>
    <row r="37" spans="1:66" x14ac:dyDescent="0.25">
      <c r="A37" s="5" t="s">
        <v>51</v>
      </c>
      <c r="B37"/>
      <c r="C37"/>
      <c r="BJ37"/>
      <c r="BK37"/>
      <c r="BL37"/>
      <c r="BM37"/>
      <c r="BN37"/>
    </row>
    <row r="38" spans="1:66" x14ac:dyDescent="0.25">
      <c r="A38" s="15" t="s">
        <v>16</v>
      </c>
      <c r="B38"/>
      <c r="C38"/>
      <c r="BJ38"/>
      <c r="BK38"/>
      <c r="BL38"/>
      <c r="BM38"/>
      <c r="BN38"/>
    </row>
    <row r="39" spans="1:66" x14ac:dyDescent="0.25">
      <c r="A39" t="s">
        <v>50</v>
      </c>
      <c r="B39"/>
      <c r="C39"/>
      <c r="BJ39"/>
      <c r="BK39"/>
      <c r="BL39"/>
      <c r="BM39"/>
      <c r="BN39"/>
    </row>
    <row r="40" spans="1:66" x14ac:dyDescent="0.25">
      <c r="A40" t="s">
        <v>17</v>
      </c>
      <c r="B40"/>
      <c r="C40"/>
      <c r="BJ40"/>
      <c r="BK40"/>
      <c r="BL40"/>
      <c r="BM40"/>
      <c r="BN40"/>
    </row>
    <row r="41" spans="1:66" x14ac:dyDescent="0.25">
      <c r="A41" t="s">
        <v>49</v>
      </c>
      <c r="B41"/>
      <c r="C41"/>
      <c r="BJ41"/>
      <c r="BK41"/>
      <c r="BL41"/>
      <c r="BM41"/>
      <c r="BN41"/>
    </row>
    <row r="42" spans="1:66" x14ac:dyDescent="0.25">
      <c r="A42" t="s">
        <v>48</v>
      </c>
      <c r="B42"/>
      <c r="C42"/>
      <c r="BJ42"/>
      <c r="BK42"/>
      <c r="BL42"/>
      <c r="BM42"/>
      <c r="BN42"/>
    </row>
    <row r="43" spans="1:66" x14ac:dyDescent="0.25">
      <c r="A43" t="s">
        <v>47</v>
      </c>
      <c r="B43"/>
      <c r="C43"/>
      <c r="BJ43"/>
      <c r="BK43"/>
      <c r="BL43"/>
      <c r="BM43"/>
      <c r="BN43"/>
    </row>
    <row r="44" spans="1:66" x14ac:dyDescent="0.25">
      <c r="A44"/>
      <c r="B44"/>
      <c r="C44"/>
      <c r="BJ44"/>
      <c r="BK44"/>
      <c r="BL44"/>
      <c r="BM44"/>
      <c r="BN44"/>
    </row>
    <row r="45" spans="1:66" x14ac:dyDescent="0.25">
      <c r="A45"/>
      <c r="B45"/>
      <c r="C45"/>
      <c r="BJ45"/>
      <c r="BK45"/>
      <c r="BL45"/>
      <c r="BM45"/>
      <c r="BN45"/>
    </row>
    <row r="46" spans="1:66" x14ac:dyDescent="0.25">
      <c r="A46"/>
      <c r="B46"/>
      <c r="C46"/>
      <c r="BJ46"/>
      <c r="BK46"/>
      <c r="BL46"/>
      <c r="BM46"/>
      <c r="BN46"/>
    </row>
    <row r="47" spans="1:66" x14ac:dyDescent="0.25">
      <c r="A47"/>
      <c r="B47"/>
      <c r="C47"/>
      <c r="BJ47"/>
      <c r="BK47"/>
      <c r="BL47"/>
      <c r="BM47"/>
      <c r="BN47"/>
    </row>
    <row r="48" spans="1:66" x14ac:dyDescent="0.25">
      <c r="A48"/>
      <c r="B48"/>
      <c r="C48"/>
      <c r="BJ48"/>
      <c r="BK48"/>
      <c r="BL48"/>
      <c r="BM48"/>
      <c r="BN48"/>
    </row>
    <row r="49" spans="1:66" x14ac:dyDescent="0.25">
      <c r="A49"/>
      <c r="B49"/>
      <c r="C49"/>
      <c r="BJ49"/>
      <c r="BK49"/>
      <c r="BL49"/>
      <c r="BM49"/>
      <c r="BN49"/>
    </row>
    <row r="50" spans="1:66" x14ac:dyDescent="0.25">
      <c r="A50"/>
      <c r="B50"/>
      <c r="C50"/>
      <c r="BJ50"/>
      <c r="BK50"/>
      <c r="BL50"/>
      <c r="BM50"/>
      <c r="BN50"/>
    </row>
    <row r="51" spans="1:66" x14ac:dyDescent="0.25">
      <c r="A51"/>
      <c r="B51"/>
      <c r="C51"/>
      <c r="BJ51"/>
      <c r="BK51"/>
      <c r="BL51"/>
      <c r="BM51"/>
      <c r="BN51"/>
    </row>
    <row r="52" spans="1:66" x14ac:dyDescent="0.25">
      <c r="A52"/>
      <c r="B52"/>
      <c r="C52"/>
      <c r="BJ52"/>
      <c r="BK52"/>
      <c r="BL52"/>
      <c r="BM52"/>
      <c r="BN52"/>
    </row>
    <row r="53" spans="1:66" x14ac:dyDescent="0.25">
      <c r="A53"/>
      <c r="B53"/>
      <c r="C53"/>
      <c r="BJ53"/>
      <c r="BK53"/>
      <c r="BL53"/>
      <c r="BM53"/>
      <c r="BN53"/>
    </row>
    <row r="54" spans="1:66" x14ac:dyDescent="0.25">
      <c r="A54"/>
      <c r="B54"/>
      <c r="C54"/>
      <c r="BJ54"/>
      <c r="BK54"/>
      <c r="BL54"/>
      <c r="BM54"/>
      <c r="BN54"/>
    </row>
    <row r="55" spans="1:66" x14ac:dyDescent="0.25">
      <c r="A55"/>
      <c r="B55"/>
      <c r="C55"/>
      <c r="BJ55"/>
      <c r="BK55"/>
      <c r="BL55"/>
      <c r="BM55"/>
      <c r="BN55"/>
    </row>
    <row r="56" spans="1:66" x14ac:dyDescent="0.25">
      <c r="A56"/>
      <c r="B56"/>
      <c r="C56"/>
      <c r="BJ56"/>
      <c r="BK56"/>
      <c r="BL56"/>
      <c r="BM56"/>
      <c r="BN56"/>
    </row>
    <row r="57" spans="1:66" x14ac:dyDescent="0.25">
      <c r="A57"/>
      <c r="B57"/>
      <c r="C57"/>
      <c r="BJ57"/>
      <c r="BK57"/>
      <c r="BL57"/>
      <c r="BM57"/>
      <c r="BN57"/>
    </row>
    <row r="58" spans="1:66" x14ac:dyDescent="0.25">
      <c r="A58"/>
      <c r="B58"/>
      <c r="C58"/>
      <c r="BJ58"/>
      <c r="BK58"/>
      <c r="BL58"/>
      <c r="BM58"/>
      <c r="BN58"/>
    </row>
    <row r="59" spans="1:66" x14ac:dyDescent="0.25">
      <c r="A59"/>
      <c r="B59"/>
      <c r="C59"/>
      <c r="BJ59"/>
      <c r="BK59"/>
      <c r="BL59"/>
      <c r="BM59"/>
      <c r="BN59"/>
    </row>
    <row r="60" spans="1:66" x14ac:dyDescent="0.25">
      <c r="A60"/>
      <c r="B60"/>
      <c r="C60"/>
      <c r="BJ60"/>
      <c r="BK60"/>
      <c r="BL60"/>
      <c r="BM60"/>
      <c r="BN60"/>
    </row>
    <row r="61" spans="1:66" x14ac:dyDescent="0.25">
      <c r="A61"/>
      <c r="B61"/>
      <c r="C61"/>
      <c r="BJ61"/>
      <c r="BK61"/>
      <c r="BL61"/>
      <c r="BM61"/>
      <c r="BN61"/>
    </row>
    <row r="62" spans="1:66" x14ac:dyDescent="0.25">
      <c r="A62"/>
      <c r="B62"/>
      <c r="C62"/>
      <c r="BJ62"/>
      <c r="BK62"/>
      <c r="BL62"/>
      <c r="BM62"/>
      <c r="BN62"/>
    </row>
    <row r="63" spans="1:66" x14ac:dyDescent="0.25">
      <c r="A63"/>
      <c r="B63"/>
      <c r="C63"/>
      <c r="BJ63"/>
      <c r="BK63"/>
      <c r="BL63"/>
      <c r="BM63"/>
      <c r="BN63"/>
    </row>
    <row r="64" spans="1:66" x14ac:dyDescent="0.25">
      <c r="A64"/>
      <c r="B64"/>
      <c r="C64"/>
      <c r="BJ64"/>
      <c r="BK64"/>
      <c r="BL64"/>
      <c r="BM64"/>
      <c r="BN64"/>
    </row>
    <row r="65" spans="1:66" x14ac:dyDescent="0.25">
      <c r="A65"/>
      <c r="B65"/>
      <c r="C65"/>
      <c r="BJ65"/>
      <c r="BK65"/>
      <c r="BL65"/>
      <c r="BM65"/>
      <c r="BN65"/>
    </row>
    <row r="66" spans="1:66" x14ac:dyDescent="0.25">
      <c r="A66"/>
      <c r="B66"/>
      <c r="C66"/>
      <c r="BJ66"/>
      <c r="BK66"/>
      <c r="BL66"/>
      <c r="BM66"/>
      <c r="BN66"/>
    </row>
    <row r="67" spans="1:66" x14ac:dyDescent="0.25">
      <c r="A67"/>
      <c r="B67"/>
      <c r="C67"/>
      <c r="BJ67"/>
      <c r="BK67"/>
      <c r="BL67"/>
      <c r="BM67"/>
      <c r="BN67"/>
    </row>
    <row r="68" spans="1:66" x14ac:dyDescent="0.25">
      <c r="A68"/>
      <c r="B68"/>
      <c r="C68"/>
      <c r="BJ68"/>
      <c r="BK68"/>
      <c r="BL68"/>
      <c r="BM68"/>
      <c r="BN68"/>
    </row>
    <row r="69" spans="1:66" x14ac:dyDescent="0.25">
      <c r="A69"/>
      <c r="B69"/>
      <c r="C69"/>
      <c r="BJ69"/>
      <c r="BK69"/>
      <c r="BL69"/>
      <c r="BM69"/>
      <c r="BN69"/>
    </row>
    <row r="70" spans="1:66" x14ac:dyDescent="0.25">
      <c r="A70"/>
      <c r="B70"/>
      <c r="C70"/>
      <c r="BJ70"/>
      <c r="BK70"/>
      <c r="BL70"/>
      <c r="BM70"/>
      <c r="BN70"/>
    </row>
    <row r="71" spans="1:66" x14ac:dyDescent="0.25">
      <c r="A71"/>
      <c r="B71"/>
      <c r="C71"/>
      <c r="BJ71"/>
      <c r="BK71"/>
      <c r="BL71"/>
      <c r="BM71"/>
      <c r="BN71"/>
    </row>
    <row r="72" spans="1:66" x14ac:dyDescent="0.25">
      <c r="A72"/>
      <c r="B72"/>
      <c r="C72"/>
      <c r="BJ72"/>
      <c r="BK72"/>
      <c r="BL72"/>
      <c r="BM72"/>
      <c r="BN72"/>
    </row>
    <row r="73" spans="1:66" x14ac:dyDescent="0.25">
      <c r="A73"/>
      <c r="B73"/>
      <c r="C73"/>
      <c r="BJ73"/>
      <c r="BK73"/>
      <c r="BL73"/>
      <c r="BM73"/>
      <c r="BN73"/>
    </row>
    <row r="74" spans="1:66" x14ac:dyDescent="0.25">
      <c r="A74"/>
      <c r="B74"/>
      <c r="C74"/>
      <c r="BJ74"/>
      <c r="BK74"/>
      <c r="BL74"/>
      <c r="BM74"/>
      <c r="BN74"/>
    </row>
    <row r="75" spans="1:66" x14ac:dyDescent="0.25">
      <c r="A75"/>
      <c r="B75"/>
      <c r="C75"/>
      <c r="BJ75"/>
      <c r="BK75"/>
      <c r="BL75"/>
      <c r="BM75"/>
      <c r="BN75"/>
    </row>
    <row r="76" spans="1:66" x14ac:dyDescent="0.25">
      <c r="A76"/>
      <c r="B76"/>
      <c r="C76"/>
      <c r="BJ76"/>
      <c r="BK76"/>
      <c r="BL76"/>
      <c r="BM76"/>
      <c r="BN76"/>
    </row>
    <row r="77" spans="1:66" x14ac:dyDescent="0.25">
      <c r="A77"/>
      <c r="B77"/>
      <c r="C77"/>
      <c r="BJ77"/>
      <c r="BK77"/>
      <c r="BL77"/>
      <c r="BM77"/>
      <c r="BN77"/>
    </row>
    <row r="78" spans="1:66" x14ac:dyDescent="0.25">
      <c r="A78"/>
      <c r="B78"/>
      <c r="C78"/>
      <c r="BJ78"/>
      <c r="BK78"/>
      <c r="BL78"/>
      <c r="BM78"/>
      <c r="BN78"/>
    </row>
    <row r="79" spans="1:66" ht="16.5" x14ac:dyDescent="0.3">
      <c r="A79"/>
      <c r="B79"/>
      <c r="C79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BJ79"/>
      <c r="BK79"/>
      <c r="BL79"/>
      <c r="BM79"/>
      <c r="BN79"/>
    </row>
    <row r="80" spans="1:66" ht="16.5" x14ac:dyDescent="0.3">
      <c r="A80"/>
      <c r="B80"/>
      <c r="C80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BJ80"/>
      <c r="BK80"/>
      <c r="BL80"/>
      <c r="BM80"/>
      <c r="BN80"/>
    </row>
    <row r="81" spans="1:66" ht="16.5" x14ac:dyDescent="0.3">
      <c r="A81"/>
      <c r="B81"/>
      <c r="C81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BJ81"/>
      <c r="BK81"/>
      <c r="BL81"/>
      <c r="BM81"/>
      <c r="BN81"/>
    </row>
    <row r="82" spans="1:66" ht="16.5" x14ac:dyDescent="0.3">
      <c r="A82"/>
      <c r="B82"/>
      <c r="C82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J82"/>
      <c r="BK82"/>
      <c r="BL82"/>
      <c r="BM82"/>
      <c r="BN82"/>
    </row>
    <row r="83" spans="1:66" ht="16.5" x14ac:dyDescent="0.3">
      <c r="A83"/>
      <c r="B83"/>
      <c r="C83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BJ83"/>
      <c r="BK83"/>
      <c r="BL83"/>
      <c r="BM83"/>
      <c r="BN83"/>
    </row>
    <row r="84" spans="1:66" ht="16.5" x14ac:dyDescent="0.3">
      <c r="A84"/>
      <c r="B84"/>
      <c r="C8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BJ84"/>
      <c r="BK84"/>
      <c r="BL84"/>
      <c r="BM84"/>
      <c r="BN84"/>
    </row>
    <row r="85" spans="1:66" ht="16.5" x14ac:dyDescent="0.3">
      <c r="A85"/>
      <c r="B85"/>
      <c r="C85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BJ85"/>
      <c r="BK85"/>
      <c r="BL85"/>
      <c r="BM85"/>
      <c r="BN85"/>
    </row>
    <row r="86" spans="1:66" ht="16.5" x14ac:dyDescent="0.3">
      <c r="A86"/>
      <c r="B86"/>
      <c r="C86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BJ86"/>
      <c r="BK86"/>
      <c r="BL86"/>
      <c r="BM86"/>
      <c r="BN86"/>
    </row>
    <row r="87" spans="1:66" ht="16.5" x14ac:dyDescent="0.3">
      <c r="A87"/>
      <c r="B87"/>
      <c r="C87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BJ87"/>
      <c r="BK87"/>
      <c r="BL87"/>
      <c r="BM87"/>
      <c r="BN87"/>
    </row>
    <row r="88" spans="1:66" ht="16.5" x14ac:dyDescent="0.3">
      <c r="A88"/>
      <c r="B88"/>
      <c r="C88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66" ht="16.5" x14ac:dyDescent="0.3">
      <c r="A89"/>
      <c r="B89"/>
      <c r="C89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66" ht="16.5" x14ac:dyDescent="0.3">
      <c r="A90"/>
      <c r="B90"/>
      <c r="C90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66" x14ac:dyDescent="0.25">
      <c r="A91"/>
      <c r="B91"/>
      <c r="C91"/>
    </row>
    <row r="92" spans="1:66" x14ac:dyDescent="0.25">
      <c r="A92"/>
      <c r="B92"/>
      <c r="C92"/>
    </row>
    <row r="93" spans="1:66" x14ac:dyDescent="0.25">
      <c r="A93"/>
      <c r="B93"/>
      <c r="C93"/>
    </row>
    <row r="94" spans="1:66" x14ac:dyDescent="0.25">
      <c r="A94"/>
      <c r="B94"/>
      <c r="C94"/>
    </row>
    <row r="95" spans="1:66" x14ac:dyDescent="0.25">
      <c r="A95"/>
      <c r="B95"/>
      <c r="C95"/>
    </row>
    <row r="96" spans="1:66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W7:AG17">
    <cfRule type="cellIs" dxfId="0" priority="1" operator="equal">
      <formula>$AH$18</formula>
    </cfRule>
  </conditionalFormatting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8E34-637E-4DFA-9EB1-CB0F20607F07}">
  <sheetPr>
    <tabColor rgb="FF92D050"/>
  </sheetPr>
  <dimension ref="A1:BI282"/>
  <sheetViews>
    <sheetView zoomScale="75" zoomScaleNormal="75" workbookViewId="0">
      <selection activeCell="V45" sqref="V45"/>
    </sheetView>
  </sheetViews>
  <sheetFormatPr defaultColWidth="9.140625" defaultRowHeight="15" x14ac:dyDescent="0.25"/>
  <cols>
    <col min="1" max="1" width="4.5703125" style="5" bestFit="1" customWidth="1"/>
    <col min="2" max="2" width="17" style="5" customWidth="1"/>
    <col min="3" max="4" width="9.7109375" style="5" customWidth="1"/>
    <col min="5" max="5" width="11" style="5" bestFit="1" customWidth="1"/>
    <col min="6" max="6" width="20.5703125" style="5" bestFit="1" customWidth="1"/>
    <col min="7" max="9" width="9.7109375" style="5" customWidth="1"/>
    <col min="10" max="10" width="9.140625" style="5"/>
    <col min="11" max="11" width="6.28515625" style="5" bestFit="1" customWidth="1"/>
    <col min="12" max="12" width="6.140625" style="5" bestFit="1" customWidth="1"/>
    <col min="13" max="13" width="6.5703125" style="5" bestFit="1" customWidth="1"/>
    <col min="14" max="14" width="6.42578125" style="5" bestFit="1" customWidth="1"/>
    <col min="15" max="15" width="5.85546875" style="5" bestFit="1" customWidth="1"/>
    <col min="16" max="19" width="9.28515625" style="5" bestFit="1" customWidth="1"/>
    <col min="20" max="21" width="9.140625" style="5"/>
    <col min="22" max="22" width="9.28515625" style="5" bestFit="1" customWidth="1"/>
    <col min="23" max="23" width="9.140625" style="5"/>
    <col min="24" max="24" width="10.42578125" style="5" bestFit="1" customWidth="1"/>
    <col min="25" max="25" width="3" style="5" bestFit="1" customWidth="1"/>
    <col min="26" max="26" width="5.28515625" style="5" bestFit="1" customWidth="1"/>
    <col min="27" max="33" width="9.140625" style="5"/>
    <col min="34" max="34" width="9.140625" style="5" customWidth="1"/>
    <col min="35" max="37" width="9.140625" style="5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5"/>
  </cols>
  <sheetData>
    <row r="1" spans="1:61" customFormat="1" ht="17.25" thickBot="1" x14ac:dyDescent="0.35">
      <c r="A1" s="6" t="s">
        <v>3</v>
      </c>
      <c r="B1" s="29" t="s">
        <v>40</v>
      </c>
      <c r="C1" s="7" t="s">
        <v>8</v>
      </c>
      <c r="D1" s="7" t="s">
        <v>4</v>
      </c>
      <c r="E1" s="7" t="s">
        <v>15</v>
      </c>
      <c r="F1" s="1" t="s">
        <v>39</v>
      </c>
      <c r="G1" s="1" t="s">
        <v>2</v>
      </c>
      <c r="H1" s="1" t="s">
        <v>1</v>
      </c>
      <c r="I1" s="1" t="s">
        <v>38</v>
      </c>
      <c r="J1" s="1" t="s">
        <v>11</v>
      </c>
      <c r="K1" s="5" t="s">
        <v>14</v>
      </c>
      <c r="L1" s="5" t="s">
        <v>0</v>
      </c>
      <c r="M1" s="5" t="s">
        <v>13</v>
      </c>
      <c r="N1" s="5" t="s">
        <v>12</v>
      </c>
      <c r="O1" s="5" t="s">
        <v>6</v>
      </c>
      <c r="U1" s="5"/>
      <c r="V1" s="5"/>
      <c r="W1" s="5"/>
      <c r="X1" s="5" t="s">
        <v>9</v>
      </c>
      <c r="Y1" s="19" t="s">
        <v>29</v>
      </c>
      <c r="Z1" s="8">
        <v>4</v>
      </c>
      <c r="AA1" s="5"/>
    </row>
    <row r="2" spans="1:61" customFormat="1" ht="16.5" x14ac:dyDescent="0.3">
      <c r="A2" s="8">
        <v>0</v>
      </c>
      <c r="B2" s="5"/>
      <c r="C2" s="28">
        <f>INTERCEPT($B$3:$B$14,$A$3:$A$14)</f>
        <v>17.287878787878789</v>
      </c>
      <c r="D2" s="28">
        <f>SLOPE($B$3:$B$14,$A$3:$A$14)</f>
        <v>4.43006993006993</v>
      </c>
      <c r="E2" s="12"/>
      <c r="F2" s="7"/>
      <c r="G2" s="7"/>
      <c r="H2" s="7"/>
      <c r="I2" s="7"/>
      <c r="J2" s="7"/>
      <c r="K2" s="5"/>
      <c r="Q2" s="1" t="s">
        <v>37</v>
      </c>
      <c r="R2" s="1" t="s">
        <v>36</v>
      </c>
      <c r="S2" s="1" t="s">
        <v>35</v>
      </c>
      <c r="T2" s="1" t="s">
        <v>34</v>
      </c>
      <c r="U2" s="7" t="s">
        <v>33</v>
      </c>
      <c r="V2" s="7" t="s">
        <v>32</v>
      </c>
      <c r="W2" s="5"/>
      <c r="X2" s="5" t="s">
        <v>27</v>
      </c>
      <c r="Y2" s="20" t="s">
        <v>28</v>
      </c>
      <c r="Z2" s="18">
        <v>0.1</v>
      </c>
      <c r="AA2" s="5"/>
      <c r="AI2" s="5"/>
      <c r="AJ2" s="5"/>
      <c r="AK2" s="5"/>
      <c r="BE2" s="5"/>
      <c r="BF2" s="5"/>
      <c r="BG2" s="5"/>
      <c r="BH2" s="5"/>
      <c r="BI2" s="5"/>
    </row>
    <row r="3" spans="1:61" customFormat="1" ht="16.5" x14ac:dyDescent="0.3">
      <c r="A3" s="12">
        <v>1</v>
      </c>
      <c r="B3" s="16">
        <v>22</v>
      </c>
      <c r="C3" s="24">
        <f t="shared" ref="C3:C18" si="0">(1-$Z$2)*(C2+D2)+$Z$2*B3/E3</f>
        <v>22.196153846153845</v>
      </c>
      <c r="D3" s="24">
        <f>(1-$Z$3)*D2+$Z$3*(C3-C2)</f>
        <v>4.5257109557109558</v>
      </c>
      <c r="E3" s="27">
        <f>B3/AVERAGE($B$3:$B$6)</f>
        <v>0.83018867924528306</v>
      </c>
      <c r="F3" s="26">
        <f>(C2+D2)*E3</f>
        <v>18.029995162070634</v>
      </c>
      <c r="G3" s="11">
        <f t="shared" ref="G3:G14" si="1">B3-F3</f>
        <v>3.9700048379293662</v>
      </c>
      <c r="H3" s="11">
        <f t="shared" ref="H3:H14" si="2">ABS(G3)</f>
        <v>3.9700048379293662</v>
      </c>
      <c r="I3" s="11">
        <f t="shared" ref="I3:I14" si="3">H3/B3</f>
        <v>0.18045476536042573</v>
      </c>
      <c r="J3" s="11">
        <f t="shared" ref="J3:J14" si="4">G3^2</f>
        <v>15.760938413182574</v>
      </c>
      <c r="K3" s="25">
        <f>SUM($G3:G3)</f>
        <v>3.9700048379293662</v>
      </c>
      <c r="L3" s="10">
        <f>AVERAGE(H$3:H3)</f>
        <v>3.9700048379293662</v>
      </c>
      <c r="M3" s="10">
        <f>AVERAGE(I$3:I3)</f>
        <v>0.18045476536042573</v>
      </c>
      <c r="N3" s="10">
        <f>AVERAGE(J$3:J3)</f>
        <v>15.760938413182574</v>
      </c>
      <c r="O3" s="10">
        <f t="shared" ref="O3:O14" si="5">K3/L3</f>
        <v>1</v>
      </c>
      <c r="Q3" s="22">
        <f>(C2+D2)</f>
        <v>21.717948717948719</v>
      </c>
      <c r="R3" s="22">
        <f>B3/E3</f>
        <v>26.5</v>
      </c>
      <c r="S3" s="22">
        <f>D2</f>
        <v>4.43006993006993</v>
      </c>
      <c r="T3" s="22">
        <f>C3-C2</f>
        <v>4.9082750582750556</v>
      </c>
      <c r="U3" s="9">
        <f>E3</f>
        <v>0.83018867924528306</v>
      </c>
      <c r="V3" s="9">
        <f>C3/(C2+D2)</f>
        <v>1.0220188902007084</v>
      </c>
      <c r="W3" s="5"/>
      <c r="X3" s="5" t="s">
        <v>25</v>
      </c>
      <c r="Y3" s="20" t="s">
        <v>30</v>
      </c>
      <c r="Z3" s="21">
        <v>0.2</v>
      </c>
      <c r="AA3" s="5"/>
      <c r="AI3" s="5"/>
      <c r="AJ3" s="5"/>
      <c r="AK3" s="5"/>
      <c r="BE3" s="5"/>
      <c r="BF3" s="5"/>
      <c r="BG3" s="5"/>
      <c r="BH3" s="5"/>
      <c r="BI3" s="5"/>
    </row>
    <row r="4" spans="1:61" customFormat="1" ht="16.5" x14ac:dyDescent="0.3">
      <c r="A4" s="12">
        <v>2</v>
      </c>
      <c r="B4" s="16">
        <v>30</v>
      </c>
      <c r="C4" s="24">
        <f t="shared" si="0"/>
        <v>26.69967832167832</v>
      </c>
      <c r="D4" s="24">
        <f t="shared" ref="D4:D18" si="6">(1-$C$23)*D3+$C$23*(C4-C3)</f>
        <v>4.5212736596736596</v>
      </c>
      <c r="E4" s="27">
        <f>B4/AVERAGE($B$3:$B$6)</f>
        <v>1.1320754716981132</v>
      </c>
      <c r="F4" s="26">
        <f t="shared" ref="F4:F14" si="7">SUM(C3:D3)*E4</f>
        <v>30.2511677002243</v>
      </c>
      <c r="G4" s="11">
        <f t="shared" si="1"/>
        <v>-0.25116770022430046</v>
      </c>
      <c r="H4" s="11">
        <f t="shared" si="2"/>
        <v>0.25116770022430046</v>
      </c>
      <c r="I4" s="11">
        <f t="shared" si="3"/>
        <v>8.3722566741433486E-3</v>
      </c>
      <c r="J4" s="11">
        <f t="shared" si="4"/>
        <v>6.308521363596406E-2</v>
      </c>
      <c r="K4" s="25">
        <f>SUM($G4:G4)</f>
        <v>-0.25116770022430046</v>
      </c>
      <c r="L4" s="10">
        <f>AVERAGE(H$3:H4)</f>
        <v>2.1105862690768333</v>
      </c>
      <c r="M4" s="10">
        <f>AVERAGE(I$3:I4)</f>
        <v>9.441351101728454E-2</v>
      </c>
      <c r="N4" s="10">
        <f>AVERAGE(J$3:J4)</f>
        <v>7.9120118134092685</v>
      </c>
      <c r="O4" s="10">
        <f t="shared" si="5"/>
        <v>-0.11900375924181519</v>
      </c>
      <c r="Q4" s="22">
        <f>Q3*(1-Z2)</f>
        <v>19.546153846153846</v>
      </c>
      <c r="R4" s="22">
        <f>R3*Z2</f>
        <v>2.6500000000000004</v>
      </c>
      <c r="S4" s="22">
        <f>S3*(1-Z3)</f>
        <v>3.5440559440559443</v>
      </c>
      <c r="T4" s="22">
        <f>T3*Z3</f>
        <v>0.98165501165501112</v>
      </c>
      <c r="U4" s="22">
        <f>U3*(1-Z4)</f>
        <v>0.66415094339622649</v>
      </c>
      <c r="V4" s="22">
        <f>V3*Z4</f>
        <v>0.20440377804014168</v>
      </c>
      <c r="W4" s="5"/>
      <c r="X4" s="5" t="s">
        <v>26</v>
      </c>
      <c r="Y4" s="20" t="s">
        <v>31</v>
      </c>
      <c r="Z4" s="18">
        <v>0.2</v>
      </c>
      <c r="AA4" s="5"/>
      <c r="AI4" s="5"/>
      <c r="AJ4" s="5"/>
      <c r="AK4" s="5"/>
      <c r="BE4" s="5"/>
      <c r="BF4" s="5"/>
      <c r="BG4" s="5"/>
      <c r="BH4" s="5"/>
      <c r="BI4" s="5"/>
    </row>
    <row r="5" spans="1:61" customFormat="1" ht="16.5" x14ac:dyDescent="0.3">
      <c r="A5" s="12">
        <v>3</v>
      </c>
      <c r="B5" s="16">
        <v>28</v>
      </c>
      <c r="C5" s="24">
        <f t="shared" si="0"/>
        <v>30.74885678321678</v>
      </c>
      <c r="D5" s="24">
        <f t="shared" si="6"/>
        <v>4.4268546200466199</v>
      </c>
      <c r="E5" s="27">
        <f>B5/AVERAGE($B$3:$B$6)</f>
        <v>1.0566037735849056</v>
      </c>
      <c r="F5" s="26">
        <f t="shared" si="7"/>
        <v>32.98817567840964</v>
      </c>
      <c r="G5" s="11">
        <f t="shared" si="1"/>
        <v>-4.9881756784096396</v>
      </c>
      <c r="H5" s="11">
        <f t="shared" si="2"/>
        <v>4.9881756784096396</v>
      </c>
      <c r="I5" s="11">
        <f t="shared" si="3"/>
        <v>0.17814913137177285</v>
      </c>
      <c r="J5" s="11">
        <f t="shared" si="4"/>
        <v>24.881896598677468</v>
      </c>
      <c r="K5" s="25">
        <f>SUM($G5:G5)</f>
        <v>-4.9881756784096396</v>
      </c>
      <c r="L5" s="10">
        <f>AVERAGE(H$3:H5)</f>
        <v>3.0697827388544354</v>
      </c>
      <c r="M5" s="10">
        <f>AVERAGE(I$3:I5)</f>
        <v>0.12232538446878065</v>
      </c>
      <c r="N5" s="10">
        <f>AVERAGE(J$3:J5)</f>
        <v>13.568640075165334</v>
      </c>
      <c r="O5" s="10">
        <f t="shared" si="5"/>
        <v>-1.6249279192543442</v>
      </c>
      <c r="Q5" s="22"/>
      <c r="R5" s="22">
        <f>Q4+R4</f>
        <v>22.196153846153848</v>
      </c>
      <c r="S5" s="22"/>
      <c r="T5" s="22">
        <f>S4+T4</f>
        <v>4.5257109557109558</v>
      </c>
      <c r="U5" s="22"/>
      <c r="V5" s="22">
        <f>U4+V4</f>
        <v>0.86855472143636814</v>
      </c>
      <c r="AI5" s="5"/>
      <c r="AJ5" s="5"/>
      <c r="AK5" s="5"/>
      <c r="BE5" s="5"/>
      <c r="BF5" s="5"/>
      <c r="BG5" s="5"/>
      <c r="BH5" s="5"/>
      <c r="BI5" s="5"/>
    </row>
    <row r="6" spans="1:61" customFormat="1" ht="16.5" x14ac:dyDescent="0.3">
      <c r="A6" s="12">
        <v>4</v>
      </c>
      <c r="B6" s="16">
        <v>26</v>
      </c>
      <c r="C6" s="24">
        <f t="shared" si="0"/>
        <v>34.308140262937059</v>
      </c>
      <c r="D6" s="24">
        <f t="shared" si="6"/>
        <v>4.2533403919813519</v>
      </c>
      <c r="E6" s="27">
        <f>B6/AVERAGE($B$3:$B$6)</f>
        <v>0.98113207547169812</v>
      </c>
      <c r="F6" s="26">
        <f t="shared" si="7"/>
        <v>34.512018735277294</v>
      </c>
      <c r="G6" s="11">
        <f t="shared" si="1"/>
        <v>-8.5120187352772945</v>
      </c>
      <c r="H6" s="11">
        <f t="shared" si="2"/>
        <v>8.5120187352772945</v>
      </c>
      <c r="I6" s="11">
        <f t="shared" si="3"/>
        <v>0.32738533597220365</v>
      </c>
      <c r="J6" s="11">
        <f t="shared" si="4"/>
        <v>72.454462949711669</v>
      </c>
      <c r="K6" s="25">
        <f>SUM($G6:G6)</f>
        <v>-8.5120187352772945</v>
      </c>
      <c r="L6" s="10">
        <f>AVERAGE(H$3:H6)</f>
        <v>4.4303417379601502</v>
      </c>
      <c r="M6" s="10">
        <f>AVERAGE(I$3:I6)</f>
        <v>0.1735903723446364</v>
      </c>
      <c r="N6" s="10">
        <f>AVERAGE(J$3:J6)</f>
        <v>28.290095793801918</v>
      </c>
      <c r="O6" s="10">
        <f t="shared" si="5"/>
        <v>-1.921300711939314</v>
      </c>
      <c r="Q6" s="5"/>
      <c r="R6" s="5"/>
      <c r="S6" s="5"/>
      <c r="T6" s="5"/>
      <c r="U6" s="5"/>
      <c r="V6" s="5"/>
      <c r="AI6" s="5"/>
      <c r="AJ6" s="5"/>
      <c r="AK6" s="5"/>
      <c r="BE6" s="5"/>
      <c r="BF6" s="5"/>
      <c r="BG6" s="5"/>
      <c r="BH6" s="5"/>
      <c r="BI6" s="5"/>
    </row>
    <row r="7" spans="1:61" customFormat="1" ht="16.5" x14ac:dyDescent="0.3">
      <c r="A7" s="12">
        <v>5</v>
      </c>
      <c r="B7" s="16">
        <v>40</v>
      </c>
      <c r="C7" s="24">
        <f t="shared" si="0"/>
        <v>39.320282267137756</v>
      </c>
      <c r="D7" s="24">
        <f t="shared" si="6"/>
        <v>4.4051007144252212</v>
      </c>
      <c r="E7" s="24">
        <f t="shared" ref="E7:E18" si="8">(1-$Z$4)*E3+$Z$4*B3/(C2+D2)</f>
        <v>0.86674834599362915</v>
      </c>
      <c r="F7" s="26">
        <f t="shared" si="7"/>
        <v>33.423099576715863</v>
      </c>
      <c r="G7" s="11">
        <f t="shared" si="1"/>
        <v>6.5769004232841368</v>
      </c>
      <c r="H7" s="11">
        <f t="shared" si="2"/>
        <v>6.5769004232841368</v>
      </c>
      <c r="I7" s="11">
        <f t="shared" si="3"/>
        <v>0.16442251058210341</v>
      </c>
      <c r="J7" s="11">
        <f t="shared" si="4"/>
        <v>43.255619177795062</v>
      </c>
      <c r="K7" s="25">
        <f>SUM($G7:G7)</f>
        <v>6.5769004232841368</v>
      </c>
      <c r="L7" s="10">
        <f>AVERAGE(H$3:H7)</f>
        <v>4.8596534750249472</v>
      </c>
      <c r="M7" s="10">
        <f>AVERAGE(I$3:I7)</f>
        <v>0.17175679999212981</v>
      </c>
      <c r="N7" s="10">
        <f>AVERAGE(J$3:J7)</f>
        <v>31.283200470600548</v>
      </c>
      <c r="O7" s="10">
        <f t="shared" si="5"/>
        <v>1.3533681891280065</v>
      </c>
      <c r="Q7" s="5"/>
      <c r="R7" s="5"/>
      <c r="S7" s="5"/>
      <c r="T7" s="5"/>
      <c r="U7" s="5"/>
      <c r="V7" s="5"/>
      <c r="AI7" s="5"/>
      <c r="AJ7" s="5"/>
      <c r="AK7" s="5"/>
      <c r="BE7" s="5"/>
      <c r="BF7" s="5"/>
      <c r="BG7" s="5"/>
      <c r="BH7" s="5"/>
      <c r="BI7" s="5"/>
    </row>
    <row r="8" spans="1:61" customFormat="1" ht="16.5" x14ac:dyDescent="0.3">
      <c r="A8" s="12">
        <v>6</v>
      </c>
      <c r="B8" s="16">
        <v>55</v>
      </c>
      <c r="C8" s="24">
        <f t="shared" si="0"/>
        <v>44.219258935057205</v>
      </c>
      <c r="D8" s="24">
        <f t="shared" si="6"/>
        <v>4.5038759051240671</v>
      </c>
      <c r="E8" s="24">
        <f t="shared" si="8"/>
        <v>1.1301956051387496</v>
      </c>
      <c r="F8" s="26">
        <f t="shared" si="7"/>
        <v>49.418235678771154</v>
      </c>
      <c r="G8" s="11">
        <f t="shared" si="1"/>
        <v>5.5817643212288459</v>
      </c>
      <c r="H8" s="11">
        <f t="shared" si="2"/>
        <v>5.5817643212288459</v>
      </c>
      <c r="I8" s="11">
        <f t="shared" si="3"/>
        <v>0.10148662402234265</v>
      </c>
      <c r="J8" s="11">
        <f t="shared" si="4"/>
        <v>31.15609293774332</v>
      </c>
      <c r="K8" s="25">
        <f>SUM($G8:G8)</f>
        <v>5.5817643212288459</v>
      </c>
      <c r="L8" s="10">
        <f>AVERAGE(H$3:H8)</f>
        <v>4.9800052827255969</v>
      </c>
      <c r="M8" s="10">
        <f>AVERAGE(I$3:I8)</f>
        <v>0.16004510399716529</v>
      </c>
      <c r="N8" s="10">
        <f>AVERAGE(J$3:J8)</f>
        <v>31.262015881791012</v>
      </c>
      <c r="O8" s="10">
        <f t="shared" si="5"/>
        <v>1.1208350201134529</v>
      </c>
      <c r="Q8" s="5"/>
      <c r="R8" s="5"/>
      <c r="S8" s="5"/>
      <c r="T8" s="5"/>
      <c r="U8" s="5"/>
      <c r="V8" s="5"/>
      <c r="AI8" s="5"/>
      <c r="AJ8" s="5"/>
      <c r="AK8" s="5"/>
      <c r="BE8" s="5"/>
      <c r="BF8" s="5"/>
      <c r="BG8" s="5"/>
      <c r="BH8" s="5"/>
      <c r="BI8" s="5"/>
    </row>
    <row r="9" spans="1:61" customFormat="1" ht="16.5" x14ac:dyDescent="0.3">
      <c r="A9" s="12">
        <v>7</v>
      </c>
      <c r="B9" s="16">
        <v>49</v>
      </c>
      <c r="C9" s="24">
        <f t="shared" si="0"/>
        <v>48.632943261990135</v>
      </c>
      <c r="D9" s="24">
        <f t="shared" si="6"/>
        <v>4.4858375894858398</v>
      </c>
      <c r="E9" s="24">
        <f t="shared" si="8"/>
        <v>1.0246497468057798</v>
      </c>
      <c r="F9" s="26">
        <f t="shared" si="7"/>
        <v>49.924147777575612</v>
      </c>
      <c r="G9" s="11">
        <f t="shared" si="1"/>
        <v>-0.92414777757561239</v>
      </c>
      <c r="H9" s="11">
        <f t="shared" si="2"/>
        <v>0.92414777757561239</v>
      </c>
      <c r="I9" s="11">
        <f t="shared" si="3"/>
        <v>1.8860158726032906E-2</v>
      </c>
      <c r="J9" s="11">
        <f t="shared" si="4"/>
        <v>0.85404911479794354</v>
      </c>
      <c r="K9" s="25">
        <f>SUM($G9:G9)</f>
        <v>-0.92414777757561239</v>
      </c>
      <c r="L9" s="10">
        <f>AVERAGE(H$3:H9)</f>
        <v>4.4005970677041706</v>
      </c>
      <c r="M9" s="10">
        <f>AVERAGE(I$3:I9)</f>
        <v>0.13987582610128921</v>
      </c>
      <c r="N9" s="10">
        <f>AVERAGE(J$3:J9)</f>
        <v>26.918020629363429</v>
      </c>
      <c r="O9" s="10">
        <f t="shared" si="5"/>
        <v>-0.21000508870896201</v>
      </c>
      <c r="Q9" s="5"/>
      <c r="R9" s="5"/>
      <c r="S9" s="5"/>
      <c r="T9" s="5"/>
      <c r="U9" s="5"/>
      <c r="V9" s="5"/>
      <c r="AI9" s="5"/>
      <c r="AJ9" s="5"/>
      <c r="AK9" s="5"/>
      <c r="BE9" s="5"/>
      <c r="BF9" s="5"/>
      <c r="BG9" s="5"/>
      <c r="BH9" s="5"/>
      <c r="BI9" s="5"/>
    </row>
    <row r="10" spans="1:61" customFormat="1" ht="16.5" x14ac:dyDescent="0.3">
      <c r="A10" s="12">
        <v>8</v>
      </c>
      <c r="B10" s="16">
        <v>40</v>
      </c>
      <c r="C10" s="24">
        <f t="shared" si="0"/>
        <v>52.095366549385993</v>
      </c>
      <c r="D10" s="24">
        <f t="shared" si="6"/>
        <v>4.2811547290678433</v>
      </c>
      <c r="E10" s="24">
        <f t="shared" si="8"/>
        <v>0.9327349378121732</v>
      </c>
      <c r="F10" s="26">
        <f t="shared" si="7"/>
        <v>49.545742754159903</v>
      </c>
      <c r="G10" s="11">
        <f t="shared" si="1"/>
        <v>-9.5457427541599031</v>
      </c>
      <c r="H10" s="11">
        <f t="shared" si="2"/>
        <v>9.5457427541599031</v>
      </c>
      <c r="I10" s="11">
        <f t="shared" si="3"/>
        <v>0.23864356885399757</v>
      </c>
      <c r="J10" s="11">
        <f t="shared" si="4"/>
        <v>91.121204728596297</v>
      </c>
      <c r="K10" s="25">
        <f>SUM($G10:G10)</f>
        <v>-9.5457427541599031</v>
      </c>
      <c r="L10" s="10">
        <f>AVERAGE(H$3:H10)</f>
        <v>5.0437402785111374</v>
      </c>
      <c r="M10" s="10">
        <f>AVERAGE(I$3:I10)</f>
        <v>0.15222179394537777</v>
      </c>
      <c r="N10" s="10">
        <f>AVERAGE(J$3:J10)</f>
        <v>34.943418641767536</v>
      </c>
      <c r="O10" s="10">
        <f t="shared" si="5"/>
        <v>-1.8925920501556264</v>
      </c>
      <c r="AI10" s="5"/>
      <c r="AJ10" s="5"/>
      <c r="AK10" s="5"/>
      <c r="BE10" s="5"/>
      <c r="BF10" s="5"/>
      <c r="BG10" s="5"/>
      <c r="BH10" s="5"/>
      <c r="BI10" s="5"/>
    </row>
    <row r="11" spans="1:61" customFormat="1" ht="16.5" x14ac:dyDescent="0.3">
      <c r="A11" s="12">
        <v>9</v>
      </c>
      <c r="B11" s="16">
        <v>55</v>
      </c>
      <c r="C11" s="24">
        <f t="shared" si="0"/>
        <v>56.844149107286633</v>
      </c>
      <c r="D11" s="24">
        <f t="shared" si="6"/>
        <v>4.3746802948344028</v>
      </c>
      <c r="E11" s="24">
        <f t="shared" si="8"/>
        <v>0.90085959022794659</v>
      </c>
      <c r="F11" s="26">
        <f t="shared" si="7"/>
        <v>50.787329857385032</v>
      </c>
      <c r="G11" s="11">
        <f t="shared" si="1"/>
        <v>4.212670142614968</v>
      </c>
      <c r="H11" s="11">
        <f t="shared" si="2"/>
        <v>4.212670142614968</v>
      </c>
      <c r="I11" s="11">
        <f t="shared" si="3"/>
        <v>7.6594002592999422E-2</v>
      </c>
      <c r="J11" s="11">
        <f t="shared" si="4"/>
        <v>17.746589730479613</v>
      </c>
      <c r="K11" s="25">
        <f>SUM($G11:G11)</f>
        <v>4.212670142614968</v>
      </c>
      <c r="L11" s="10">
        <f>AVERAGE(H$3:H11)</f>
        <v>4.9513991523004517</v>
      </c>
      <c r="M11" s="10">
        <f>AVERAGE(I$3:I11)</f>
        <v>0.14381870601733573</v>
      </c>
      <c r="N11" s="10">
        <f>AVERAGE(J$3:J11)</f>
        <v>33.032659873846654</v>
      </c>
      <c r="O11" s="10">
        <f t="shared" si="5"/>
        <v>0.85080398752698705</v>
      </c>
      <c r="AI11" s="5"/>
      <c r="AJ11" s="5"/>
      <c r="AK11" s="5"/>
      <c r="BE11" s="5"/>
      <c r="BF11" s="5"/>
      <c r="BG11" s="5"/>
      <c r="BH11" s="5"/>
      <c r="BI11" s="5"/>
    </row>
    <row r="12" spans="1:61" customFormat="1" ht="16.5" x14ac:dyDescent="0.3">
      <c r="A12" s="12">
        <v>10</v>
      </c>
      <c r="B12" s="16">
        <v>79</v>
      </c>
      <c r="C12" s="24">
        <f t="shared" si="0"/>
        <v>61.932473088593632</v>
      </c>
      <c r="D12" s="24">
        <f t="shared" si="6"/>
        <v>4.5174090321289224</v>
      </c>
      <c r="E12" s="24">
        <f t="shared" si="8"/>
        <v>1.1557266076851764</v>
      </c>
      <c r="F12" s="26">
        <f t="shared" si="7"/>
        <v>70.752230031370885</v>
      </c>
      <c r="G12" s="11">
        <f t="shared" si="1"/>
        <v>8.2477699686291146</v>
      </c>
      <c r="H12" s="11">
        <f t="shared" si="2"/>
        <v>8.2477699686291146</v>
      </c>
      <c r="I12" s="11">
        <f t="shared" si="3"/>
        <v>0.10440215150163436</v>
      </c>
      <c r="J12" s="11">
        <f t="shared" si="4"/>
        <v>68.025709455420312</v>
      </c>
      <c r="K12" s="25">
        <f>SUM($G12:G12)</f>
        <v>8.2477699686291146</v>
      </c>
      <c r="L12" s="10">
        <f>AVERAGE(H$3:H12)</f>
        <v>5.2810362339333183</v>
      </c>
      <c r="M12" s="10">
        <f>AVERAGE(I$3:I12)</f>
        <v>0.1398770505657656</v>
      </c>
      <c r="N12" s="10">
        <f>AVERAGE(J$3:J12)</f>
        <v>36.531964832004022</v>
      </c>
      <c r="O12" s="10">
        <f t="shared" si="5"/>
        <v>1.5617711379507373</v>
      </c>
      <c r="AI12" s="5"/>
      <c r="AJ12" s="5"/>
      <c r="AK12" s="5"/>
      <c r="BE12" s="5"/>
      <c r="BF12" s="5"/>
      <c r="BG12" s="5"/>
      <c r="BH12" s="5"/>
      <c r="BI12" s="5"/>
    </row>
    <row r="13" spans="1:61" customFormat="1" ht="16.5" x14ac:dyDescent="0.3">
      <c r="A13" s="12">
        <v>11</v>
      </c>
      <c r="B13" s="16">
        <v>68</v>
      </c>
      <c r="C13" s="24">
        <f t="shared" si="0"/>
        <v>66.46596866311458</v>
      </c>
      <c r="D13" s="24">
        <f t="shared" si="6"/>
        <v>4.5206263406073282</v>
      </c>
      <c r="E13" s="24">
        <f t="shared" si="8"/>
        <v>1.0208562808040256</v>
      </c>
      <c r="F13" s="26">
        <f t="shared" si="7"/>
        <v>67.835779521626733</v>
      </c>
      <c r="G13" s="11">
        <f t="shared" si="1"/>
        <v>0.16422047837326659</v>
      </c>
      <c r="H13" s="11">
        <f t="shared" si="2"/>
        <v>0.16422047837326659</v>
      </c>
      <c r="I13" s="11">
        <f t="shared" si="3"/>
        <v>2.4150070349009791E-3</v>
      </c>
      <c r="J13" s="11">
        <f t="shared" si="4"/>
        <v>2.6968365517144519E-2</v>
      </c>
      <c r="K13" s="25">
        <f>SUM($G13:G13)</f>
        <v>0.16422047837326659</v>
      </c>
      <c r="L13" s="10">
        <f>AVERAGE(H$3:H13)</f>
        <v>4.8158711652460404</v>
      </c>
      <c r="M13" s="10">
        <f>AVERAGE(I$3:I13)</f>
        <v>0.12738050115386881</v>
      </c>
      <c r="N13" s="10">
        <f>AVERAGE(J$3:J13)</f>
        <v>33.213328789596126</v>
      </c>
      <c r="O13" s="10">
        <f t="shared" si="5"/>
        <v>3.4099848758075459E-2</v>
      </c>
      <c r="AI13" s="5"/>
      <c r="AJ13" s="5"/>
      <c r="AK13" s="5"/>
      <c r="BE13" s="5"/>
      <c r="BF13" s="5"/>
      <c r="BG13" s="5"/>
      <c r="BH13" s="5"/>
      <c r="BI13" s="5"/>
    </row>
    <row r="14" spans="1:61" customFormat="1" ht="16.5" x14ac:dyDescent="0.3">
      <c r="A14" s="12">
        <v>12</v>
      </c>
      <c r="B14" s="16">
        <v>61</v>
      </c>
      <c r="C14" s="24">
        <f t="shared" si="0"/>
        <v>70.689944937755655</v>
      </c>
      <c r="D14" s="24">
        <f t="shared" si="6"/>
        <v>4.4612963274140771</v>
      </c>
      <c r="E14" s="24">
        <f t="shared" si="8"/>
        <v>0.89679381641915601</v>
      </c>
      <c r="F14" s="26">
        <f t="shared" si="7"/>
        <v>63.660339447988754</v>
      </c>
      <c r="G14" s="11">
        <f t="shared" si="1"/>
        <v>-2.6603394479887541</v>
      </c>
      <c r="H14" s="11">
        <f t="shared" si="2"/>
        <v>2.6603394479887541</v>
      </c>
      <c r="I14" s="11">
        <f t="shared" si="3"/>
        <v>4.3612122098176297E-2</v>
      </c>
      <c r="J14" s="11">
        <f t="shared" si="4"/>
        <v>7.0774059785251087</v>
      </c>
      <c r="K14" s="25">
        <f>SUM($G14:G14)</f>
        <v>-2.6603394479887541</v>
      </c>
      <c r="L14" s="10">
        <f>AVERAGE(H$3:H14)</f>
        <v>4.6362435221412666</v>
      </c>
      <c r="M14" s="10">
        <f>AVERAGE(I$3:I14)</f>
        <v>0.12039980289922776</v>
      </c>
      <c r="N14" s="10">
        <f>AVERAGE(J$3:J14)</f>
        <v>31.035335222006875</v>
      </c>
      <c r="O14" s="10">
        <f t="shared" si="5"/>
        <v>-0.57381357025009472</v>
      </c>
      <c r="AI14" s="5"/>
      <c r="AJ14" s="5"/>
      <c r="AK14" s="5"/>
      <c r="BE14" s="5"/>
      <c r="BF14" s="5"/>
      <c r="BG14" s="5"/>
      <c r="BH14" s="5"/>
      <c r="BI14" s="5"/>
    </row>
    <row r="15" spans="1:61" ht="16.5" x14ac:dyDescent="0.3">
      <c r="A15" s="12">
        <v>13</v>
      </c>
      <c r="B15"/>
      <c r="C15" s="24">
        <f t="shared" si="0"/>
        <v>67.636117138652764</v>
      </c>
      <c r="D15" s="24">
        <f t="shared" si="6"/>
        <v>2.9582715021106836</v>
      </c>
      <c r="E15" s="24">
        <f t="shared" si="8"/>
        <v>0.91580435818128603</v>
      </c>
      <c r="F15" s="23">
        <f>($C$14+(A15-$A$14)*$D$14)*E15</f>
        <v>68.823834273375738</v>
      </c>
      <c r="G15" s="7"/>
      <c r="H15" s="11"/>
      <c r="I15" s="7"/>
      <c r="J15"/>
      <c r="K15"/>
      <c r="L15"/>
      <c r="M15"/>
      <c r="N15"/>
      <c r="BE15"/>
      <c r="BF15"/>
      <c r="BG15"/>
      <c r="BH15"/>
      <c r="BI15"/>
    </row>
    <row r="16" spans="1:61" ht="16.5" x14ac:dyDescent="0.3">
      <c r="A16" s="12">
        <v>14</v>
      </c>
      <c r="B16"/>
      <c r="C16" s="24">
        <f t="shared" si="0"/>
        <v>63.5349497766871</v>
      </c>
      <c r="D16" s="24">
        <f t="shared" si="6"/>
        <v>1.5463837292954139</v>
      </c>
      <c r="E16" s="24">
        <f t="shared" si="8"/>
        <v>1.1826718140838579</v>
      </c>
      <c r="F16" s="23">
        <f>($C$14+(A16-$A$14)*$D$14)*E16</f>
        <v>94.155504258440416</v>
      </c>
      <c r="H16" s="11"/>
      <c r="BE16"/>
      <c r="BF16"/>
      <c r="BG16"/>
      <c r="BH16"/>
      <c r="BI16"/>
    </row>
    <row r="17" spans="1:61" ht="16.5" x14ac:dyDescent="0.3">
      <c r="A17" s="12">
        <v>15</v>
      </c>
      <c r="C17" s="24">
        <f t="shared" si="0"/>
        <v>58.573200155384264</v>
      </c>
      <c r="D17" s="24">
        <f t="shared" si="6"/>
        <v>0.24475705917576407</v>
      </c>
      <c r="E17" s="24">
        <f t="shared" si="8"/>
        <v>1.0213505494863233</v>
      </c>
      <c r="F17" s="23">
        <f>($C$14+(A17-$A$14)*$D$14)*E17</f>
        <v>85.868856471611721</v>
      </c>
      <c r="H17" s="11"/>
      <c r="BE17"/>
      <c r="BF17"/>
      <c r="BG17"/>
      <c r="BH17"/>
      <c r="BI17"/>
    </row>
    <row r="18" spans="1:61" ht="16.5" x14ac:dyDescent="0.3">
      <c r="A18" s="12">
        <v>16</v>
      </c>
      <c r="C18" s="24">
        <f t="shared" si="0"/>
        <v>52.936161493104024</v>
      </c>
      <c r="D18" s="24">
        <f t="shared" si="6"/>
        <v>-0.93160208511543685</v>
      </c>
      <c r="E18" s="24">
        <f t="shared" si="8"/>
        <v>0.88929848734230921</v>
      </c>
      <c r="F18" s="23">
        <f>($C$14+(A18-$A$14)*$D$14)*E18</f>
        <v>78.734157405677777</v>
      </c>
      <c r="H18" s="11"/>
      <c r="BE18"/>
      <c r="BF18"/>
      <c r="BG18"/>
      <c r="BH18"/>
      <c r="BI18"/>
    </row>
    <row r="19" spans="1:61" x14ac:dyDescent="0.25">
      <c r="A19"/>
      <c r="BE19"/>
      <c r="BF19"/>
      <c r="BG19"/>
      <c r="BH19"/>
      <c r="BI19"/>
    </row>
    <row r="20" spans="1:61" x14ac:dyDescent="0.25">
      <c r="A20"/>
      <c r="BE20"/>
      <c r="BF20"/>
      <c r="BG20"/>
      <c r="BH20"/>
      <c r="BI20"/>
    </row>
    <row r="21" spans="1:61" x14ac:dyDescent="0.25">
      <c r="A21"/>
      <c r="B21" s="5" t="s">
        <v>9</v>
      </c>
      <c r="BE21"/>
      <c r="BF21"/>
      <c r="BG21"/>
      <c r="BH21"/>
      <c r="BI21"/>
    </row>
    <row r="22" spans="1:61" x14ac:dyDescent="0.25">
      <c r="A22"/>
      <c r="B22" s="5" t="s">
        <v>27</v>
      </c>
      <c r="C22" s="5">
        <v>0.1</v>
      </c>
      <c r="BE22"/>
      <c r="BF22"/>
      <c r="BG22"/>
      <c r="BH22"/>
      <c r="BI22"/>
    </row>
    <row r="23" spans="1:61" x14ac:dyDescent="0.25">
      <c r="A23"/>
      <c r="B23" s="5" t="s">
        <v>25</v>
      </c>
      <c r="C23" s="5">
        <v>0.2</v>
      </c>
      <c r="BE23"/>
      <c r="BF23"/>
      <c r="BG23"/>
      <c r="BH23"/>
      <c r="BI23"/>
    </row>
    <row r="24" spans="1:61" x14ac:dyDescent="0.25">
      <c r="A24"/>
      <c r="B24" s="5" t="s">
        <v>26</v>
      </c>
      <c r="C24" s="5">
        <v>0.2</v>
      </c>
      <c r="BE24"/>
      <c r="BF24"/>
      <c r="BG24"/>
      <c r="BH24"/>
      <c r="BI24"/>
    </row>
    <row r="25" spans="1:61" x14ac:dyDescent="0.25">
      <c r="A25"/>
      <c r="BE25"/>
      <c r="BF25"/>
      <c r="BG25"/>
      <c r="BH25"/>
      <c r="BI25"/>
    </row>
    <row r="26" spans="1:61" x14ac:dyDescent="0.25">
      <c r="A26"/>
      <c r="B26" s="5" t="s">
        <v>18</v>
      </c>
      <c r="C26"/>
      <c r="D26"/>
      <c r="E26"/>
      <c r="BE26"/>
      <c r="BF26"/>
      <c r="BG26"/>
      <c r="BH26"/>
      <c r="BI26"/>
    </row>
    <row r="27" spans="1:61" x14ac:dyDescent="0.25">
      <c r="A27"/>
      <c r="B27" s="5" t="s">
        <v>19</v>
      </c>
      <c r="C27" s="10"/>
      <c r="D27"/>
      <c r="E27"/>
      <c r="BE27"/>
      <c r="BF27"/>
      <c r="BG27"/>
      <c r="BH27"/>
      <c r="BI27"/>
    </row>
    <row r="28" spans="1:61" x14ac:dyDescent="0.25">
      <c r="A28"/>
      <c r="B28" s="5" t="s">
        <v>20</v>
      </c>
      <c r="C28"/>
      <c r="D28"/>
      <c r="E28"/>
      <c r="BE28"/>
      <c r="BF28"/>
      <c r="BG28"/>
      <c r="BH28"/>
      <c r="BI28"/>
    </row>
    <row r="29" spans="1:61" x14ac:dyDescent="0.25">
      <c r="A29"/>
      <c r="B29" s="15" t="s">
        <v>16</v>
      </c>
      <c r="C29"/>
      <c r="D29"/>
      <c r="E29"/>
      <c r="BE29"/>
      <c r="BF29"/>
      <c r="BG29"/>
      <c r="BH29"/>
      <c r="BI29"/>
    </row>
    <row r="30" spans="1:61" x14ac:dyDescent="0.25">
      <c r="A30"/>
      <c r="B30" t="s">
        <v>21</v>
      </c>
      <c r="C30"/>
      <c r="D30"/>
      <c r="E30"/>
      <c r="BE30"/>
      <c r="BF30"/>
      <c r="BG30"/>
      <c r="BH30"/>
      <c r="BI30"/>
    </row>
    <row r="31" spans="1:61" x14ac:dyDescent="0.25">
      <c r="A31"/>
      <c r="B31" t="s">
        <v>17</v>
      </c>
      <c r="C31"/>
      <c r="D31"/>
      <c r="E31"/>
      <c r="BE31"/>
      <c r="BF31"/>
      <c r="BG31"/>
      <c r="BH31"/>
      <c r="BI31"/>
    </row>
    <row r="32" spans="1:61" x14ac:dyDescent="0.25">
      <c r="A32"/>
      <c r="B32" t="s">
        <v>22</v>
      </c>
      <c r="C32"/>
      <c r="D32"/>
      <c r="E32"/>
      <c r="Z32"/>
      <c r="AA32"/>
      <c r="AB32"/>
      <c r="AC32"/>
      <c r="AD32"/>
      <c r="AE32"/>
      <c r="AF32"/>
      <c r="AG32"/>
      <c r="AH32"/>
      <c r="AI32"/>
      <c r="AJ32"/>
      <c r="AK32"/>
      <c r="BE32"/>
      <c r="BF32"/>
      <c r="BG32"/>
      <c r="BH32"/>
      <c r="BI32"/>
    </row>
    <row r="33" spans="1:61" x14ac:dyDescent="0.25">
      <c r="A33"/>
      <c r="B33" t="s">
        <v>23</v>
      </c>
      <c r="C33"/>
      <c r="D33"/>
      <c r="E33"/>
      <c r="Z33"/>
      <c r="AA33"/>
      <c r="AB33"/>
      <c r="AC33"/>
      <c r="AD33"/>
      <c r="AE33"/>
      <c r="AF33"/>
      <c r="AG33"/>
      <c r="AH33"/>
      <c r="AI33"/>
      <c r="AJ33"/>
      <c r="AK33"/>
      <c r="BE33"/>
      <c r="BF33"/>
      <c r="BG33"/>
      <c r="BH33"/>
      <c r="BI33"/>
    </row>
    <row r="34" spans="1:61" x14ac:dyDescent="0.25">
      <c r="A34"/>
      <c r="B34" t="s">
        <v>24</v>
      </c>
      <c r="C34"/>
      <c r="D34"/>
      <c r="E34"/>
      <c r="Z34"/>
      <c r="AA34"/>
      <c r="AB34"/>
      <c r="AC34"/>
      <c r="AD34"/>
      <c r="AE34"/>
      <c r="AF34"/>
      <c r="AG34"/>
      <c r="AH34"/>
      <c r="AI34"/>
      <c r="AJ34"/>
      <c r="AK34"/>
      <c r="BE34"/>
      <c r="BF34"/>
      <c r="BG34"/>
      <c r="BH34"/>
      <c r="BI34"/>
    </row>
    <row r="35" spans="1:61" x14ac:dyDescent="0.25">
      <c r="A35"/>
      <c r="B35"/>
      <c r="C35"/>
      <c r="D35"/>
      <c r="E35"/>
      <c r="Z35"/>
      <c r="AA35"/>
      <c r="AB35"/>
      <c r="AC35"/>
      <c r="AD35"/>
      <c r="AE35"/>
      <c r="AF35"/>
      <c r="AG35"/>
      <c r="AH35"/>
      <c r="AI35"/>
      <c r="AJ35"/>
      <c r="AK35"/>
      <c r="BE35"/>
      <c r="BF35"/>
      <c r="BG35"/>
      <c r="BH35"/>
      <c r="BI35"/>
    </row>
    <row r="36" spans="1:61" x14ac:dyDescent="0.25">
      <c r="A36"/>
      <c r="B36"/>
      <c r="C36"/>
      <c r="D36"/>
      <c r="E36"/>
      <c r="Z36"/>
      <c r="AA36"/>
      <c r="AB36"/>
      <c r="AC36"/>
      <c r="AD36"/>
      <c r="AE36"/>
      <c r="AF36"/>
      <c r="AG36"/>
      <c r="AH36"/>
      <c r="AI36"/>
      <c r="AJ36"/>
      <c r="AK36"/>
      <c r="BE36"/>
      <c r="BF36"/>
      <c r="BG36"/>
      <c r="BH36"/>
      <c r="BI36"/>
    </row>
    <row r="37" spans="1:61" x14ac:dyDescent="0.25">
      <c r="A37"/>
      <c r="B37"/>
      <c r="C37"/>
      <c r="D37"/>
      <c r="E37"/>
      <c r="Z37"/>
      <c r="AA37"/>
      <c r="AB37"/>
      <c r="AC37"/>
      <c r="AD37"/>
      <c r="AE37"/>
      <c r="AF37"/>
      <c r="AG37"/>
      <c r="AH37"/>
      <c r="AI37"/>
      <c r="AJ37"/>
      <c r="AK37"/>
      <c r="BE37"/>
      <c r="BF37"/>
      <c r="BG37"/>
      <c r="BH37"/>
      <c r="BI37"/>
    </row>
    <row r="38" spans="1:61" x14ac:dyDescent="0.25">
      <c r="A38"/>
      <c r="B38"/>
      <c r="C38"/>
      <c r="D38"/>
      <c r="E38"/>
      <c r="Z38"/>
      <c r="AA38"/>
      <c r="AB38"/>
      <c r="AC38"/>
      <c r="AD38"/>
      <c r="AE38"/>
      <c r="AF38"/>
      <c r="AG38"/>
      <c r="AH38"/>
      <c r="AI38"/>
      <c r="AJ38"/>
      <c r="AK38"/>
      <c r="BE38"/>
      <c r="BF38"/>
      <c r="BG38"/>
      <c r="BH38"/>
      <c r="BI38"/>
    </row>
    <row r="39" spans="1:61" x14ac:dyDescent="0.25">
      <c r="A39"/>
      <c r="B39"/>
      <c r="C39"/>
      <c r="D39"/>
      <c r="E39"/>
      <c r="Z39"/>
      <c r="AA39"/>
      <c r="AB39"/>
      <c r="AC39"/>
      <c r="AD39"/>
      <c r="AE39"/>
      <c r="AF39"/>
      <c r="AG39"/>
      <c r="AH39"/>
      <c r="AI39"/>
      <c r="AJ39"/>
      <c r="AK39"/>
      <c r="BE39"/>
      <c r="BF39"/>
      <c r="BG39"/>
      <c r="BH39"/>
      <c r="BI39"/>
    </row>
    <row r="40" spans="1:61" x14ac:dyDescent="0.25">
      <c r="A40"/>
      <c r="B40"/>
      <c r="C40"/>
      <c r="D40"/>
      <c r="E40"/>
      <c r="Z40"/>
      <c r="AA40"/>
      <c r="AB40"/>
      <c r="AC40"/>
      <c r="AD40"/>
      <c r="AE40"/>
      <c r="AF40"/>
      <c r="AG40"/>
      <c r="AH40"/>
      <c r="AI40"/>
      <c r="AJ40"/>
      <c r="AK40"/>
      <c r="BE40"/>
      <c r="BF40"/>
      <c r="BG40"/>
      <c r="BH40"/>
      <c r="BI40"/>
    </row>
    <row r="41" spans="1:61" x14ac:dyDescent="0.25">
      <c r="A41"/>
      <c r="B41"/>
      <c r="C41"/>
      <c r="D41"/>
      <c r="E41"/>
      <c r="Z41"/>
      <c r="AA41"/>
      <c r="AB41"/>
      <c r="AC41"/>
      <c r="AD41"/>
      <c r="AE41"/>
      <c r="AF41"/>
      <c r="AG41"/>
      <c r="AH41"/>
      <c r="AI41"/>
      <c r="AJ41"/>
      <c r="AK41"/>
      <c r="BE41"/>
      <c r="BF41"/>
      <c r="BG41"/>
      <c r="BH41"/>
      <c r="BI41"/>
    </row>
    <row r="42" spans="1:61" x14ac:dyDescent="0.25">
      <c r="A42"/>
      <c r="B42"/>
      <c r="C42"/>
      <c r="D42"/>
      <c r="E42"/>
      <c r="Z42"/>
      <c r="AA42"/>
      <c r="AB42"/>
      <c r="AC42"/>
      <c r="AD42"/>
      <c r="AE42"/>
      <c r="AF42"/>
      <c r="AG42"/>
      <c r="AH42"/>
      <c r="AI42"/>
      <c r="AJ42"/>
      <c r="AK42"/>
      <c r="BE42"/>
      <c r="BF42"/>
      <c r="BG42"/>
      <c r="BH42"/>
      <c r="BI42"/>
    </row>
    <row r="43" spans="1:61" x14ac:dyDescent="0.25">
      <c r="A43"/>
      <c r="B43"/>
      <c r="C43"/>
      <c r="D43"/>
      <c r="E43"/>
      <c r="Z43"/>
      <c r="AA43"/>
      <c r="AB43"/>
      <c r="AC43"/>
      <c r="AD43"/>
      <c r="AE43"/>
      <c r="AF43"/>
      <c r="AG43"/>
      <c r="AH43"/>
      <c r="AI43"/>
      <c r="AJ43"/>
      <c r="AK43"/>
      <c r="BE43"/>
      <c r="BF43"/>
      <c r="BG43"/>
      <c r="BH43"/>
      <c r="BI43"/>
    </row>
    <row r="44" spans="1:61" x14ac:dyDescent="0.25">
      <c r="A44"/>
      <c r="B44"/>
      <c r="C44"/>
      <c r="D44"/>
      <c r="E44"/>
      <c r="Z44"/>
      <c r="AA44"/>
      <c r="AB44"/>
      <c r="AC44"/>
      <c r="AD44"/>
      <c r="AE44"/>
      <c r="AF44"/>
      <c r="AG44"/>
      <c r="AH44"/>
      <c r="AI44"/>
      <c r="AJ44"/>
      <c r="AK44"/>
      <c r="BE44"/>
      <c r="BF44"/>
      <c r="BG44"/>
      <c r="BH44"/>
      <c r="BI44"/>
    </row>
    <row r="45" spans="1:61" x14ac:dyDescent="0.25">
      <c r="A45"/>
      <c r="B45"/>
      <c r="C45"/>
      <c r="D45"/>
      <c r="E45"/>
      <c r="Z45"/>
      <c r="AA45"/>
      <c r="AB45"/>
      <c r="AC45"/>
      <c r="AD45"/>
      <c r="AE45"/>
      <c r="AF45"/>
      <c r="AG45"/>
      <c r="AH45"/>
      <c r="AI45"/>
      <c r="AJ45"/>
      <c r="AK45"/>
      <c r="BE45"/>
      <c r="BF45"/>
      <c r="BG45"/>
      <c r="BH45"/>
      <c r="BI45"/>
    </row>
    <row r="46" spans="1:61" x14ac:dyDescent="0.25">
      <c r="A46"/>
      <c r="B46"/>
      <c r="C46"/>
      <c r="D46"/>
      <c r="E46"/>
      <c r="Z46"/>
      <c r="AA46"/>
      <c r="AB46"/>
      <c r="AC46"/>
      <c r="AD46"/>
      <c r="AE46"/>
      <c r="AF46"/>
      <c r="AG46"/>
      <c r="AH46"/>
      <c r="AI46"/>
      <c r="AJ46"/>
      <c r="AK46"/>
      <c r="BE46"/>
      <c r="BF46"/>
      <c r="BG46"/>
      <c r="BH46"/>
      <c r="BI46"/>
    </row>
    <row r="47" spans="1:61" x14ac:dyDescent="0.25">
      <c r="A47"/>
      <c r="B47"/>
      <c r="C47"/>
      <c r="D47"/>
      <c r="E47"/>
      <c r="Z47"/>
      <c r="AA47"/>
      <c r="AB47"/>
      <c r="AC47"/>
      <c r="AD47"/>
      <c r="AE47"/>
      <c r="AF47"/>
      <c r="AG47"/>
      <c r="AH47"/>
      <c r="AI47"/>
      <c r="AJ47"/>
      <c r="AK47"/>
      <c r="BE47"/>
      <c r="BF47"/>
      <c r="BG47"/>
      <c r="BH47"/>
      <c r="BI47"/>
    </row>
    <row r="48" spans="1:61" x14ac:dyDescent="0.25">
      <c r="A48"/>
      <c r="B48"/>
      <c r="C48"/>
      <c r="D48"/>
      <c r="E48"/>
      <c r="Z48"/>
      <c r="AA48"/>
      <c r="AB48"/>
      <c r="AC48"/>
      <c r="AD48"/>
      <c r="AE48"/>
      <c r="AF48"/>
      <c r="AG48"/>
      <c r="AH48"/>
      <c r="AI48"/>
      <c r="AJ48"/>
      <c r="AK48"/>
      <c r="BE48"/>
      <c r="BF48"/>
      <c r="BG48"/>
      <c r="BH48"/>
      <c r="BI48"/>
    </row>
    <row r="49" spans="1:61" x14ac:dyDescent="0.25">
      <c r="A49"/>
      <c r="B49"/>
      <c r="C49"/>
      <c r="D49"/>
      <c r="E49"/>
      <c r="Z49"/>
      <c r="AA49"/>
      <c r="AB49"/>
      <c r="AC49"/>
      <c r="AD49"/>
      <c r="AE49"/>
      <c r="AF49"/>
      <c r="AG49"/>
      <c r="AH49"/>
      <c r="AI49"/>
      <c r="AJ49"/>
      <c r="AK49"/>
      <c r="BE49"/>
      <c r="BF49"/>
      <c r="BG49"/>
      <c r="BH49"/>
      <c r="BI49"/>
    </row>
    <row r="50" spans="1:61" x14ac:dyDescent="0.25">
      <c r="A50"/>
      <c r="B50"/>
      <c r="C50"/>
      <c r="D50"/>
      <c r="E50"/>
      <c r="Z50"/>
      <c r="AA50"/>
      <c r="AB50"/>
      <c r="AC50"/>
      <c r="AD50"/>
      <c r="AE50"/>
      <c r="AF50"/>
      <c r="AG50"/>
      <c r="AH50"/>
      <c r="AI50"/>
      <c r="AJ50"/>
      <c r="AK50"/>
      <c r="BE50"/>
      <c r="BF50"/>
      <c r="BG50"/>
      <c r="BH50"/>
      <c r="BI50"/>
    </row>
    <row r="51" spans="1:61" x14ac:dyDescent="0.25">
      <c r="A51"/>
      <c r="B51"/>
      <c r="C51"/>
      <c r="D51"/>
      <c r="E51"/>
      <c r="Z51"/>
      <c r="AA51"/>
      <c r="AB51"/>
      <c r="AC51"/>
      <c r="AD51"/>
      <c r="AE51"/>
      <c r="AF51"/>
      <c r="AG51"/>
      <c r="AH51"/>
      <c r="AI51"/>
      <c r="AJ51"/>
      <c r="AK51"/>
      <c r="BE51"/>
      <c r="BF51"/>
      <c r="BG51"/>
      <c r="BH51"/>
      <c r="BI51"/>
    </row>
    <row r="52" spans="1:61" x14ac:dyDescent="0.25">
      <c r="A52"/>
      <c r="B52"/>
      <c r="C52"/>
      <c r="D52"/>
      <c r="E52"/>
      <c r="BE52"/>
      <c r="BF52"/>
      <c r="BG52"/>
      <c r="BH52"/>
      <c r="BI52"/>
    </row>
    <row r="53" spans="1:61" x14ac:dyDescent="0.25">
      <c r="A53"/>
      <c r="B53"/>
      <c r="C53"/>
      <c r="D53"/>
      <c r="E53"/>
      <c r="BE53"/>
      <c r="BF53"/>
      <c r="BG53"/>
      <c r="BH53"/>
      <c r="BI53"/>
    </row>
    <row r="54" spans="1:61" x14ac:dyDescent="0.25">
      <c r="A54"/>
      <c r="B54"/>
      <c r="C54"/>
      <c r="D54"/>
      <c r="E54"/>
      <c r="BE54"/>
      <c r="BF54"/>
      <c r="BG54"/>
      <c r="BH54"/>
      <c r="BI54"/>
    </row>
    <row r="55" spans="1:61" x14ac:dyDescent="0.25">
      <c r="A55"/>
      <c r="B55"/>
      <c r="C55"/>
      <c r="D55"/>
      <c r="E55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61" ht="16.5" x14ac:dyDescent="0.3">
      <c r="A71"/>
      <c r="B71"/>
      <c r="C71"/>
      <c r="D71"/>
      <c r="E71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61" ht="16.5" x14ac:dyDescent="0.3">
      <c r="A72"/>
      <c r="B72"/>
      <c r="C72"/>
      <c r="D72"/>
      <c r="E7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6D07-094D-4ED0-9B74-4402A7866F24}">
  <sheetPr>
    <tabColor rgb="FF92D050"/>
  </sheetPr>
  <dimension ref="A1:BP298"/>
  <sheetViews>
    <sheetView zoomScale="75" zoomScaleNormal="75" workbookViewId="0">
      <selection sqref="A1:Z20"/>
    </sheetView>
  </sheetViews>
  <sheetFormatPr defaultColWidth="9.140625" defaultRowHeight="15" x14ac:dyDescent="0.25"/>
  <cols>
    <col min="1" max="1" width="4.5703125" style="5" bestFit="1" customWidth="1"/>
    <col min="2" max="2" width="17" style="5" customWidth="1"/>
    <col min="3" max="3" width="14.140625" style="5" bestFit="1" customWidth="1"/>
    <col min="4" max="4" width="11.7109375" style="5" bestFit="1" customWidth="1"/>
    <col min="5" max="5" width="9" style="5" bestFit="1" customWidth="1"/>
    <col min="6" max="6" width="5.140625" style="5" bestFit="1" customWidth="1"/>
    <col min="7" max="8" width="11.85546875" style="5" bestFit="1" customWidth="1"/>
    <col min="9" max="9" width="12.85546875" style="5" bestFit="1" customWidth="1"/>
    <col min="10" max="11" width="9.7109375" style="5" customWidth="1"/>
    <col min="12" max="12" width="11" style="5" bestFit="1" customWidth="1"/>
    <col min="13" max="13" width="20.5703125" style="5" bestFit="1" customWidth="1"/>
    <col min="14" max="16" width="9.7109375" style="5" customWidth="1"/>
    <col min="17" max="17" width="13.28515625" style="5" bestFit="1" customWidth="1"/>
    <col min="18" max="18" width="12.140625" style="5" bestFit="1" customWidth="1"/>
    <col min="19" max="19" width="13.85546875" style="5" bestFit="1" customWidth="1"/>
    <col min="20" max="20" width="12.42578125" style="5" bestFit="1" customWidth="1"/>
    <col min="21" max="21" width="12.42578125" style="5" customWidth="1"/>
    <col min="22" max="22" width="12.140625" style="5" bestFit="1" customWidth="1"/>
    <col min="23" max="26" width="9.28515625" style="5" bestFit="1" customWidth="1"/>
    <col min="27" max="28" width="9.140625" style="5"/>
    <col min="29" max="29" width="9.28515625" style="5" bestFit="1" customWidth="1"/>
    <col min="30" max="40" width="9.140625" style="5"/>
    <col min="41" max="41" width="9.140625" style="5" customWidth="1"/>
    <col min="42" max="44" width="9.140625" style="5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5"/>
  </cols>
  <sheetData>
    <row r="1" spans="1:68" customFormat="1" ht="17.25" thickBot="1" x14ac:dyDescent="0.35">
      <c r="A1" s="6" t="s">
        <v>3</v>
      </c>
      <c r="B1" s="29" t="s">
        <v>40</v>
      </c>
      <c r="C1" s="12" t="s">
        <v>46</v>
      </c>
      <c r="D1" s="12" t="s">
        <v>45</v>
      </c>
      <c r="E1" s="12" t="s">
        <v>44</v>
      </c>
      <c r="F1" s="12" t="s">
        <v>5</v>
      </c>
      <c r="G1" s="12" t="s">
        <v>43</v>
      </c>
      <c r="H1" s="12" t="s">
        <v>42</v>
      </c>
      <c r="I1" s="12" t="s">
        <v>41</v>
      </c>
      <c r="J1" s="7" t="s">
        <v>8</v>
      </c>
      <c r="K1" s="7" t="s">
        <v>4</v>
      </c>
      <c r="L1" s="7" t="s">
        <v>15</v>
      </c>
      <c r="M1" s="1" t="s">
        <v>39</v>
      </c>
      <c r="N1" s="1" t="s">
        <v>2</v>
      </c>
      <c r="O1" s="1" t="s">
        <v>1</v>
      </c>
      <c r="P1" s="1" t="s">
        <v>38</v>
      </c>
      <c r="Q1" s="1" t="s">
        <v>11</v>
      </c>
      <c r="R1" s="5" t="s">
        <v>14</v>
      </c>
      <c r="S1" s="5" t="s">
        <v>0</v>
      </c>
      <c r="T1" s="5" t="s">
        <v>13</v>
      </c>
      <c r="U1" s="5" t="s">
        <v>12</v>
      </c>
      <c r="V1" s="5" t="s">
        <v>6</v>
      </c>
    </row>
    <row r="2" spans="1:68" customFormat="1" ht="16.5" x14ac:dyDescent="0.3">
      <c r="A2" s="5">
        <v>0</v>
      </c>
      <c r="B2" s="5"/>
      <c r="C2" s="39">
        <f>INTERCEPT($C$5:$C$12,$A$5:$A$12)</f>
        <v>18438.988095238095</v>
      </c>
      <c r="D2" s="39">
        <f>SLOPE($C$5:$C$12,$A$5:$A$12)</f>
        <v>523.80952380952385</v>
      </c>
      <c r="E2" s="5"/>
      <c r="F2" s="5"/>
      <c r="G2" s="5"/>
      <c r="H2" s="5"/>
      <c r="I2" s="5"/>
      <c r="J2" s="28">
        <f>C2</f>
        <v>18438.988095238095</v>
      </c>
      <c r="K2" s="28">
        <f>D2</f>
        <v>523.80952380952385</v>
      </c>
      <c r="L2" s="12"/>
      <c r="M2" s="7"/>
      <c r="N2" s="7"/>
      <c r="O2" s="7"/>
      <c r="P2" s="7"/>
      <c r="Q2" s="7"/>
      <c r="R2" s="5"/>
      <c r="AP2" s="5"/>
      <c r="AQ2" s="5"/>
      <c r="AR2" s="5"/>
      <c r="BL2" s="5"/>
      <c r="BM2" s="5"/>
      <c r="BN2" s="5"/>
      <c r="BO2" s="5"/>
      <c r="BP2" s="5"/>
    </row>
    <row r="3" spans="1:68" customFormat="1" ht="16.5" x14ac:dyDescent="0.3">
      <c r="A3" s="12">
        <v>1</v>
      </c>
      <c r="B3" s="16">
        <v>8000</v>
      </c>
      <c r="C3" s="38"/>
      <c r="D3" s="34">
        <f t="shared" ref="D3:D14" si="0">$C$2+$D$2*A3</f>
        <v>18962.797619047618</v>
      </c>
      <c r="E3" s="33">
        <f t="shared" ref="E3:E14" si="1">B3/D3</f>
        <v>0.42187867849015148</v>
      </c>
      <c r="F3" s="32">
        <f t="shared" ref="F3:F14" si="2">IF(MOD(A3,$C$37)&gt;0,MOD(A3,$C$37),$C$37)</f>
        <v>1</v>
      </c>
      <c r="G3" s="37">
        <f>AVERAGEIF($F$3:$F$30,F3,$E$3:$E$30)</f>
        <v>0.47168067193938779</v>
      </c>
      <c r="H3" s="37">
        <f>G3/AVERAGE($G$3:$G$6)</f>
        <v>0.47283758187169111</v>
      </c>
      <c r="I3" s="31">
        <f t="shared" ref="I3:I14" si="3">D3*VLOOKUP(F3,$F$3:$H$6,3,0)</f>
        <v>8966.3233717127368</v>
      </c>
      <c r="J3" s="36">
        <f>(1-$C$38)*SUM(J2:K2)+$C$38*B3/L3</f>
        <v>18860.614183470476</v>
      </c>
      <c r="K3" s="36">
        <f t="shared" ref="K3:K14" si="4">(1-$C$39)*K2+$C$39*(J3-J2)</f>
        <v>513.59118025180953</v>
      </c>
      <c r="L3" s="27">
        <f>H3</f>
        <v>0.47283758187169111</v>
      </c>
      <c r="M3" s="26">
        <f>(J2+K2)*L3</f>
        <v>8966.3233717127368</v>
      </c>
      <c r="N3" s="11">
        <f t="shared" ref="N3:N14" si="5">B3-M3</f>
        <v>-966.32337171273684</v>
      </c>
      <c r="O3" s="11">
        <f t="shared" ref="O3:O14" si="6">ABS(N3)</f>
        <v>966.32337171273684</v>
      </c>
      <c r="P3" s="11">
        <f t="shared" ref="P3:P14" si="7">O3/B3</f>
        <v>0.12079042146409211</v>
      </c>
      <c r="Q3" s="11">
        <f t="shared" ref="Q3:Q14" si="8">N3^2</f>
        <v>933780.85871827218</v>
      </c>
      <c r="R3" s="25">
        <f>SUM($N3:N3)</f>
        <v>-966.32337171273684</v>
      </c>
      <c r="S3" s="10">
        <f>AVERAGE(O$3:O3)</f>
        <v>966.32337171273684</v>
      </c>
      <c r="T3" s="10">
        <f>AVERAGE(P$3:P3)</f>
        <v>0.12079042146409211</v>
      </c>
      <c r="U3" s="10">
        <f>AVERAGE(Q$3:Q3)</f>
        <v>933780.85871827218</v>
      </c>
      <c r="V3" s="10">
        <f t="shared" ref="V3:V14" si="9">R3/S3</f>
        <v>-1</v>
      </c>
      <c r="AP3" s="5"/>
      <c r="AQ3" s="5"/>
      <c r="AR3" s="5"/>
      <c r="BL3" s="5"/>
      <c r="BM3" s="5"/>
      <c r="BN3" s="5"/>
      <c r="BO3" s="5"/>
      <c r="BP3" s="5"/>
    </row>
    <row r="4" spans="1:68" customFormat="1" ht="16.5" x14ac:dyDescent="0.3">
      <c r="A4" s="12">
        <v>2</v>
      </c>
      <c r="B4" s="16">
        <v>13000</v>
      </c>
      <c r="C4" s="38"/>
      <c r="D4" s="34">
        <f t="shared" si="0"/>
        <v>19486.607142857145</v>
      </c>
      <c r="E4" s="33">
        <f t="shared" si="1"/>
        <v>0.66712485681557843</v>
      </c>
      <c r="F4" s="32">
        <f t="shared" si="2"/>
        <v>2</v>
      </c>
      <c r="G4" s="37">
        <f>AVERAGEIF($F$3:$F$30,F4,$E$3:$E$30)</f>
        <v>0.68340443601506251</v>
      </c>
      <c r="H4" s="37">
        <f>G4/AVERAGE($G$3:$G$6)</f>
        <v>0.68508064923905398</v>
      </c>
      <c r="I4" s="31">
        <f t="shared" si="3"/>
        <v>13349.89747289496</v>
      </c>
      <c r="J4" s="36">
        <f t="shared" ref="J4:J14" si="10">(1-$C$38)*(J3+K3)+$C$38*(B4/L4)</f>
        <v>19354.288497775717</v>
      </c>
      <c r="K4" s="36">
        <f t="shared" si="4"/>
        <v>511.59949365715272</v>
      </c>
      <c r="L4" s="27">
        <f>H4</f>
        <v>0.68508064923905398</v>
      </c>
      <c r="M4" s="26">
        <f t="shared" ref="M4:M14" si="11">(J4+K4)*L4</f>
        <v>13609.735442881156</v>
      </c>
      <c r="N4" s="11">
        <f t="shared" si="5"/>
        <v>-609.7354428811559</v>
      </c>
      <c r="O4" s="11">
        <f t="shared" si="6"/>
        <v>609.7354428811559</v>
      </c>
      <c r="P4" s="11">
        <f t="shared" si="7"/>
        <v>4.6902726375473533E-2</v>
      </c>
      <c r="Q4" s="11">
        <f t="shared" si="8"/>
        <v>371777.31030547933</v>
      </c>
      <c r="R4" s="25">
        <f>SUM($N4:N4)</f>
        <v>-609.7354428811559</v>
      </c>
      <c r="S4" s="10">
        <f>AVERAGE(O$3:O4)</f>
        <v>788.02940729694637</v>
      </c>
      <c r="T4" s="10">
        <f>AVERAGE(P$3:P4)</f>
        <v>8.3846573919782813E-2</v>
      </c>
      <c r="U4" s="10">
        <f>AVERAGE(Q$3:Q4)</f>
        <v>652779.08451187576</v>
      </c>
      <c r="V4" s="10">
        <f t="shared" si="9"/>
        <v>-0.77374706734947329</v>
      </c>
      <c r="AP4" s="5"/>
      <c r="AQ4" s="5"/>
      <c r="AR4" s="5"/>
      <c r="BL4" s="5"/>
      <c r="BM4" s="5"/>
      <c r="BN4" s="5"/>
      <c r="BO4" s="5"/>
      <c r="BP4" s="5"/>
    </row>
    <row r="5" spans="1:68" customFormat="1" ht="16.5" x14ac:dyDescent="0.3">
      <c r="A5" s="12">
        <v>3</v>
      </c>
      <c r="B5" s="16">
        <v>23000</v>
      </c>
      <c r="C5" s="17">
        <f t="shared" ref="C5:C12" si="12">AVERAGE(AVERAGE(B3:B6),AVERAGE(B4:B7))</f>
        <v>19750</v>
      </c>
      <c r="D5" s="34">
        <f t="shared" si="0"/>
        <v>20010.416666666668</v>
      </c>
      <c r="E5" s="33">
        <f t="shared" si="1"/>
        <v>1.1494013534617387</v>
      </c>
      <c r="F5" s="32">
        <f t="shared" si="2"/>
        <v>3</v>
      </c>
      <c r="G5" s="37">
        <f>AVERAGEIF($F$3:$F$30,F5,$E$3:$E$30)</f>
        <v>1.1707081255011917</v>
      </c>
      <c r="H5" s="37">
        <f>G5/AVERAGE($G$3:$G$6)</f>
        <v>1.173579567853603</v>
      </c>
      <c r="I5" s="31">
        <f t="shared" si="3"/>
        <v>23483.816144237204</v>
      </c>
      <c r="J5" s="36">
        <f t="shared" si="10"/>
        <v>19852.501585746351</v>
      </c>
      <c r="K5" s="36">
        <f t="shared" si="4"/>
        <v>510.26085308850094</v>
      </c>
      <c r="L5" s="27">
        <f>H5</f>
        <v>1.173579567853603</v>
      </c>
      <c r="M5" s="26">
        <f t="shared" si="11"/>
        <v>23897.321943273386</v>
      </c>
      <c r="N5" s="11">
        <f t="shared" si="5"/>
        <v>-897.32194327338584</v>
      </c>
      <c r="O5" s="11">
        <f t="shared" si="6"/>
        <v>897.32194327338584</v>
      </c>
      <c r="P5" s="11">
        <f t="shared" si="7"/>
        <v>3.9013997533625472E-2</v>
      </c>
      <c r="Q5" s="11">
        <f t="shared" si="8"/>
        <v>805186.66987992544</v>
      </c>
      <c r="R5" s="25">
        <f>SUM($N5:N5)</f>
        <v>-897.32194327338584</v>
      </c>
      <c r="S5" s="10">
        <f>AVERAGE(O$3:O5)</f>
        <v>824.4602526224262</v>
      </c>
      <c r="T5" s="10">
        <f>AVERAGE(P$3:P5)</f>
        <v>6.8902381791063699E-2</v>
      </c>
      <c r="U5" s="10">
        <f>AVERAGE(Q$3:Q5)</f>
        <v>703581.6129678922</v>
      </c>
      <c r="V5" s="10">
        <f t="shared" si="9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5"/>
      <c r="AQ5" s="5"/>
      <c r="AR5" s="5"/>
      <c r="BL5" s="5"/>
      <c r="BM5" s="5"/>
      <c r="BN5" s="5"/>
      <c r="BO5" s="5"/>
      <c r="BP5" s="5"/>
    </row>
    <row r="6" spans="1:68" customFormat="1" ht="16.5" x14ac:dyDescent="0.3">
      <c r="A6" s="12">
        <v>4</v>
      </c>
      <c r="B6" s="16">
        <v>34000</v>
      </c>
      <c r="C6" s="17">
        <f t="shared" si="12"/>
        <v>20625</v>
      </c>
      <c r="D6" s="34">
        <f t="shared" si="0"/>
        <v>20534.226190476191</v>
      </c>
      <c r="E6" s="33">
        <f t="shared" si="1"/>
        <v>1.6557721574027102</v>
      </c>
      <c r="F6" s="32">
        <f t="shared" si="2"/>
        <v>4</v>
      </c>
      <c r="G6" s="37">
        <f>AVERAGEIF($F$3:$F$30,F6,$E$3:$E$30)</f>
        <v>1.6644198124048513</v>
      </c>
      <c r="H6" s="37">
        <f>G6/AVERAGE($G$3:$G$6)</f>
        <v>1.6685022010356516</v>
      </c>
      <c r="I6" s="31">
        <f t="shared" si="3"/>
        <v>34261.401595373449</v>
      </c>
      <c r="J6" s="36">
        <f t="shared" si="10"/>
        <v>20363.502205663528</v>
      </c>
      <c r="K6" s="36">
        <f t="shared" si="4"/>
        <v>510.3348297713685</v>
      </c>
      <c r="L6" s="27">
        <f>H6</f>
        <v>1.6685022010356516</v>
      </c>
      <c r="M6" s="26">
        <f t="shared" si="11"/>
        <v>34828.043037682626</v>
      </c>
      <c r="N6" s="11">
        <f t="shared" si="5"/>
        <v>-828.04303768262616</v>
      </c>
      <c r="O6" s="11">
        <f t="shared" si="6"/>
        <v>828.04303768262616</v>
      </c>
      <c r="P6" s="11">
        <f t="shared" si="7"/>
        <v>2.4354206990665477E-2</v>
      </c>
      <c r="Q6" s="11">
        <f t="shared" si="8"/>
        <v>685655.27225467109</v>
      </c>
      <c r="R6" s="25">
        <f>SUM($N6:N6)</f>
        <v>-828.04303768262616</v>
      </c>
      <c r="S6" s="10">
        <f>AVERAGE(O$3:O6)</f>
        <v>825.35594888747619</v>
      </c>
      <c r="T6" s="10">
        <f>AVERAGE(P$3:P6)</f>
        <v>5.7765338090964145E-2</v>
      </c>
      <c r="U6" s="10">
        <f>AVERAGE(Q$3:Q6)</f>
        <v>699100.02778958692</v>
      </c>
      <c r="V6" s="10">
        <f t="shared" si="9"/>
        <v>-1.0032556726570785</v>
      </c>
      <c r="Z6">
        <f>Z5+4*AA5</f>
        <v>18210.95571095571</v>
      </c>
      <c r="AP6" s="5"/>
      <c r="AQ6" s="5"/>
      <c r="AR6" s="5"/>
      <c r="BL6" s="5"/>
      <c r="BM6" s="5"/>
      <c r="BN6" s="5"/>
      <c r="BO6" s="5"/>
      <c r="BP6" s="5"/>
    </row>
    <row r="7" spans="1:68" customFormat="1" ht="16.5" x14ac:dyDescent="0.3">
      <c r="A7" s="12">
        <v>5</v>
      </c>
      <c r="B7" s="16">
        <v>10000</v>
      </c>
      <c r="C7" s="17">
        <f t="shared" si="12"/>
        <v>21250</v>
      </c>
      <c r="D7" s="34">
        <f t="shared" si="0"/>
        <v>21058.035714285714</v>
      </c>
      <c r="E7" s="33">
        <f t="shared" si="1"/>
        <v>0.47487810048759804</v>
      </c>
      <c r="F7" s="32">
        <f t="shared" si="2"/>
        <v>1</v>
      </c>
      <c r="G7" s="35">
        <f>AVERAGE(G3:G6)</f>
        <v>0.99755326146512346</v>
      </c>
      <c r="H7" s="35">
        <f>AVERAGE(H3:H6)</f>
        <v>1</v>
      </c>
      <c r="I7" s="31">
        <f t="shared" si="3"/>
        <v>9957.0306861105673</v>
      </c>
      <c r="J7" s="24">
        <f t="shared" si="10"/>
        <v>20899.111258422705</v>
      </c>
      <c r="K7" s="24">
        <f t="shared" si="4"/>
        <v>512.86225207014934</v>
      </c>
      <c r="L7" s="24">
        <f t="shared" ref="L7:L18" si="13">(1-$C$40)*L3+$C$40*(B3/SUM(J2:K2))</f>
        <v>0.46774169153353717</v>
      </c>
      <c r="M7" s="26">
        <f t="shared" si="11"/>
        <v>10015.272708869217</v>
      </c>
      <c r="N7" s="11">
        <f t="shared" si="5"/>
        <v>-15.27270886921724</v>
      </c>
      <c r="O7" s="11">
        <f t="shared" si="6"/>
        <v>15.27270886921724</v>
      </c>
      <c r="P7" s="11">
        <f t="shared" si="7"/>
        <v>1.5272708869217241E-3</v>
      </c>
      <c r="Q7" s="11">
        <f t="shared" si="8"/>
        <v>233.25563620386694</v>
      </c>
      <c r="R7" s="25">
        <f>SUM($N7:N7)</f>
        <v>-15.27270886921724</v>
      </c>
      <c r="S7" s="10">
        <f>AVERAGE(O$3:O7)</f>
        <v>663.33930088382442</v>
      </c>
      <c r="T7" s="10">
        <f>AVERAGE(P$3:P7)</f>
        <v>4.6517724650155662E-2</v>
      </c>
      <c r="U7" s="10">
        <f>AVERAGE(Q$3:Q7)</f>
        <v>559326.67335891037</v>
      </c>
      <c r="V7" s="10">
        <f t="shared" si="9"/>
        <v>-2.3023977094178028E-2</v>
      </c>
      <c r="AP7" s="5"/>
      <c r="AQ7" s="5"/>
      <c r="AR7" s="5"/>
      <c r="BL7" s="5"/>
      <c r="BM7" s="5"/>
      <c r="BN7" s="5"/>
      <c r="BO7" s="5"/>
      <c r="BP7" s="5"/>
    </row>
    <row r="8" spans="1:68" customFormat="1" ht="16.5" x14ac:dyDescent="0.3">
      <c r="A8" s="12">
        <v>6</v>
      </c>
      <c r="B8" s="16">
        <v>18000</v>
      </c>
      <c r="C8" s="17">
        <f t="shared" si="12"/>
        <v>21750</v>
      </c>
      <c r="D8" s="34">
        <f t="shared" si="0"/>
        <v>21581.845238095237</v>
      </c>
      <c r="E8" s="33">
        <f t="shared" si="1"/>
        <v>0.83403433772322977</v>
      </c>
      <c r="F8" s="32">
        <f t="shared" si="2"/>
        <v>2</v>
      </c>
      <c r="G8" s="32"/>
      <c r="H8" s="32"/>
      <c r="I8" s="31">
        <f t="shared" si="3"/>
        <v>14785.30454749107</v>
      </c>
      <c r="J8" s="24">
        <f t="shared" si="10"/>
        <v>21657.795361980083</v>
      </c>
      <c r="K8" s="24">
        <f t="shared" si="4"/>
        <v>537.44443721887217</v>
      </c>
      <c r="L8" s="24">
        <f t="shared" si="13"/>
        <v>0.68367211049412768</v>
      </c>
      <c r="M8" s="26">
        <f t="shared" si="11"/>
        <v>15174.266436441609</v>
      </c>
      <c r="N8" s="11">
        <f t="shared" si="5"/>
        <v>2825.7335635583913</v>
      </c>
      <c r="O8" s="11">
        <f t="shared" si="6"/>
        <v>2825.7335635583913</v>
      </c>
      <c r="P8" s="11">
        <f t="shared" si="7"/>
        <v>0.15698519797546617</v>
      </c>
      <c r="Q8" s="11">
        <f t="shared" si="8"/>
        <v>7984770.1722204052</v>
      </c>
      <c r="R8" s="25">
        <f>SUM($N8:N8)</f>
        <v>2825.7335635583913</v>
      </c>
      <c r="S8" s="10">
        <f>AVERAGE(O$3:O8)</f>
        <v>1023.7383446629188</v>
      </c>
      <c r="T8" s="10">
        <f>AVERAGE(P$3:P8)</f>
        <v>6.492897020437409E-2</v>
      </c>
      <c r="U8" s="10">
        <f>AVERAGE(Q$3:Q8)</f>
        <v>1796900.5898358263</v>
      </c>
      <c r="V8" s="10">
        <f t="shared" si="9"/>
        <v>2.7602107299095127</v>
      </c>
      <c r="AP8" s="5"/>
      <c r="AQ8" s="5"/>
      <c r="AR8" s="5"/>
      <c r="BL8" s="5"/>
      <c r="BM8" s="5"/>
      <c r="BN8" s="5"/>
      <c r="BO8" s="5"/>
      <c r="BP8" s="5"/>
    </row>
    <row r="9" spans="1:68" customFormat="1" ht="16.5" x14ac:dyDescent="0.3">
      <c r="A9" s="12">
        <v>7</v>
      </c>
      <c r="B9" s="16">
        <v>23000</v>
      </c>
      <c r="C9" s="17">
        <f t="shared" si="12"/>
        <v>22500</v>
      </c>
      <c r="D9" s="34">
        <f t="shared" si="0"/>
        <v>22105.654761904763</v>
      </c>
      <c r="E9" s="33">
        <f t="shared" si="1"/>
        <v>1.0404577583305283</v>
      </c>
      <c r="F9" s="32">
        <f t="shared" si="2"/>
        <v>3</v>
      </c>
      <c r="G9" s="32"/>
      <c r="H9" s="32"/>
      <c r="I9" s="31">
        <f t="shared" si="3"/>
        <v>25942.744762597133</v>
      </c>
      <c r="J9" s="24">
        <f t="shared" si="10"/>
        <v>22066.70818527904</v>
      </c>
      <c r="K9" s="24">
        <f t="shared" si="4"/>
        <v>524.59127582688063</v>
      </c>
      <c r="L9" s="24">
        <f t="shared" si="13"/>
        <v>1.1719979610100058</v>
      </c>
      <c r="M9" s="26">
        <f t="shared" si="11"/>
        <v>26476.956904982584</v>
      </c>
      <c r="N9" s="11">
        <f t="shared" si="5"/>
        <v>-3476.9569049825841</v>
      </c>
      <c r="O9" s="11">
        <f t="shared" si="6"/>
        <v>3476.9569049825841</v>
      </c>
      <c r="P9" s="11">
        <f t="shared" si="7"/>
        <v>0.15117203934706888</v>
      </c>
      <c r="Q9" s="11">
        <f t="shared" si="8"/>
        <v>12089229.31910607</v>
      </c>
      <c r="R9" s="25">
        <f>SUM($N9:N9)</f>
        <v>-3476.9569049825841</v>
      </c>
      <c r="S9" s="10">
        <f>AVERAGE(O$3:O9)</f>
        <v>1374.1981389942996</v>
      </c>
      <c r="T9" s="10">
        <f>AVERAGE(P$3:P9)</f>
        <v>7.7249408653330492E-2</v>
      </c>
      <c r="U9" s="10">
        <f>AVERAGE(Q$3:Q9)</f>
        <v>3267233.2654458615</v>
      </c>
      <c r="V9" s="10">
        <f t="shared" si="9"/>
        <v>-2.5301714551346857</v>
      </c>
      <c r="AP9" s="5"/>
      <c r="AQ9" s="5"/>
      <c r="AR9" s="5"/>
      <c r="BL9" s="5"/>
      <c r="BM9" s="5"/>
      <c r="BN9" s="5"/>
      <c r="BO9" s="5"/>
      <c r="BP9" s="5"/>
    </row>
    <row r="10" spans="1:68" customFormat="1" ht="16.5" x14ac:dyDescent="0.3">
      <c r="A10" s="12">
        <v>8</v>
      </c>
      <c r="B10" s="16">
        <v>38000</v>
      </c>
      <c r="C10" s="17">
        <f t="shared" si="12"/>
        <v>22125</v>
      </c>
      <c r="D10" s="34">
        <f t="shared" si="0"/>
        <v>22629.464285714286</v>
      </c>
      <c r="E10" s="33">
        <f t="shared" si="1"/>
        <v>1.6792266719274018</v>
      </c>
      <c r="F10" s="32">
        <f t="shared" si="2"/>
        <v>4</v>
      </c>
      <c r="G10" s="32"/>
      <c r="H10" s="32"/>
      <c r="I10" s="31">
        <f t="shared" si="3"/>
        <v>37757.310968971957</v>
      </c>
      <c r="J10" s="24">
        <f t="shared" si="10"/>
        <v>22600.397629850366</v>
      </c>
      <c r="K10" s="24">
        <f t="shared" si="4"/>
        <v>525.50109270132521</v>
      </c>
      <c r="L10" s="24">
        <f t="shared" si="13"/>
        <v>1.6686234323848466</v>
      </c>
      <c r="M10" s="26">
        <f t="shared" si="11"/>
        <v>38588.416503408538</v>
      </c>
      <c r="N10" s="11">
        <f t="shared" si="5"/>
        <v>-588.41650340853812</v>
      </c>
      <c r="O10" s="11">
        <f t="shared" si="6"/>
        <v>588.41650340853812</v>
      </c>
      <c r="P10" s="11">
        <f t="shared" si="7"/>
        <v>1.5484644826540477E-2</v>
      </c>
      <c r="Q10" s="11">
        <f t="shared" si="8"/>
        <v>346233.98148353014</v>
      </c>
      <c r="R10" s="25">
        <f>SUM($N10:N10)</f>
        <v>-588.41650340853812</v>
      </c>
      <c r="S10" s="10">
        <f>AVERAGE(O$3:O10)</f>
        <v>1275.9754345460794</v>
      </c>
      <c r="T10" s="10">
        <f>AVERAGE(P$3:P10)</f>
        <v>6.9528813174981732E-2</v>
      </c>
      <c r="U10" s="10">
        <f>AVERAGE(Q$3:Q10)</f>
        <v>2902108.35495057</v>
      </c>
      <c r="V10" s="10">
        <f t="shared" si="9"/>
        <v>-0.46115033838238723</v>
      </c>
      <c r="AP10" s="5"/>
      <c r="AQ10" s="5"/>
      <c r="AR10" s="5"/>
      <c r="BL10" s="5"/>
      <c r="BM10" s="5"/>
      <c r="BN10" s="5"/>
      <c r="BO10" s="5"/>
      <c r="BP10" s="5"/>
    </row>
    <row r="11" spans="1:68" customFormat="1" ht="16.5" x14ac:dyDescent="0.3">
      <c r="A11" s="12">
        <v>9</v>
      </c>
      <c r="B11" s="16">
        <v>12000</v>
      </c>
      <c r="C11" s="17">
        <f t="shared" si="12"/>
        <v>22625</v>
      </c>
      <c r="D11" s="34">
        <f t="shared" si="0"/>
        <v>23153.273809523809</v>
      </c>
      <c r="E11" s="33">
        <f t="shared" si="1"/>
        <v>0.51828523684041394</v>
      </c>
      <c r="F11" s="32">
        <f t="shared" si="2"/>
        <v>1</v>
      </c>
      <c r="G11" s="32"/>
      <c r="H11" s="32"/>
      <c r="I11" s="31">
        <f t="shared" si="3"/>
        <v>10947.738000508396</v>
      </c>
      <c r="J11" s="24">
        <f t="shared" si="10"/>
        <v>23249.264228204611</v>
      </c>
      <c r="K11" s="24">
        <f t="shared" si="4"/>
        <v>537.83764326661719</v>
      </c>
      <c r="L11" s="24">
        <f t="shared" si="13"/>
        <v>0.46887438293018324</v>
      </c>
      <c r="M11" s="26">
        <f t="shared" si="11"/>
        <v>11153.162711683479</v>
      </c>
      <c r="N11" s="11">
        <f t="shared" si="5"/>
        <v>846.83728831652115</v>
      </c>
      <c r="O11" s="11">
        <f t="shared" si="6"/>
        <v>846.83728831652115</v>
      </c>
      <c r="P11" s="11">
        <f t="shared" si="7"/>
        <v>7.0569774026376764E-2</v>
      </c>
      <c r="Q11" s="11">
        <f t="shared" si="8"/>
        <v>717133.39288327878</v>
      </c>
      <c r="R11" s="25">
        <f>SUM($N11:N11)</f>
        <v>846.83728831652115</v>
      </c>
      <c r="S11" s="10">
        <f>AVERAGE(O$3:O11)</f>
        <v>1228.2934182983508</v>
      </c>
      <c r="T11" s="10">
        <f>AVERAGE(P$3:P11)</f>
        <v>6.9644475491803401E-2</v>
      </c>
      <c r="U11" s="10">
        <f>AVERAGE(Q$3:Q11)</f>
        <v>2659333.3591653155</v>
      </c>
      <c r="V11" s="10">
        <f t="shared" si="9"/>
        <v>0.68944217700825083</v>
      </c>
      <c r="AP11" s="5"/>
      <c r="AQ11" s="5"/>
      <c r="AR11" s="5"/>
      <c r="BL11" s="5"/>
      <c r="BM11" s="5"/>
      <c r="BN11" s="5"/>
      <c r="BO11" s="5"/>
      <c r="BP11" s="5"/>
    </row>
    <row r="12" spans="1:68" customFormat="1" ht="16.5" x14ac:dyDescent="0.3">
      <c r="A12" s="12">
        <v>10</v>
      </c>
      <c r="B12" s="16">
        <v>13000</v>
      </c>
      <c r="C12" s="17">
        <f t="shared" si="12"/>
        <v>24125</v>
      </c>
      <c r="D12" s="34">
        <f t="shared" si="0"/>
        <v>23677.083333333336</v>
      </c>
      <c r="E12" s="33">
        <f t="shared" si="1"/>
        <v>0.54905411350637923</v>
      </c>
      <c r="F12" s="32">
        <f t="shared" si="2"/>
        <v>2</v>
      </c>
      <c r="G12" s="32"/>
      <c r="H12" s="32"/>
      <c r="I12" s="31">
        <f t="shared" si="3"/>
        <v>16220.711622087187</v>
      </c>
      <c r="J12" s="24">
        <f t="shared" si="10"/>
        <v>23527.154655343576</v>
      </c>
      <c r="K12" s="24">
        <f t="shared" si="4"/>
        <v>511.84292165385204</v>
      </c>
      <c r="L12" s="24">
        <f t="shared" si="13"/>
        <v>0.69937001371911456</v>
      </c>
      <c r="M12" s="26">
        <f t="shared" si="11"/>
        <v>16812.154065218456</v>
      </c>
      <c r="N12" s="11">
        <f t="shared" si="5"/>
        <v>-3812.1540652184558</v>
      </c>
      <c r="O12" s="11">
        <f t="shared" si="6"/>
        <v>3812.1540652184558</v>
      </c>
      <c r="P12" s="11">
        <f t="shared" si="7"/>
        <v>0.29324262040141968</v>
      </c>
      <c r="Q12" s="11">
        <f t="shared" si="8"/>
        <v>14532518.616961598</v>
      </c>
      <c r="R12" s="25">
        <f>SUM($N12:N12)</f>
        <v>-3812.1540652184558</v>
      </c>
      <c r="S12" s="10">
        <f>AVERAGE(O$3:O12)</f>
        <v>1486.6794829903613</v>
      </c>
      <c r="T12" s="10">
        <f>AVERAGE(P$3:P12)</f>
        <v>9.2004289982765025E-2</v>
      </c>
      <c r="U12" s="10">
        <f>AVERAGE(Q$3:Q12)</f>
        <v>3846651.8849449442</v>
      </c>
      <c r="V12" s="10">
        <f t="shared" si="9"/>
        <v>-2.5642070862177704</v>
      </c>
      <c r="AP12" s="5"/>
      <c r="AQ12" s="5"/>
      <c r="AR12" s="5"/>
      <c r="BL12" s="5"/>
      <c r="BM12" s="5"/>
      <c r="BN12" s="5"/>
      <c r="BO12" s="5"/>
      <c r="BP12" s="5"/>
    </row>
    <row r="13" spans="1:68" customFormat="1" ht="16.5" x14ac:dyDescent="0.3">
      <c r="A13" s="12">
        <v>11</v>
      </c>
      <c r="B13" s="16">
        <v>32000</v>
      </c>
      <c r="C13" s="17"/>
      <c r="D13" s="34">
        <f t="shared" si="0"/>
        <v>24200.892857142859</v>
      </c>
      <c r="E13" s="33">
        <f t="shared" si="1"/>
        <v>1.3222652647113078</v>
      </c>
      <c r="F13" s="32">
        <f t="shared" si="2"/>
        <v>3</v>
      </c>
      <c r="G13" s="32"/>
      <c r="H13" s="32"/>
      <c r="I13" s="31">
        <f t="shared" si="3"/>
        <v>28401.673380957061</v>
      </c>
      <c r="J13" s="24">
        <f t="shared" si="10"/>
        <v>24218.234565936938</v>
      </c>
      <c r="K13" s="24">
        <f t="shared" si="4"/>
        <v>529.76662054780309</v>
      </c>
      <c r="L13" s="24">
        <f t="shared" si="13"/>
        <v>1.1584239883201588</v>
      </c>
      <c r="M13" s="26">
        <f t="shared" si="11"/>
        <v>28668.678237399676</v>
      </c>
      <c r="N13" s="11">
        <f t="shared" si="5"/>
        <v>3331.3217626003243</v>
      </c>
      <c r="O13" s="11">
        <f t="shared" si="6"/>
        <v>3331.3217626003243</v>
      </c>
      <c r="P13" s="11">
        <f t="shared" si="7"/>
        <v>0.10410380508126013</v>
      </c>
      <c r="Q13" s="11">
        <f t="shared" si="8"/>
        <v>11097704.685974531</v>
      </c>
      <c r="R13" s="25">
        <f>SUM($N13:N13)</f>
        <v>3331.3217626003243</v>
      </c>
      <c r="S13" s="10">
        <f>AVERAGE(O$3:O13)</f>
        <v>1654.3742356821763</v>
      </c>
      <c r="T13" s="10">
        <f>AVERAGE(P$3:P13)</f>
        <v>9.3104245900810026E-2</v>
      </c>
      <c r="U13" s="10">
        <f>AVERAGE(Q$3:Q13)</f>
        <v>4505838.5032203607</v>
      </c>
      <c r="V13" s="10">
        <f t="shared" si="9"/>
        <v>2.0136446099976064</v>
      </c>
      <c r="AP13" s="5"/>
      <c r="AQ13" s="5"/>
      <c r="AR13" s="5"/>
      <c r="BL13" s="5"/>
      <c r="BM13" s="5"/>
      <c r="BN13" s="5"/>
      <c r="BO13" s="5"/>
      <c r="BP13" s="5"/>
    </row>
    <row r="14" spans="1:68" customFormat="1" ht="16.5" x14ac:dyDescent="0.3">
      <c r="A14" s="12">
        <v>12</v>
      </c>
      <c r="B14" s="16">
        <v>41000</v>
      </c>
      <c r="C14" s="17"/>
      <c r="D14" s="34">
        <f t="shared" si="0"/>
        <v>24724.702380952382</v>
      </c>
      <c r="E14" s="33">
        <f t="shared" si="1"/>
        <v>1.6582606078844417</v>
      </c>
      <c r="F14" s="32">
        <f t="shared" si="2"/>
        <v>4</v>
      </c>
      <c r="G14" s="32"/>
      <c r="H14" s="32"/>
      <c r="I14" s="31">
        <f t="shared" si="3"/>
        <v>41253.220342570465</v>
      </c>
      <c r="J14" s="24">
        <f t="shared" si="10"/>
        <v>24738.169972669231</v>
      </c>
      <c r="K14" s="24">
        <f t="shared" si="4"/>
        <v>528.78349916625211</v>
      </c>
      <c r="L14" s="24">
        <f t="shared" si="13"/>
        <v>1.6699674380791549</v>
      </c>
      <c r="M14" s="26">
        <f t="shared" si="11"/>
        <v>42194.989557426314</v>
      </c>
      <c r="N14" s="11">
        <f t="shared" si="5"/>
        <v>-1194.9895574263137</v>
      </c>
      <c r="O14" s="11">
        <f t="shared" si="6"/>
        <v>1194.9895574263137</v>
      </c>
      <c r="P14" s="11">
        <f t="shared" si="7"/>
        <v>2.9146086766495456E-2</v>
      </c>
      <c r="Q14" s="11">
        <f t="shared" si="8"/>
        <v>1428000.042357937</v>
      </c>
      <c r="R14" s="25">
        <f>SUM($N14:N14)</f>
        <v>-1194.9895574263137</v>
      </c>
      <c r="S14" s="10">
        <f>AVERAGE(O$3:O14)</f>
        <v>1616.0921791608544</v>
      </c>
      <c r="T14" s="10">
        <f>AVERAGE(P$3:P14)</f>
        <v>8.7774399306283821E-2</v>
      </c>
      <c r="U14" s="10">
        <f>AVERAGE(Q$3:Q14)</f>
        <v>4249351.9648151593</v>
      </c>
      <c r="V14" s="10">
        <f t="shared" si="9"/>
        <v>-0.7394315577016185</v>
      </c>
      <c r="AP14" s="5"/>
      <c r="AQ14" s="5"/>
      <c r="AR14" s="5"/>
      <c r="BL14" s="5"/>
      <c r="BM14" s="5"/>
      <c r="BN14" s="5"/>
      <c r="BO14" s="5"/>
      <c r="BP14" s="5"/>
    </row>
    <row r="15" spans="1:68" customFormat="1" ht="16.5" x14ac:dyDescent="0.3">
      <c r="A15" s="12">
        <v>13</v>
      </c>
      <c r="L15" s="24">
        <f t="shared" si="13"/>
        <v>0.47387681989765784</v>
      </c>
      <c r="M15" s="26">
        <f>($J$14+$K$14*(A15-$A$14))*L15</f>
        <v>11973.423559735484</v>
      </c>
      <c r="AP15" s="5"/>
      <c r="AQ15" s="5"/>
      <c r="AR15" s="5"/>
      <c r="BL15" s="5"/>
      <c r="BM15" s="5"/>
      <c r="BN15" s="5"/>
      <c r="BO15" s="5"/>
      <c r="BP15" s="5"/>
    </row>
    <row r="16" spans="1:68" customFormat="1" ht="16.5" x14ac:dyDescent="0.3">
      <c r="A16" s="12">
        <v>14</v>
      </c>
      <c r="L16" s="24">
        <f t="shared" si="13"/>
        <v>0.6840844788026077</v>
      </c>
      <c r="M16" s="26">
        <f>($J$14+$K$14*(A16-$A$14))*L16</f>
        <v>17646.463281136883</v>
      </c>
      <c r="AP16" s="5"/>
      <c r="AQ16" s="5"/>
      <c r="AR16" s="5"/>
      <c r="BL16" s="5"/>
      <c r="BM16" s="5"/>
      <c r="BN16" s="5"/>
      <c r="BO16" s="5"/>
      <c r="BP16" s="5"/>
    </row>
    <row r="17" spans="1:68" ht="16.5" x14ac:dyDescent="0.3">
      <c r="A17" s="12">
        <v>15</v>
      </c>
      <c r="B17"/>
      <c r="C17"/>
      <c r="D17"/>
      <c r="E17"/>
      <c r="F17"/>
      <c r="G17"/>
      <c r="H17"/>
      <c r="I17"/>
      <c r="J17"/>
      <c r="K17"/>
      <c r="L17" s="24">
        <f t="shared" si="13"/>
        <v>1.1756986210844202</v>
      </c>
      <c r="M17" s="26">
        <f>($J$14+$K$14*(A17-$A$14))*L17</f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68" ht="16.5" x14ac:dyDescent="0.3">
      <c r="A18" s="12">
        <v>16</v>
      </c>
      <c r="B18"/>
      <c r="C18"/>
      <c r="D18"/>
      <c r="E18"/>
      <c r="F18"/>
      <c r="G18"/>
      <c r="H18"/>
      <c r="I18"/>
      <c r="J18"/>
      <c r="K18"/>
      <c r="L18" s="24">
        <f t="shared" si="13"/>
        <v>1.6686406394561084</v>
      </c>
      <c r="M18" s="26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68" ht="16.5" x14ac:dyDescent="0.3">
      <c r="A19" s="12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68" ht="16.5" x14ac:dyDescent="0.3">
      <c r="A20" s="12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68" ht="16.5" x14ac:dyDescent="0.3">
      <c r="A21" s="12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68" ht="16.5" x14ac:dyDescent="0.3">
      <c r="A22" s="12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68" ht="16.5" x14ac:dyDescent="0.3">
      <c r="A23" s="12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68" ht="16.5" x14ac:dyDescent="0.3">
      <c r="A24" s="12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68" ht="16.5" x14ac:dyDescent="0.3">
      <c r="A25" s="12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68" ht="16.5" x14ac:dyDescent="0.3">
      <c r="A26" s="12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68" ht="16.5" x14ac:dyDescent="0.3">
      <c r="A27" s="12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68" ht="16.5" x14ac:dyDescent="0.3">
      <c r="A28" s="12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68" ht="16.5" x14ac:dyDescent="0.3">
      <c r="A29" s="12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68" ht="16.5" x14ac:dyDescent="0.3">
      <c r="A30" s="12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68" ht="16.5" x14ac:dyDescent="0.3">
      <c r="A31" s="12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BL31"/>
      <c r="BM31"/>
      <c r="BN31"/>
      <c r="BO31"/>
      <c r="BP31"/>
    </row>
    <row r="32" spans="1:68" ht="16.5" x14ac:dyDescent="0.3">
      <c r="A32" s="12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BL32"/>
      <c r="BM32"/>
      <c r="BN32"/>
      <c r="BO32"/>
      <c r="BP32"/>
    </row>
    <row r="33" spans="1:68" ht="16.5" x14ac:dyDescent="0.3">
      <c r="A33" s="12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BL33"/>
      <c r="BM33"/>
      <c r="BN33"/>
      <c r="BO33"/>
      <c r="BP33"/>
    </row>
    <row r="34" spans="1:68" ht="16.5" x14ac:dyDescent="0.3">
      <c r="A34" s="12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BL35"/>
      <c r="BM35"/>
      <c r="BN35"/>
      <c r="BO35"/>
      <c r="BP35"/>
    </row>
    <row r="36" spans="1:68" x14ac:dyDescent="0.25">
      <c r="A36"/>
      <c r="BL36"/>
      <c r="BM36"/>
      <c r="BN36"/>
      <c r="BO36"/>
      <c r="BP36"/>
    </row>
    <row r="37" spans="1:68" x14ac:dyDescent="0.25">
      <c r="A37"/>
      <c r="B37" s="5" t="s">
        <v>9</v>
      </c>
      <c r="C37" s="30">
        <v>4</v>
      </c>
      <c r="BL37"/>
      <c r="BM37"/>
      <c r="BN37"/>
      <c r="BO37"/>
      <c r="BP37"/>
    </row>
    <row r="38" spans="1:68" x14ac:dyDescent="0.25">
      <c r="A38"/>
      <c r="B38" s="5" t="s">
        <v>27</v>
      </c>
      <c r="C38" s="18">
        <v>0.05</v>
      </c>
      <c r="BL38"/>
      <c r="BM38"/>
      <c r="BN38"/>
      <c r="BO38"/>
      <c r="BP38"/>
    </row>
    <row r="39" spans="1:68" x14ac:dyDescent="0.25">
      <c r="A39"/>
      <c r="B39" s="5" t="s">
        <v>25</v>
      </c>
      <c r="C39" s="18">
        <v>0.1</v>
      </c>
      <c r="BL39"/>
      <c r="BM39"/>
      <c r="BN39"/>
      <c r="BO39"/>
      <c r="BP39"/>
    </row>
    <row r="40" spans="1:68" x14ac:dyDescent="0.25">
      <c r="A40"/>
      <c r="B40" s="5" t="s">
        <v>26</v>
      </c>
      <c r="C40" s="18">
        <v>0.1</v>
      </c>
      <c r="BL40"/>
      <c r="BM40"/>
      <c r="BN40"/>
      <c r="BO40"/>
      <c r="BP40"/>
    </row>
    <row r="41" spans="1:68" x14ac:dyDescent="0.25">
      <c r="A41"/>
      <c r="BL41"/>
      <c r="BM41"/>
      <c r="BN41"/>
      <c r="BO41"/>
      <c r="BP41"/>
    </row>
    <row r="42" spans="1:68" x14ac:dyDescent="0.25">
      <c r="A42"/>
      <c r="B42" s="5" t="s">
        <v>18</v>
      </c>
      <c r="J42"/>
      <c r="K42"/>
      <c r="L42"/>
      <c r="BL42"/>
      <c r="BM42"/>
      <c r="BN42"/>
      <c r="BO42"/>
      <c r="BP42"/>
    </row>
    <row r="43" spans="1:68" x14ac:dyDescent="0.25">
      <c r="A43"/>
      <c r="B43" s="5" t="s">
        <v>19</v>
      </c>
      <c r="J43" s="10"/>
      <c r="K43"/>
      <c r="L43"/>
      <c r="BL43"/>
      <c r="BM43"/>
      <c r="BN43"/>
      <c r="BO43"/>
      <c r="BP43"/>
    </row>
    <row r="44" spans="1:68" x14ac:dyDescent="0.25">
      <c r="A44"/>
      <c r="B44" s="5" t="s">
        <v>20</v>
      </c>
      <c r="J44"/>
      <c r="K44"/>
      <c r="L44"/>
      <c r="BL44"/>
      <c r="BM44"/>
      <c r="BN44"/>
      <c r="BO44"/>
      <c r="BP44"/>
    </row>
    <row r="45" spans="1:68" x14ac:dyDescent="0.25">
      <c r="A45"/>
      <c r="B45" s="15" t="s">
        <v>16</v>
      </c>
      <c r="C45" s="15"/>
      <c r="D45" s="15"/>
      <c r="E45" s="15"/>
      <c r="F45" s="15"/>
      <c r="G45" s="15"/>
      <c r="H45" s="15"/>
      <c r="I45" s="15"/>
      <c r="J45"/>
      <c r="K45"/>
      <c r="L45"/>
      <c r="BL45"/>
      <c r="BM45"/>
      <c r="BN45"/>
      <c r="BO45"/>
      <c r="BP45"/>
    </row>
    <row r="46" spans="1:68" x14ac:dyDescent="0.25">
      <c r="A46"/>
      <c r="B46" t="s">
        <v>21</v>
      </c>
      <c r="C46"/>
      <c r="D46"/>
      <c r="E46"/>
      <c r="F46"/>
      <c r="G46"/>
      <c r="H46"/>
      <c r="I46"/>
      <c r="J46"/>
      <c r="K46"/>
      <c r="L46"/>
      <c r="BL46"/>
      <c r="BM46"/>
      <c r="BN46"/>
      <c r="BO46"/>
      <c r="BP46"/>
    </row>
    <row r="47" spans="1:68" x14ac:dyDescent="0.25">
      <c r="A47"/>
      <c r="B47" t="s">
        <v>17</v>
      </c>
      <c r="C47"/>
      <c r="D47"/>
      <c r="E47"/>
      <c r="F47"/>
      <c r="G47"/>
      <c r="H47"/>
      <c r="I47"/>
      <c r="J47"/>
      <c r="K47"/>
      <c r="L47"/>
      <c r="BL47"/>
      <c r="BM47"/>
      <c r="BN47"/>
      <c r="BO47"/>
      <c r="BP47"/>
    </row>
    <row r="48" spans="1:68" x14ac:dyDescent="0.25">
      <c r="A48"/>
      <c r="B48" t="s">
        <v>22</v>
      </c>
      <c r="C48"/>
      <c r="D48"/>
      <c r="E48"/>
      <c r="F48"/>
      <c r="G48"/>
      <c r="H48"/>
      <c r="I48"/>
      <c r="J48"/>
      <c r="K48"/>
      <c r="L48"/>
      <c r="BL48"/>
      <c r="BM48"/>
      <c r="BN48"/>
      <c r="BO48"/>
      <c r="BP48"/>
    </row>
    <row r="49" spans="1:68" x14ac:dyDescent="0.25">
      <c r="A49"/>
      <c r="B49" t="s">
        <v>23</v>
      </c>
      <c r="C49"/>
      <c r="D49"/>
      <c r="E49"/>
      <c r="F49"/>
      <c r="G49"/>
      <c r="H49"/>
      <c r="I49"/>
      <c r="J49"/>
      <c r="K49"/>
      <c r="L49"/>
      <c r="BL49"/>
      <c r="BM49"/>
      <c r="BN49"/>
      <c r="BO49"/>
      <c r="BP49"/>
    </row>
    <row r="50" spans="1:68" x14ac:dyDescent="0.25">
      <c r="A50"/>
      <c r="B50" t="s">
        <v>24</v>
      </c>
      <c r="C50"/>
      <c r="D50"/>
      <c r="E50"/>
      <c r="F50"/>
      <c r="G50"/>
      <c r="H50"/>
      <c r="I50"/>
      <c r="J50"/>
      <c r="K50"/>
      <c r="L50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A10D-BD19-43B4-AE02-A3CAE8D9DB9B}">
  <sheetPr>
    <tabColor rgb="FF00B050"/>
  </sheetPr>
  <dimension ref="A1:Y83"/>
  <sheetViews>
    <sheetView tabSelected="1" zoomScale="117" zoomScaleNormal="117" workbookViewId="0">
      <selection activeCell="D8" sqref="D8"/>
    </sheetView>
  </sheetViews>
  <sheetFormatPr defaultColWidth="9.140625" defaultRowHeight="13.5" x14ac:dyDescent="0.25"/>
  <cols>
    <col min="1" max="1" width="6.7109375" style="5" bestFit="1" customWidth="1"/>
    <col min="2" max="2" width="6.7109375" style="5" customWidth="1"/>
    <col min="3" max="3" width="8.140625" style="7" bestFit="1" customWidth="1"/>
    <col min="4" max="4" width="12.140625" style="7" bestFit="1" customWidth="1"/>
    <col min="5" max="5" width="11.5703125" style="7" bestFit="1" customWidth="1"/>
    <col min="6" max="6" width="11.5703125" style="5" bestFit="1" customWidth="1"/>
    <col min="7" max="7" width="9.5703125" style="5" bestFit="1" customWidth="1"/>
    <col min="8" max="8" width="9.7109375" style="5" bestFit="1" customWidth="1"/>
    <col min="9" max="10" width="9.140625" style="5"/>
    <col min="11" max="11" width="9.140625" style="5" customWidth="1"/>
    <col min="12" max="12" width="14.5703125" style="5" bestFit="1" customWidth="1"/>
    <col min="13" max="16384" width="9.140625" style="5"/>
  </cols>
  <sheetData>
    <row r="1" spans="1:25" ht="15" x14ac:dyDescent="0.25">
      <c r="E1" s="54" t="s">
        <v>64</v>
      </c>
      <c r="F1" s="54" t="s">
        <v>63</v>
      </c>
      <c r="G1" s="54" t="s">
        <v>62</v>
      </c>
      <c r="H1" s="54" t="s">
        <v>61</v>
      </c>
      <c r="J1" s="5">
        <v>7</v>
      </c>
    </row>
    <row r="2" spans="1:25" ht="15" x14ac:dyDescent="0.25">
      <c r="E2" s="52">
        <f>INTERCEPT($D$7:$D$75,$A$7:$A$75)</f>
        <v>64.580273848669805</v>
      </c>
      <c r="F2" s="52">
        <f>SLOPE($D$7:$D$75,$A$7:$A$75)</f>
        <v>4.737481079388278</v>
      </c>
      <c r="G2" s="53">
        <f>RSQ($D$7:$D$75,$A$7:$A$75)</f>
        <v>0.98350143749387364</v>
      </c>
      <c r="H2" s="52">
        <f>STEYX($D$7:$D$75,$A$7:$A$75)</f>
        <v>12.401751918008769</v>
      </c>
      <c r="J2" s="7" t="s">
        <v>56</v>
      </c>
      <c r="K2" s="7" t="s">
        <v>57</v>
      </c>
      <c r="L2" s="7" t="s">
        <v>60</v>
      </c>
    </row>
    <row r="3" spans="1:25" x14ac:dyDescent="0.25">
      <c r="A3" s="8" t="str">
        <f>[3]ArdiData!A2</f>
        <v>Per.</v>
      </c>
      <c r="B3" s="8"/>
      <c r="C3" s="51" t="str">
        <f>[3]ArdiData!D2</f>
        <v>Trend&amp;S</v>
      </c>
      <c r="D3" s="7" t="s">
        <v>59</v>
      </c>
      <c r="E3" s="5" t="s">
        <v>58</v>
      </c>
      <c r="F3" s="5" t="s">
        <v>57</v>
      </c>
      <c r="G3" s="5" t="s">
        <v>56</v>
      </c>
      <c r="H3" s="5" t="s">
        <v>55</v>
      </c>
      <c r="J3" s="44">
        <v>1</v>
      </c>
      <c r="K3" s="9">
        <f>AVERAGEIF($G$4:$G$78,J3,$F$4:$F$78)</f>
        <v>0.47790853335104538</v>
      </c>
      <c r="L3" s="9">
        <f>K3/$K$10</f>
        <v>0.48127235718175376</v>
      </c>
    </row>
    <row r="4" spans="1:25" ht="15" x14ac:dyDescent="0.3">
      <c r="A4" s="8">
        <f>[3]ArdiData!A3</f>
        <v>1</v>
      </c>
      <c r="B4" s="49">
        <f>'[2]0.ArdiData'!D3</f>
        <v>43</v>
      </c>
      <c r="C4" s="48">
        <v>35</v>
      </c>
      <c r="E4" s="46">
        <f>$E$2+$F$2*A4</f>
        <v>69.317754928058079</v>
      </c>
      <c r="F4" s="45">
        <f>C4/E4</f>
        <v>0.50492114230077123</v>
      </c>
      <c r="G4" s="45">
        <f>IF(MOD(A4,$J$1)&lt;&gt;0,MOD(A4,$J$1),$J$1)</f>
        <v>1</v>
      </c>
      <c r="H4" s="44">
        <f>E4*VLOOKUP(G4,$J$3:$L$9,3)</f>
        <v>33.360719308773639</v>
      </c>
      <c r="J4" s="44">
        <v>2</v>
      </c>
      <c r="K4" s="9">
        <f>AVERAGEIF($G$4:$G$78,J4,$F$4:$F$78)</f>
        <v>0.97851695640996927</v>
      </c>
      <c r="L4" s="9">
        <f>K4/$K$10</f>
        <v>0.98540438031438049</v>
      </c>
      <c r="Y4" s="48">
        <v>1756</v>
      </c>
    </row>
    <row r="5" spans="1:25" ht="15" x14ac:dyDescent="0.3">
      <c r="A5" s="8">
        <f>[3]ArdiData!A4</f>
        <v>2</v>
      </c>
      <c r="B5" s="49">
        <f>'[2]0.ArdiData'!D4</f>
        <v>80</v>
      </c>
      <c r="C5" s="48">
        <v>74</v>
      </c>
      <c r="E5" s="46">
        <f>$E$2+$F$2*A5</f>
        <v>74.055236007446354</v>
      </c>
      <c r="F5" s="45">
        <f>C5/E5</f>
        <v>0.99925412421289428</v>
      </c>
      <c r="G5" s="45">
        <f>IF(MOD(A5,$J$1)&lt;&gt;0,MOD(A5,$J$1),$J$1)</f>
        <v>2</v>
      </c>
      <c r="H5" s="44">
        <f>E5*VLOOKUP(G5,$J$3:$L$9,3)</f>
        <v>72.974353946952874</v>
      </c>
      <c r="J5" s="44">
        <v>3</v>
      </c>
      <c r="K5" s="9">
        <f>AVERAGEIF($G$4:$G$78,J5,$F$4:$F$78)</f>
        <v>1.192479363033599</v>
      </c>
      <c r="L5" s="9">
        <f>K5/$K$10</f>
        <v>1.2008727902672029</v>
      </c>
      <c r="Y5" s="48">
        <v>1962</v>
      </c>
    </row>
    <row r="6" spans="1:25" ht="15" x14ac:dyDescent="0.3">
      <c r="A6" s="8">
        <f>[3]ArdiData!A5</f>
        <v>3</v>
      </c>
      <c r="B6" s="49">
        <f>'[2]0.ArdiData'!D5</f>
        <v>127</v>
      </c>
      <c r="C6" s="48">
        <v>89</v>
      </c>
      <c r="D6" s="47"/>
      <c r="E6" s="46">
        <f>$E$2+$F$2*A6</f>
        <v>78.792717086834642</v>
      </c>
      <c r="F6" s="45">
        <f>C6/E6</f>
        <v>1.1295460201215841</v>
      </c>
      <c r="G6" s="45">
        <f>IF(MOD(A6,$J$1)&lt;&gt;0,MOD(A6,$J$1),$J$1)</f>
        <v>3</v>
      </c>
      <c r="H6" s="44">
        <f>E6*VLOOKUP(G6,$J$3:$L$9,3)</f>
        <v>94.620030020801437</v>
      </c>
      <c r="J6" s="44">
        <v>4</v>
      </c>
      <c r="K6" s="9">
        <f>AVERAGEIF($G$4:$G$78,J6,$F$4:$F$78)</f>
        <v>1.8220400369740277</v>
      </c>
      <c r="L6" s="9">
        <f>K6/$K$10</f>
        <v>1.8348647121349879</v>
      </c>
      <c r="Y6" s="48">
        <v>2071</v>
      </c>
    </row>
    <row r="7" spans="1:25" ht="15" x14ac:dyDescent="0.3">
      <c r="A7" s="8">
        <f>[3]ArdiData!A6</f>
        <v>4</v>
      </c>
      <c r="B7" s="49">
        <f>'[2]0.ArdiData'!D6</f>
        <v>177</v>
      </c>
      <c r="C7" s="48">
        <v>163</v>
      </c>
      <c r="D7" s="47">
        <f>AVERAGE(C4:C10)</f>
        <v>72</v>
      </c>
      <c r="E7" s="46">
        <f>$E$2+$F$2*A7</f>
        <v>83.530198166222917</v>
      </c>
      <c r="F7" s="45">
        <f>C7/E7</f>
        <v>1.9513900790183001</v>
      </c>
      <c r="G7" s="45">
        <f>IF(MOD(A7,$J$1)&lt;&gt;0,MOD(A7,$J$1),$J$1)</f>
        <v>4</v>
      </c>
      <c r="H7" s="44">
        <f>E7*VLOOKUP(G7,$J$3:$L$9,3)</f>
        <v>153.26661301284511</v>
      </c>
      <c r="J7" s="44">
        <v>5</v>
      </c>
      <c r="K7" s="9">
        <f>AVERAGEIF($G$4:$G$78,J7,$F$4:$F$78)</f>
        <v>1.2067588933391988</v>
      </c>
      <c r="L7" s="9">
        <f>K7/$K$10</f>
        <v>1.215252828977615</v>
      </c>
      <c r="Y7" s="48">
        <v>2746</v>
      </c>
    </row>
    <row r="8" spans="1:25" ht="15" x14ac:dyDescent="0.3">
      <c r="A8" s="8">
        <f>[3]ArdiData!A7</f>
        <v>5</v>
      </c>
      <c r="B8" s="49">
        <f>'[2]0.ArdiData'!D7</f>
        <v>178</v>
      </c>
      <c r="C8" s="48">
        <v>41</v>
      </c>
      <c r="D8" s="47">
        <f>AVERAGE(C5:C11)</f>
        <v>74.714285714285708</v>
      </c>
      <c r="E8" s="46">
        <f>$E$2+$F$2*A8</f>
        <v>88.267679245611191</v>
      </c>
      <c r="F8" s="45">
        <f>C8/E8</f>
        <v>0.46449618195936182</v>
      </c>
      <c r="G8" s="45">
        <f>IF(MOD(A8,$J$1)&lt;&gt;0,MOD(A8,$J$1),$J$1)</f>
        <v>5</v>
      </c>
      <c r="H8" s="44">
        <f>E8*VLOOKUP(G8,$J$3:$L$9,3)</f>
        <v>107.26754691051771</v>
      </c>
      <c r="J8" s="44">
        <v>6</v>
      </c>
      <c r="K8" s="9">
        <f>AVERAGEIF($G$4:$G$78,J8,$F$4:$F$78)</f>
        <v>0.83810883122353785</v>
      </c>
      <c r="L8" s="9">
        <f>K8/$K$10</f>
        <v>0.8440079735540349</v>
      </c>
      <c r="Y8" s="48">
        <v>2821</v>
      </c>
    </row>
    <row r="9" spans="1:25" ht="15" x14ac:dyDescent="0.3">
      <c r="A9" s="8">
        <f>[3]ArdiData!A8</f>
        <v>6</v>
      </c>
      <c r="B9" s="49">
        <f>'[2]0.ArdiData'!D8</f>
        <v>96</v>
      </c>
      <c r="C9" s="48">
        <v>73</v>
      </c>
      <c r="D9" s="47">
        <f>AVERAGE(C6:C12)</f>
        <v>75.428571428571431</v>
      </c>
      <c r="E9" s="46">
        <f>$E$2+$F$2*A9</f>
        <v>93.00516032499948</v>
      </c>
      <c r="F9" s="45">
        <f>C9/E9</f>
        <v>0.78490268437694244</v>
      </c>
      <c r="G9" s="45">
        <f>IF(MOD(A9,$J$1)&lt;&gt;0,MOD(A9,$J$1),$J$1)</f>
        <v>6</v>
      </c>
      <c r="H9" s="44">
        <f>E9*VLOOKUP(G9,$J$3:$L$9,3)</f>
        <v>78.497096895970941</v>
      </c>
      <c r="J9" s="44">
        <v>7</v>
      </c>
      <c r="K9" s="9">
        <f>AVERAGEIF($G$4:$G$78,J9,$F$4:$F$78)</f>
        <v>0.43526131197337631</v>
      </c>
      <c r="L9" s="9">
        <f>K9/$K$10</f>
        <v>0.43832495757002432</v>
      </c>
      <c r="Y9" s="48">
        <v>2514</v>
      </c>
    </row>
    <row r="10" spans="1:25" ht="15" x14ac:dyDescent="0.3">
      <c r="A10" s="8">
        <f>[3]ArdiData!A9</f>
        <v>7</v>
      </c>
      <c r="B10" s="49">
        <f>'[2]0.ArdiData'!D9</f>
        <v>63</v>
      </c>
      <c r="C10" s="48">
        <v>29</v>
      </c>
      <c r="D10" s="47">
        <f>AVERAGE(C7:C13)</f>
        <v>80.428571428571431</v>
      </c>
      <c r="E10" s="46">
        <f>$E$2+$F$2*A10</f>
        <v>97.742641404387754</v>
      </c>
      <c r="F10" s="45">
        <f>C10/E10</f>
        <v>0.29669752713167585</v>
      </c>
      <c r="G10" s="45">
        <f>IF(MOD(A10,$J$1)&lt;&gt;0,MOD(A10,$J$1),$J$1)</f>
        <v>7</v>
      </c>
      <c r="H10" s="44">
        <f>E10*VLOOKUP(G10,$J$3:$L$9,3)</f>
        <v>42.843039146360361</v>
      </c>
      <c r="K10" s="50">
        <f>AVERAGE(K3:K9)</f>
        <v>0.9930105609006793</v>
      </c>
      <c r="L10" s="50">
        <f>AVERAGE(L3:L9)</f>
        <v>1</v>
      </c>
      <c r="Y10" s="48">
        <v>2647</v>
      </c>
    </row>
    <row r="11" spans="1:25" ht="15" x14ac:dyDescent="0.3">
      <c r="A11" s="8">
        <f>[3]ArdiData!A10</f>
        <v>8</v>
      </c>
      <c r="B11" s="49">
        <f>'[2]0.ArdiData'!D10</f>
        <v>68</v>
      </c>
      <c r="C11" s="48">
        <v>54</v>
      </c>
      <c r="D11" s="47">
        <f>AVERAGE(C8:C14)</f>
        <v>89.857142857142861</v>
      </c>
      <c r="E11" s="46">
        <f>$E$2+$F$2*A11</f>
        <v>102.48012248377603</v>
      </c>
      <c r="F11" s="45">
        <f>C11/E11</f>
        <v>0.52693145452230428</v>
      </c>
      <c r="G11" s="45">
        <f>IF(MOD(A11,$J$1)&lt;&gt;0,MOD(A11,$J$1),$J$1)</f>
        <v>1</v>
      </c>
      <c r="H11" s="44">
        <f>E11*VLOOKUP(G11,$J$3:$L$9,3)</f>
        <v>49.320850112041732</v>
      </c>
      <c r="Y11" s="48">
        <v>3501</v>
      </c>
    </row>
    <row r="12" spans="1:25" ht="15" x14ac:dyDescent="0.3">
      <c r="A12" s="8">
        <f>[3]ArdiData!A11</f>
        <v>9</v>
      </c>
      <c r="B12" s="49">
        <f>'[2]0.ArdiData'!D11</f>
        <v>152</v>
      </c>
      <c r="C12" s="48">
        <v>79</v>
      </c>
      <c r="D12" s="47">
        <f>AVERAGE(C9:C15)</f>
        <v>111.71428571428571</v>
      </c>
      <c r="E12" s="46">
        <f>$E$2+$F$2*A12</f>
        <v>107.2176035631643</v>
      </c>
      <c r="F12" s="45">
        <f>C12/E12</f>
        <v>0.73681930368327364</v>
      </c>
      <c r="G12" s="45">
        <f>IF(MOD(A12,$J$1)&lt;&gt;0,MOD(A12,$J$1),$J$1)</f>
        <v>2</v>
      </c>
      <c r="H12" s="44">
        <f>E12*VLOOKUP(G12,$J$3:$L$9,3)</f>
        <v>105.65269619795284</v>
      </c>
      <c r="Y12" s="48">
        <v>3690</v>
      </c>
    </row>
    <row r="13" spans="1:25" ht="15" x14ac:dyDescent="0.3">
      <c r="A13" s="8">
        <f>[3]ArdiData!A12</f>
        <v>10</v>
      </c>
      <c r="B13" s="49">
        <f>'[2]0.ArdiData'!D12</f>
        <v>271</v>
      </c>
      <c r="C13" s="48">
        <v>124</v>
      </c>
      <c r="D13" s="47">
        <f>AVERAGE(C10:C16)</f>
        <v>114.42857142857143</v>
      </c>
      <c r="E13" s="46">
        <f>$E$2+$F$2*A13</f>
        <v>111.95508464255258</v>
      </c>
      <c r="F13" s="45">
        <f>C13/E13</f>
        <v>1.1075870327453561</v>
      </c>
      <c r="G13" s="45">
        <f>IF(MOD(A13,$J$1)&lt;&gt;0,MOD(A13,$J$1),$J$1)</f>
        <v>3</v>
      </c>
      <c r="H13" s="44">
        <f>E13*VLOOKUP(G13,$J$3:$L$9,3)</f>
        <v>134.44381487930301</v>
      </c>
      <c r="Y13" s="48">
        <v>4036</v>
      </c>
    </row>
    <row r="14" spans="1:25" ht="15" x14ac:dyDescent="0.3">
      <c r="A14" s="8">
        <f>[3]ArdiData!A13</f>
        <v>11</v>
      </c>
      <c r="B14" s="49">
        <f>'[2]0.ArdiData'!D13</f>
        <v>318</v>
      </c>
      <c r="C14" s="48">
        <v>229</v>
      </c>
      <c r="D14" s="47">
        <f>AVERAGE(C11:C17)</f>
        <v>118.57142857142857</v>
      </c>
      <c r="E14" s="46">
        <f>$E$2+$F$2*A14</f>
        <v>116.69256572194087</v>
      </c>
      <c r="F14" s="45">
        <f>C14/E14</f>
        <v>1.962421501174884</v>
      </c>
      <c r="G14" s="45">
        <f>IF(MOD(A14,$J$1)&lt;&gt;0,MOD(A14,$J$1),$J$1)</f>
        <v>4</v>
      </c>
      <c r="H14" s="44">
        <f>E14*VLOOKUP(G14,$J$3:$L$9,3)</f>
        <v>214.11507101168218</v>
      </c>
      <c r="Y14" s="48">
        <v>3127</v>
      </c>
    </row>
    <row r="15" spans="1:25" ht="15" x14ac:dyDescent="0.3">
      <c r="A15" s="8">
        <f>[3]ArdiData!A14</f>
        <v>12</v>
      </c>
      <c r="B15" s="49">
        <f>'[2]0.ArdiData'!D14</f>
        <v>263</v>
      </c>
      <c r="C15" s="48">
        <v>194</v>
      </c>
      <c r="D15" s="47">
        <f>AVERAGE(C12:C18)</f>
        <v>121</v>
      </c>
      <c r="E15" s="46">
        <f>$E$2+$F$2*A15</f>
        <v>121.43004680132914</v>
      </c>
      <c r="F15" s="45">
        <f>C15/E15</f>
        <v>1.5976276474421693</v>
      </c>
      <c r="G15" s="45">
        <f>IF(MOD(A15,$J$1)&lt;&gt;0,MOD(A15,$J$1),$J$1)</f>
        <v>5</v>
      </c>
      <c r="H15" s="44">
        <f>E15*VLOOKUP(G15,$J$3:$L$9,3)</f>
        <v>147.56820789819943</v>
      </c>
      <c r="Y15" s="48">
        <v>3227</v>
      </c>
    </row>
    <row r="16" spans="1:25" ht="15" x14ac:dyDescent="0.3">
      <c r="A16" s="8">
        <f>[3]ArdiData!A15</f>
        <v>13</v>
      </c>
      <c r="B16" s="49">
        <f>'[2]0.ArdiData'!D15</f>
        <v>162</v>
      </c>
      <c r="C16" s="48">
        <v>92</v>
      </c>
      <c r="D16" s="47">
        <f>AVERAGE(C13:C19)</f>
        <v>128.28571428571428</v>
      </c>
      <c r="E16" s="46">
        <f>$E$2+$F$2*A16</f>
        <v>126.16752788071742</v>
      </c>
      <c r="F16" s="45">
        <f>C16/E16</f>
        <v>0.72918921013479454</v>
      </c>
      <c r="G16" s="45">
        <f>IF(MOD(A16,$J$1)&lt;&gt;0,MOD(A16,$J$1),$J$1)</f>
        <v>6</v>
      </c>
      <c r="H16" s="44">
        <f>E16*VLOOKUP(G16,$J$3:$L$9,3)</f>
        <v>106.48639953492651</v>
      </c>
      <c r="Y16" s="48">
        <v>4176</v>
      </c>
    </row>
    <row r="17" spans="1:25" ht="15" x14ac:dyDescent="0.3">
      <c r="A17" s="8">
        <f>[3]ArdiData!A16</f>
        <v>14</v>
      </c>
      <c r="B17" s="49">
        <f>'[2]0.ArdiData'!D16</f>
        <v>100</v>
      </c>
      <c r="C17" s="48">
        <v>58</v>
      </c>
      <c r="D17" s="47">
        <f>AVERAGE(C14:C20)</f>
        <v>137.14285714285714</v>
      </c>
      <c r="E17" s="46">
        <f>$E$2+$F$2*A17</f>
        <v>130.9050089601057</v>
      </c>
      <c r="F17" s="45">
        <f>C17/E17</f>
        <v>0.44306937114740919</v>
      </c>
      <c r="G17" s="45">
        <f>IF(MOD(A17,$J$1)&lt;&gt;0,MOD(A17,$J$1),$J$1)</f>
        <v>7</v>
      </c>
      <c r="H17" s="44">
        <f>E17*VLOOKUP(G17,$J$3:$L$9,3)</f>
        <v>57.378932498141985</v>
      </c>
      <c r="Y17" s="48">
        <v>4724</v>
      </c>
    </row>
    <row r="18" spans="1:25" ht="15" x14ac:dyDescent="0.3">
      <c r="A18" s="8">
        <f>[3]ArdiData!A17</f>
        <v>15</v>
      </c>
      <c r="B18" s="49">
        <f>'[2]0.ArdiData'!D17</f>
        <v>87</v>
      </c>
      <c r="C18" s="48">
        <v>71</v>
      </c>
      <c r="D18" s="47">
        <f>AVERAGE(C15:C21)</f>
        <v>145.28571428571428</v>
      </c>
      <c r="E18" s="46">
        <f>$E$2+$F$2*A18</f>
        <v>135.64249003949396</v>
      </c>
      <c r="F18" s="45">
        <f>C18/E18</f>
        <v>0.52343480261478159</v>
      </c>
      <c r="G18" s="45">
        <f>IF(MOD(A18,$J$1)&lt;&gt;0,MOD(A18,$J$1),$J$1)</f>
        <v>1</v>
      </c>
      <c r="H18" s="44">
        <f>E18*VLOOKUP(G18,$J$3:$L$9,3)</f>
        <v>65.280980915309812</v>
      </c>
      <c r="Y18" s="48">
        <v>5097</v>
      </c>
    </row>
    <row r="19" spans="1:25" ht="15" x14ac:dyDescent="0.3">
      <c r="A19" s="8">
        <f>[3]ArdiData!A18</f>
        <v>16</v>
      </c>
      <c r="B19" s="49">
        <f>'[2]0.ArdiData'!D18</f>
        <v>185</v>
      </c>
      <c r="C19" s="48">
        <v>130</v>
      </c>
      <c r="D19" s="47">
        <f>AVERAGE(C16:C22)</f>
        <v>139</v>
      </c>
      <c r="E19" s="46">
        <f>$E$2+$F$2*A19</f>
        <v>140.37997111888225</v>
      </c>
      <c r="F19" s="45">
        <f>C19/E19</f>
        <v>0.92605803352038119</v>
      </c>
      <c r="G19" s="45">
        <f>IF(MOD(A19,$J$1)&lt;&gt;0,MOD(A19,$J$1),$J$1)</f>
        <v>2</v>
      </c>
      <c r="H19" s="44">
        <f>E19*VLOOKUP(G19,$J$3:$L$9,3)</f>
        <v>138.3310384489528</v>
      </c>
      <c r="Y19" s="48">
        <v>3992</v>
      </c>
    </row>
    <row r="20" spans="1:25" ht="15" x14ac:dyDescent="0.3">
      <c r="A20" s="8">
        <f>[3]ArdiData!A19</f>
        <v>17</v>
      </c>
      <c r="B20" s="49">
        <f>'[2]0.ArdiData'!D19</f>
        <v>336</v>
      </c>
      <c r="C20" s="48">
        <v>186</v>
      </c>
      <c r="D20" s="47">
        <f>AVERAGE(C17:C23)</f>
        <v>140.42857142857142</v>
      </c>
      <c r="E20" s="46">
        <f>$E$2+$F$2*A20</f>
        <v>145.11745219827054</v>
      </c>
      <c r="F20" s="45">
        <f>C20/E20</f>
        <v>1.2817204077278908</v>
      </c>
      <c r="G20" s="45">
        <f>IF(MOD(A20,$J$1)&lt;&gt;0,MOD(A20,$J$1),$J$1)</f>
        <v>3</v>
      </c>
      <c r="H20" s="44">
        <f>E20*VLOOKUP(G20,$J$3:$L$9,3)</f>
        <v>174.2675997378046</v>
      </c>
      <c r="Y20" s="48">
        <v>4270</v>
      </c>
    </row>
    <row r="21" spans="1:25" ht="15" x14ac:dyDescent="0.3">
      <c r="A21" s="8">
        <f>[3]ArdiData!A20</f>
        <v>18</v>
      </c>
      <c r="B21" s="49">
        <f>'[2]0.ArdiData'!D20</f>
        <v>319</v>
      </c>
      <c r="C21" s="48">
        <v>286</v>
      </c>
      <c r="D21" s="47">
        <f>AVERAGE(C18:C24)</f>
        <v>138.85714285714286</v>
      </c>
      <c r="E21" s="46">
        <f>$E$2+$F$2*A21</f>
        <v>149.8549332776588</v>
      </c>
      <c r="F21" s="45">
        <f>C21/E21</f>
        <v>1.908512410933344</v>
      </c>
      <c r="G21" s="45">
        <f>IF(MOD(A21,$J$1)&lt;&gt;0,MOD(A21,$J$1),$J$1)</f>
        <v>4</v>
      </c>
      <c r="H21" s="44">
        <f>E21*VLOOKUP(G21,$J$3:$L$9,3)</f>
        <v>274.96352901051927</v>
      </c>
      <c r="Y21" s="48">
        <v>5352</v>
      </c>
    </row>
    <row r="22" spans="1:25" ht="15" x14ac:dyDescent="0.3">
      <c r="A22" s="8">
        <f>[3]ArdiData!A21</f>
        <v>19</v>
      </c>
      <c r="B22" s="49">
        <f>'[2]0.ArdiData'!D21</f>
        <v>272</v>
      </c>
      <c r="C22" s="48">
        <v>150</v>
      </c>
      <c r="D22" s="47">
        <f>AVERAGE(C19:C25)</f>
        <v>140.42857142857142</v>
      </c>
      <c r="E22" s="46">
        <f>$E$2+$F$2*A22</f>
        <v>154.59241435704709</v>
      </c>
      <c r="F22" s="45">
        <f>C22/E22</f>
        <v>0.970293404264711</v>
      </c>
      <c r="G22" s="45">
        <f>IF(MOD(A22,$J$1)&lt;&gt;0,MOD(A22,$J$1),$J$1)</f>
        <v>5</v>
      </c>
      <c r="H22" s="44">
        <f>E22*VLOOKUP(G22,$J$3:$L$9,3)</f>
        <v>187.86886888588114</v>
      </c>
      <c r="Y22" s="48">
        <v>5502</v>
      </c>
    </row>
    <row r="23" spans="1:25" ht="15" x14ac:dyDescent="0.3">
      <c r="A23" s="8">
        <f>[3]ArdiData!A22</f>
        <v>20</v>
      </c>
      <c r="B23" s="49">
        <f>'[2]0.ArdiData'!D22</f>
        <v>211</v>
      </c>
      <c r="C23" s="48">
        <v>102</v>
      </c>
      <c r="D23" s="47">
        <f>AVERAGE(C20:C26)</f>
        <v>152</v>
      </c>
      <c r="E23" s="46">
        <f>$E$2+$F$2*A23</f>
        <v>159.32989543643538</v>
      </c>
      <c r="F23" s="45">
        <f>C23/E23</f>
        <v>0.64018117705156519</v>
      </c>
      <c r="G23" s="45">
        <f>IF(MOD(A23,$J$1)&lt;&gt;0,MOD(A23,$J$1),$J$1)</f>
        <v>6</v>
      </c>
      <c r="H23" s="44">
        <f>E23*VLOOKUP(G23,$J$3:$L$9,3)</f>
        <v>134.4757021738821</v>
      </c>
      <c r="Y23" s="48">
        <v>5484</v>
      </c>
    </row>
    <row r="24" spans="1:25" ht="15" x14ac:dyDescent="0.3">
      <c r="A24" s="8">
        <f>[3]ArdiData!A23</f>
        <v>21</v>
      </c>
      <c r="B24" s="49">
        <f>'[2]0.ArdiData'!D23</f>
        <v>93</v>
      </c>
      <c r="C24" s="48">
        <v>47</v>
      </c>
      <c r="D24" s="47">
        <f>AVERAGE(C21:C27)</f>
        <v>148.42857142857142</v>
      </c>
      <c r="E24" s="46">
        <f>$E$2+$F$2*A24</f>
        <v>164.06737651582364</v>
      </c>
      <c r="F24" s="45">
        <f>C24/E24</f>
        <v>0.28646767564706588</v>
      </c>
      <c r="G24" s="45">
        <f>IF(MOD(A24,$J$1)&lt;&gt;0,MOD(A24,$J$1),$J$1)</f>
        <v>7</v>
      </c>
      <c r="H24" s="44">
        <f>E24*VLOOKUP(G24,$J$3:$L$9,3)</f>
        <v>71.914825849923602</v>
      </c>
      <c r="Y24" s="48">
        <v>4564</v>
      </c>
    </row>
    <row r="25" spans="1:25" ht="15" x14ac:dyDescent="0.3">
      <c r="A25" s="8">
        <f>[3]ArdiData!A24</f>
        <v>22</v>
      </c>
      <c r="B25" s="49">
        <f>'[2]0.ArdiData'!D24</f>
        <v>154</v>
      </c>
      <c r="C25" s="48">
        <v>82</v>
      </c>
      <c r="D25" s="47">
        <f>AVERAGE(C22:C28)</f>
        <v>152.57142857142858</v>
      </c>
      <c r="E25" s="46">
        <f>$E$2+$F$2*A25</f>
        <v>168.80485759521193</v>
      </c>
      <c r="F25" s="45">
        <f>C25/E25</f>
        <v>0.48576801146702248</v>
      </c>
      <c r="G25" s="45">
        <f>IF(MOD(A25,$J$1)&lt;&gt;0,MOD(A25,$J$1),$J$1)</f>
        <v>1</v>
      </c>
      <c r="H25" s="44">
        <f>E25*VLOOKUP(G25,$J$3:$L$9,3)</f>
        <v>81.241111718577912</v>
      </c>
      <c r="Y25" s="48">
        <v>5215</v>
      </c>
    </row>
    <row r="26" spans="1:25" ht="15" x14ac:dyDescent="0.3">
      <c r="A26" s="8">
        <f>[3]ArdiData!A25</f>
        <v>23</v>
      </c>
      <c r="B26" s="49">
        <f>'[2]0.ArdiData'!D25</f>
        <v>278</v>
      </c>
      <c r="C26" s="48">
        <v>211</v>
      </c>
      <c r="D26" s="47">
        <f>AVERAGE(C23:C29)</f>
        <v>179.28571428571428</v>
      </c>
      <c r="E26" s="46">
        <f>$E$2+$F$2*A26</f>
        <v>173.54233867460022</v>
      </c>
      <c r="F26" s="45">
        <f>C26/E26</f>
        <v>1.2158416304140893</v>
      </c>
      <c r="G26" s="45">
        <f>IF(MOD(A26,$J$1)&lt;&gt;0,MOD(A26,$J$1),$J$1)</f>
        <v>2</v>
      </c>
      <c r="H26" s="44">
        <f>E26*VLOOKUP(G26,$J$3:$L$9,3)</f>
        <v>171.00938069995277</v>
      </c>
      <c r="Y26" s="48">
        <v>6055</v>
      </c>
    </row>
    <row r="27" spans="1:25" ht="15" x14ac:dyDescent="0.3">
      <c r="A27" s="8">
        <f>[3]ArdiData!A26</f>
        <v>24</v>
      </c>
      <c r="B27" s="49">
        <f>'[2]0.ArdiData'!D26</f>
        <v>446</v>
      </c>
      <c r="C27" s="48">
        <v>161</v>
      </c>
      <c r="D27" s="47">
        <f>AVERAGE(C24:C30)</f>
        <v>196.85714285714286</v>
      </c>
      <c r="E27" s="46">
        <f>$E$2+$F$2*A27</f>
        <v>178.27981975398848</v>
      </c>
      <c r="F27" s="45">
        <f>C27/E27</f>
        <v>0.90307472950200862</v>
      </c>
      <c r="G27" s="45">
        <f>IF(MOD(A27,$J$1)&lt;&gt;0,MOD(A27,$J$1),$J$1)</f>
        <v>3</v>
      </c>
      <c r="H27" s="44">
        <f>E27*VLOOKUP(G27,$J$3:$L$9,3)</f>
        <v>214.09138459630614</v>
      </c>
      <c r="Y27" s="48">
        <v>6246</v>
      </c>
    </row>
    <row r="28" spans="1:25" ht="15" x14ac:dyDescent="0.3">
      <c r="A28" s="8">
        <f>[3]ArdiData!A27</f>
        <v>25</v>
      </c>
      <c r="B28" s="49">
        <f>'[2]0.ArdiData'!D27</f>
        <v>520</v>
      </c>
      <c r="C28" s="48">
        <v>315</v>
      </c>
      <c r="D28" s="47">
        <f>AVERAGE(C25:C31)</f>
        <v>200.85714285714286</v>
      </c>
      <c r="E28" s="46">
        <f>$E$2+$F$2*A28</f>
        <v>183.01730083337674</v>
      </c>
      <c r="F28" s="45">
        <f>C28/E28</f>
        <v>1.7211487578804554</v>
      </c>
      <c r="G28" s="45">
        <f>IF(MOD(A28,$J$1)&lt;&gt;0,MOD(A28,$J$1),$J$1)</f>
        <v>4</v>
      </c>
      <c r="H28" s="44">
        <f>E28*VLOOKUP(G28,$J$3:$L$9,3)</f>
        <v>335.8119870093563</v>
      </c>
      <c r="Y28" s="48">
        <v>7163</v>
      </c>
    </row>
    <row r="29" spans="1:25" ht="15" x14ac:dyDescent="0.3">
      <c r="A29" s="8">
        <f>[3]ArdiData!A28</f>
        <v>26</v>
      </c>
      <c r="B29" s="49">
        <f>'[2]0.ArdiData'!D28</f>
        <v>242</v>
      </c>
      <c r="C29" s="48">
        <v>337</v>
      </c>
      <c r="D29" s="47">
        <f>AVERAGE(C26:C32)</f>
        <v>204</v>
      </c>
      <c r="E29" s="46">
        <f>$E$2+$F$2*A29</f>
        <v>187.75478191276503</v>
      </c>
      <c r="F29" s="45">
        <f>C29/E29</f>
        <v>1.7948943646962747</v>
      </c>
      <c r="G29" s="45">
        <f>IF(MOD(A29,$J$1)&lt;&gt;0,MOD(A29,$J$1),$J$1)</f>
        <v>5</v>
      </c>
      <c r="H29" s="44">
        <f>E29*VLOOKUP(G29,$J$3:$L$9,3)</f>
        <v>228.16952987356285</v>
      </c>
      <c r="Y29" s="48">
        <v>6091</v>
      </c>
    </row>
    <row r="30" spans="1:25" ht="15" x14ac:dyDescent="0.3">
      <c r="A30" s="8">
        <f>[3]ArdiData!A29</f>
        <v>27</v>
      </c>
      <c r="B30" s="49">
        <f>'[2]0.ArdiData'!D29</f>
        <v>277</v>
      </c>
      <c r="C30" s="48">
        <v>225</v>
      </c>
      <c r="D30" s="47">
        <f>AVERAGE(C27:C33)</f>
        <v>206.71428571428572</v>
      </c>
      <c r="E30" s="46">
        <f>$E$2+$F$2*A30</f>
        <v>192.49226299215331</v>
      </c>
      <c r="F30" s="45">
        <f>C30/E30</f>
        <v>1.1688781486722499</v>
      </c>
      <c r="G30" s="45">
        <f>IF(MOD(A30,$J$1)&lt;&gt;0,MOD(A30,$J$1),$J$1)</f>
        <v>6</v>
      </c>
      <c r="H30" s="44">
        <f>E30*VLOOKUP(G30,$J$3:$L$9,3)</f>
        <v>162.46500481283766</v>
      </c>
      <c r="Y30" s="48">
        <v>5990</v>
      </c>
    </row>
    <row r="31" spans="1:25" ht="15" x14ac:dyDescent="0.3">
      <c r="A31" s="8">
        <f>[3]ArdiData!A30</f>
        <v>28</v>
      </c>
      <c r="B31" s="49">
        <f>'[2]0.ArdiData'!D30</f>
        <v>105</v>
      </c>
      <c r="C31" s="48">
        <v>75</v>
      </c>
      <c r="D31" s="47">
        <f>AVERAGE(C28:C34)</f>
        <v>214.28571428571428</v>
      </c>
      <c r="E31" s="46">
        <f>$E$2+$F$2*A31</f>
        <v>197.2297440715416</v>
      </c>
      <c r="F31" s="45">
        <f>C31/E31</f>
        <v>0.38026718714797436</v>
      </c>
      <c r="G31" s="45">
        <f>IF(MOD(A31,$J$1)&lt;&gt;0,MOD(A31,$J$1),$J$1)</f>
        <v>7</v>
      </c>
      <c r="H31" s="44">
        <f>E31*VLOOKUP(G31,$J$3:$L$9,3)</f>
        <v>86.450719201705226</v>
      </c>
      <c r="Y31" s="48">
        <v>6649</v>
      </c>
    </row>
    <row r="32" spans="1:25" ht="15" x14ac:dyDescent="0.3">
      <c r="A32" s="8">
        <f>[3]ArdiData!A31</f>
        <v>29</v>
      </c>
      <c r="B32" s="49">
        <f>'[2]0.ArdiData'!D31</f>
        <v>89</v>
      </c>
      <c r="C32" s="48">
        <v>104</v>
      </c>
      <c r="D32" s="47">
        <f>AVERAGE(C29:C35)</f>
        <v>233</v>
      </c>
      <c r="E32" s="46">
        <f>$E$2+$F$2*A32</f>
        <v>201.96722515092986</v>
      </c>
      <c r="F32" s="45">
        <f>C32/E32</f>
        <v>0.51493503424766529</v>
      </c>
      <c r="G32" s="45">
        <f>IF(MOD(A32,$J$1)&lt;&gt;0,MOD(A32,$J$1),$J$1)</f>
        <v>1</v>
      </c>
      <c r="H32" s="44">
        <f>E32*VLOOKUP(G32,$J$3:$L$9,3)</f>
        <v>97.201242521845998</v>
      </c>
      <c r="Y32" s="48">
        <v>7482</v>
      </c>
    </row>
    <row r="33" spans="1:25" ht="15" x14ac:dyDescent="0.3">
      <c r="A33" s="8">
        <f>[3]ArdiData!A32</f>
        <v>30</v>
      </c>
      <c r="B33" s="49">
        <f>'[2]0.ArdiData'!D32</f>
        <v>263</v>
      </c>
      <c r="C33" s="48">
        <v>230</v>
      </c>
      <c r="D33" s="47">
        <f>AVERAGE(C30:C36)</f>
        <v>216.28571428571428</v>
      </c>
      <c r="E33" s="46">
        <f>$E$2+$F$2*A33</f>
        <v>206.70470623031815</v>
      </c>
      <c r="F33" s="45">
        <f>C33/E33</f>
        <v>1.1126984198595138</v>
      </c>
      <c r="G33" s="45">
        <f>IF(MOD(A33,$J$1)&lt;&gt;0,MOD(A33,$J$1),$J$1)</f>
        <v>2</v>
      </c>
      <c r="H33" s="44">
        <f>E33*VLOOKUP(G33,$J$3:$L$9,3)</f>
        <v>203.68772295095272</v>
      </c>
      <c r="Y33" s="48">
        <v>7485</v>
      </c>
    </row>
    <row r="34" spans="1:25" ht="15" x14ac:dyDescent="0.3">
      <c r="A34" s="8">
        <f>[3]ArdiData!A33</f>
        <v>31</v>
      </c>
      <c r="B34" s="49">
        <f>'[2]0.ArdiData'!D33</f>
        <v>603</v>
      </c>
      <c r="C34" s="48">
        <v>214</v>
      </c>
      <c r="D34" s="47">
        <f>AVERAGE(C31:C37)</f>
        <v>215.42857142857142</v>
      </c>
      <c r="E34" s="46">
        <f>$E$2+$F$2*A34</f>
        <v>211.44218730970641</v>
      </c>
      <c r="F34" s="45">
        <f>C34/E34</f>
        <v>1.0120969836854132</v>
      </c>
      <c r="G34" s="45">
        <f>IF(MOD(A34,$J$1)&lt;&gt;0,MOD(A34,$J$1),$J$1)</f>
        <v>3</v>
      </c>
      <c r="H34" s="44">
        <f>E34*VLOOKUP(G34,$J$3:$L$9,3)</f>
        <v>253.91516945480771</v>
      </c>
      <c r="Y34" s="48">
        <v>6588</v>
      </c>
    </row>
    <row r="35" spans="1:25" ht="15" x14ac:dyDescent="0.3">
      <c r="A35" s="8">
        <f>[3]ArdiData!A34</f>
        <v>32</v>
      </c>
      <c r="B35" s="49">
        <f>'[2]0.ArdiData'!D34</f>
        <v>667</v>
      </c>
      <c r="C35" s="48">
        <v>446</v>
      </c>
      <c r="D35" s="47">
        <f>AVERAGE(C32:C38)</f>
        <v>218.57142857142858</v>
      </c>
      <c r="E35" s="46">
        <f>$E$2+$F$2*A35</f>
        <v>216.1796683890947</v>
      </c>
      <c r="F35" s="45">
        <f>C35/E35</f>
        <v>2.0630987332132418</v>
      </c>
      <c r="G35" s="45">
        <f>IF(MOD(A35,$J$1)&lt;&gt;0,MOD(A35,$J$1),$J$1)</f>
        <v>4</v>
      </c>
      <c r="H35" s="44">
        <f>E35*VLOOKUP(G35,$J$3:$L$9,3)</f>
        <v>396.66044500819339</v>
      </c>
      <c r="Y35" s="48">
        <v>7024</v>
      </c>
    </row>
    <row r="36" spans="1:25" ht="15" x14ac:dyDescent="0.3">
      <c r="A36" s="8">
        <f>[3]ArdiData!A35</f>
        <v>33</v>
      </c>
      <c r="B36" s="49">
        <f>'[2]0.ArdiData'!D35</f>
        <v>323</v>
      </c>
      <c r="C36" s="48">
        <v>220</v>
      </c>
      <c r="D36" s="47">
        <f>AVERAGE(C33:C39)</f>
        <v>217.14285714285714</v>
      </c>
      <c r="E36" s="46">
        <f>$E$2+$F$2*A36</f>
        <v>220.91714946848299</v>
      </c>
      <c r="F36" s="45">
        <f>C36/E36</f>
        <v>0.99584844603196443</v>
      </c>
      <c r="G36" s="45">
        <f>IF(MOD(A36,$J$1)&lt;&gt;0,MOD(A36,$J$1),$J$1)</f>
        <v>5</v>
      </c>
      <c r="H36" s="44">
        <f>E36*VLOOKUP(G36,$J$3:$L$9,3)</f>
        <v>268.47019086124459</v>
      </c>
      <c r="Y36" s="48">
        <v>7434</v>
      </c>
    </row>
    <row r="37" spans="1:25" ht="15" x14ac:dyDescent="0.3">
      <c r="A37" s="8">
        <f>[3]ArdiData!A36</f>
        <v>34</v>
      </c>
      <c r="B37" s="49">
        <f>'[2]0.ArdiData'!D36</f>
        <v>415</v>
      </c>
      <c r="C37" s="48">
        <v>219</v>
      </c>
      <c r="D37" s="47">
        <f>AVERAGE(C34:C40)</f>
        <v>225</v>
      </c>
      <c r="E37" s="46">
        <f>$E$2+$F$2*A37</f>
        <v>225.65463054787125</v>
      </c>
      <c r="F37" s="45">
        <f>C37/E37</f>
        <v>0.9705096654488572</v>
      </c>
      <c r="G37" s="45">
        <f>IF(MOD(A37,$J$1)&lt;&gt;0,MOD(A37,$J$1),$J$1)</f>
        <v>6</v>
      </c>
      <c r="H37" s="44">
        <f>E37*VLOOKUP(G37,$J$3:$L$9,3)</f>
        <v>190.45430745179323</v>
      </c>
      <c r="Y37" s="48">
        <v>8159</v>
      </c>
    </row>
    <row r="38" spans="1:25" ht="15" x14ac:dyDescent="0.3">
      <c r="A38" s="8">
        <f>[3]ArdiData!A37</f>
        <v>35</v>
      </c>
      <c r="B38" s="49">
        <f>'[2]0.ArdiData'!D37</f>
        <v>224</v>
      </c>
      <c r="C38" s="48">
        <v>97</v>
      </c>
      <c r="D38" s="47">
        <f>AVERAGE(C35:C41)</f>
        <v>246.57142857142858</v>
      </c>
      <c r="E38" s="46">
        <f>$E$2+$F$2*A38</f>
        <v>230.39211162725954</v>
      </c>
      <c r="F38" s="45">
        <f>C38/E38</f>
        <v>0.42102135925960738</v>
      </c>
      <c r="G38" s="45">
        <f>IF(MOD(A38,$J$1)&lt;&gt;0,MOD(A38,$J$1),$J$1)</f>
        <v>7</v>
      </c>
      <c r="H38" s="44">
        <f>E38*VLOOKUP(G38,$J$3:$L$9,3)</f>
        <v>100.98661255348685</v>
      </c>
      <c r="Y38" s="48">
        <v>9576</v>
      </c>
    </row>
    <row r="39" spans="1:25" ht="15" x14ac:dyDescent="0.3">
      <c r="A39" s="8">
        <f>[3]ArdiData!A38</f>
        <v>36</v>
      </c>
      <c r="B39" s="49">
        <f>'[2]0.ArdiData'!D38</f>
        <v>201</v>
      </c>
      <c r="C39" s="48">
        <v>94</v>
      </c>
      <c r="D39" s="47">
        <f>AVERAGE(C36:C42)</f>
        <v>253.14285714285714</v>
      </c>
      <c r="E39" s="46">
        <f>$E$2+$F$2*A39</f>
        <v>235.1295927066478</v>
      </c>
      <c r="F39" s="45">
        <f>C39/E39</f>
        <v>0.39977953824500606</v>
      </c>
      <c r="G39" s="45">
        <f>IF(MOD(A39,$J$1)&lt;&gt;0,MOD(A39,$J$1),$J$1)</f>
        <v>1</v>
      </c>
      <c r="H39" s="44">
        <f>E39*VLOOKUP(G39,$J$3:$L$9,3)</f>
        <v>113.16137332511408</v>
      </c>
      <c r="Y39" s="48">
        <v>6848</v>
      </c>
    </row>
    <row r="40" spans="1:25" ht="15" x14ac:dyDescent="0.3">
      <c r="A40" s="8">
        <f>[3]ArdiData!A39</f>
        <v>37</v>
      </c>
      <c r="B40" s="49">
        <f>'[2]0.ArdiData'!D39</f>
        <v>331</v>
      </c>
      <c r="C40" s="48">
        <v>285</v>
      </c>
      <c r="D40" s="47">
        <f>AVERAGE(C37:C43)</f>
        <v>244.71428571428572</v>
      </c>
      <c r="E40" s="46">
        <f>$E$2+$F$2*A40</f>
        <v>239.86707378603609</v>
      </c>
      <c r="F40" s="45">
        <f>C40/E40</f>
        <v>1.1881580723089278</v>
      </c>
      <c r="G40" s="45">
        <f>IF(MOD(A40,$J$1)&lt;&gt;0,MOD(A40,$J$1),$J$1)</f>
        <v>2</v>
      </c>
      <c r="H40" s="44">
        <f>E40*VLOOKUP(G40,$J$3:$L$9,3)</f>
        <v>236.36606520195267</v>
      </c>
      <c r="Y40" s="48">
        <v>8459</v>
      </c>
    </row>
    <row r="41" spans="1:25" ht="15" x14ac:dyDescent="0.3">
      <c r="A41" s="8">
        <f>[3]ArdiData!A40</f>
        <v>38</v>
      </c>
      <c r="B41" s="49">
        <f>'[2]0.ArdiData'!D40</f>
        <v>640</v>
      </c>
      <c r="C41" s="48">
        <v>365</v>
      </c>
      <c r="D41" s="47">
        <f>AVERAGE(C38:C44)</f>
        <v>241.57142857142858</v>
      </c>
      <c r="E41" s="46">
        <f>$E$2+$F$2*A41</f>
        <v>244.60455486542438</v>
      </c>
      <c r="F41" s="45">
        <f>C41/E41</f>
        <v>1.4922044284940414</v>
      </c>
      <c r="G41" s="45">
        <f>IF(MOD(A41,$J$1)&lt;&gt;0,MOD(A41,$J$1),$J$1)</f>
        <v>3</v>
      </c>
      <c r="H41" s="44">
        <f>E41*VLOOKUP(G41,$J$3:$L$9,3)</f>
        <v>293.73895431330931</v>
      </c>
      <c r="Y41" s="48">
        <v>8437</v>
      </c>
    </row>
    <row r="42" spans="1:25" ht="15" x14ac:dyDescent="0.3">
      <c r="A42" s="8">
        <f>[3]ArdiData!A41</f>
        <v>39</v>
      </c>
      <c r="B42" s="49">
        <f>'[2]0.ArdiData'!D41</f>
        <v>977</v>
      </c>
      <c r="C42" s="48">
        <v>492</v>
      </c>
      <c r="D42" s="47">
        <f>AVERAGE(C39:C45)</f>
        <v>246.42857142857142</v>
      </c>
      <c r="E42" s="46">
        <f>$E$2+$F$2*A42</f>
        <v>249.34203594481264</v>
      </c>
      <c r="F42" s="45">
        <f>C42/E42</f>
        <v>1.9731931606947146</v>
      </c>
      <c r="G42" s="45">
        <f>IF(MOD(A42,$J$1)&lt;&gt;0,MOD(A42,$J$1),$J$1)</f>
        <v>4</v>
      </c>
      <c r="H42" s="44">
        <f>E42*VLOOKUP(G42,$J$3:$L$9,3)</f>
        <v>457.50890300703043</v>
      </c>
      <c r="Y42" s="48">
        <v>8919</v>
      </c>
    </row>
    <row r="43" spans="1:25" ht="15" x14ac:dyDescent="0.3">
      <c r="A43" s="8">
        <f>[3]ArdiData!A42</f>
        <v>40</v>
      </c>
      <c r="B43" s="49">
        <f>'[2]0.ArdiData'!D42</f>
        <v>453</v>
      </c>
      <c r="C43" s="48">
        <v>161</v>
      </c>
      <c r="D43" s="47">
        <f>AVERAGE(C40:C46)</f>
        <v>256</v>
      </c>
      <c r="E43" s="46">
        <f>$E$2+$F$2*A43</f>
        <v>254.07951702420092</v>
      </c>
      <c r="F43" s="45">
        <f>C43/E43</f>
        <v>0.63365989468826345</v>
      </c>
      <c r="G43" s="45">
        <f>IF(MOD(A43,$J$1)&lt;&gt;0,MOD(A43,$J$1),$J$1)</f>
        <v>5</v>
      </c>
      <c r="H43" s="44">
        <f>E43*VLOOKUP(G43,$J$3:$L$9,3)</f>
        <v>308.77085184892627</v>
      </c>
      <c r="Y43" s="48">
        <v>10045</v>
      </c>
    </row>
    <row r="44" spans="1:25" ht="15" x14ac:dyDescent="0.3">
      <c r="A44" s="8">
        <f>[3]ArdiData!A43</f>
        <v>41</v>
      </c>
      <c r="B44" s="49">
        <f>'[2]0.ArdiData'!D43</f>
        <v>260</v>
      </c>
      <c r="C44" s="48">
        <v>197</v>
      </c>
      <c r="D44" s="47">
        <f>AVERAGE(C41:C47)</f>
        <v>244</v>
      </c>
      <c r="E44" s="46">
        <f>$E$2+$F$2*A44</f>
        <v>258.81699810358919</v>
      </c>
      <c r="F44" s="45">
        <f>C44/E44</f>
        <v>0.76115557109256216</v>
      </c>
      <c r="G44" s="45">
        <f>IF(MOD(A44,$J$1)&lt;&gt;0,MOD(A44,$J$1),$J$1)</f>
        <v>6</v>
      </c>
      <c r="H44" s="44">
        <f>E44*VLOOKUP(G44,$J$3:$L$9,3)</f>
        <v>218.44361009074879</v>
      </c>
      <c r="Y44" s="48">
        <v>8891</v>
      </c>
    </row>
    <row r="45" spans="1:25" ht="15" x14ac:dyDescent="0.3">
      <c r="A45" s="8">
        <f>[3]ArdiData!A44</f>
        <v>42</v>
      </c>
      <c r="B45" s="49">
        <f>'[2]0.ArdiData'!D44</f>
        <v>225</v>
      </c>
      <c r="C45" s="48">
        <v>131</v>
      </c>
      <c r="D45" s="47">
        <f>AVERAGE(C42:C48)</f>
        <v>251.14285714285714</v>
      </c>
      <c r="E45" s="46">
        <f>$E$2+$F$2*A45</f>
        <v>263.5544791829775</v>
      </c>
      <c r="F45" s="45">
        <f>C45/E45</f>
        <v>0.49705093385664245</v>
      </c>
      <c r="G45" s="45">
        <f>IF(MOD(A45,$J$1)&lt;&gt;0,MOD(A45,$J$1),$J$1)</f>
        <v>7</v>
      </c>
      <c r="H45" s="44">
        <f>E45*VLOOKUP(G45,$J$3:$L$9,3)</f>
        <v>115.52250590526847</v>
      </c>
      <c r="Y45" s="48">
        <v>8708</v>
      </c>
    </row>
    <row r="46" spans="1:25" ht="15" x14ac:dyDescent="0.3">
      <c r="A46" s="8">
        <f>[3]ArdiData!A45</f>
        <v>43</v>
      </c>
      <c r="B46" s="49">
        <f>'[2]0.ArdiData'!D45</f>
        <v>244</v>
      </c>
      <c r="C46" s="48">
        <v>161</v>
      </c>
      <c r="D46" s="47">
        <f>AVERAGE(C43:C49)</f>
        <v>251.42857142857142</v>
      </c>
      <c r="E46" s="46">
        <f>$E$2+$F$2*A46</f>
        <v>268.29196026236576</v>
      </c>
      <c r="F46" s="45">
        <f>C46/E46</f>
        <v>0.60009252548066017</v>
      </c>
      <c r="G46" s="45">
        <f>IF(MOD(A46,$J$1)&lt;&gt;0,MOD(A46,$J$1),$J$1)</f>
        <v>1</v>
      </c>
      <c r="H46" s="44">
        <f>E46*VLOOKUP(G46,$J$3:$L$9,3)</f>
        <v>129.12150412838218</v>
      </c>
      <c r="Y46" s="48">
        <v>10160</v>
      </c>
    </row>
    <row r="47" spans="1:25" ht="15" x14ac:dyDescent="0.3">
      <c r="A47" s="8">
        <f>[3]ArdiData!A46</f>
        <v>44</v>
      </c>
      <c r="B47" s="49">
        <f>'[2]0.ArdiData'!D46</f>
        <v>451</v>
      </c>
      <c r="C47" s="48">
        <v>201</v>
      </c>
      <c r="D47" s="47">
        <f>AVERAGE(C44:C50)</f>
        <v>280.14285714285717</v>
      </c>
      <c r="E47" s="46">
        <f>$E$2+$F$2*A47</f>
        <v>273.02944134175402</v>
      </c>
      <c r="F47" s="45">
        <f>C47/E47</f>
        <v>0.73618434338883632</v>
      </c>
      <c r="G47" s="45">
        <f>IF(MOD(A47,$J$1)&lt;&gt;0,MOD(A47,$J$1),$J$1)</f>
        <v>2</v>
      </c>
      <c r="H47" s="44">
        <f>E47*VLOOKUP(G47,$J$3:$L$9,3)</f>
        <v>269.04440745295261</v>
      </c>
      <c r="Y47" s="48">
        <v>10004</v>
      </c>
    </row>
    <row r="48" spans="1:25" ht="15" x14ac:dyDescent="0.3">
      <c r="A48" s="8">
        <f>[3]ArdiData!A47</f>
        <v>45</v>
      </c>
      <c r="B48" s="49">
        <f>'[2]0.ArdiData'!D47</f>
        <v>497</v>
      </c>
      <c r="C48" s="48">
        <v>415</v>
      </c>
      <c r="D48" s="47">
        <f>AVERAGE(C45:C51)</f>
        <v>288.42857142857144</v>
      </c>
      <c r="E48" s="46">
        <f>$E$2+$F$2*A48</f>
        <v>277.76692242114234</v>
      </c>
      <c r="F48" s="45">
        <f>C48/E48</f>
        <v>1.4940583867318398</v>
      </c>
      <c r="G48" s="45">
        <f>IF(MOD(A48,$J$1)&lt;&gt;0,MOD(A48,$J$1),$J$1)</f>
        <v>3</v>
      </c>
      <c r="H48" s="44">
        <f>E48*VLOOKUP(G48,$J$3:$L$9,3)</f>
        <v>333.5627391718109</v>
      </c>
      <c r="Y48" s="48">
        <v>10608</v>
      </c>
    </row>
    <row r="49" spans="1:25" ht="15" x14ac:dyDescent="0.3">
      <c r="A49" s="8">
        <f>[3]ArdiData!A48</f>
        <v>46</v>
      </c>
      <c r="B49" s="49">
        <f>'[2]0.ArdiData'!D48</f>
        <v>905</v>
      </c>
      <c r="C49" s="48">
        <v>494</v>
      </c>
      <c r="D49" s="47">
        <f>AVERAGE(C46:C52)</f>
        <v>294.42857142857144</v>
      </c>
      <c r="E49" s="46">
        <f>$E$2+$F$2*A49</f>
        <v>282.5044035005306</v>
      </c>
      <c r="F49" s="45">
        <f>C49/E49</f>
        <v>1.7486453091662062</v>
      </c>
      <c r="G49" s="45">
        <f>IF(MOD(A49,$J$1)&lt;&gt;0,MOD(A49,$J$1),$J$1)</f>
        <v>4</v>
      </c>
      <c r="H49" s="44">
        <f>E49*VLOOKUP(G49,$J$3:$L$9,3)</f>
        <v>518.35736100586757</v>
      </c>
      <c r="Y49" s="48">
        <v>9742</v>
      </c>
    </row>
    <row r="50" spans="1:25" ht="15" x14ac:dyDescent="0.3">
      <c r="A50" s="8">
        <f>[3]ArdiData!A49</f>
        <v>47</v>
      </c>
      <c r="B50" s="49">
        <f>'[2]0.ArdiData'!D49</f>
        <v>526</v>
      </c>
      <c r="C50" s="48">
        <v>362</v>
      </c>
      <c r="D50" s="47">
        <f>AVERAGE(C47:C53)</f>
        <v>289.71428571428572</v>
      </c>
      <c r="E50" s="46">
        <f>$E$2+$F$2*A50</f>
        <v>287.24188457991886</v>
      </c>
      <c r="F50" s="45">
        <f>C50/E50</f>
        <v>1.2602618887889983</v>
      </c>
      <c r="G50" s="45">
        <f>IF(MOD(A50,$J$1)&lt;&gt;0,MOD(A50,$J$1),$J$1)</f>
        <v>5</v>
      </c>
      <c r="H50" s="44">
        <f>E50*VLOOKUP(G50,$J$3:$L$9,3)</f>
        <v>349.07151283660795</v>
      </c>
      <c r="Y50" s="48">
        <v>8280</v>
      </c>
    </row>
    <row r="51" spans="1:25" ht="15" x14ac:dyDescent="0.3">
      <c r="A51" s="8">
        <f>[3]ArdiData!A50</f>
        <v>48</v>
      </c>
      <c r="B51" s="49">
        <f>'[2]0.ArdiData'!D50</f>
        <v>353</v>
      </c>
      <c r="C51" s="48">
        <v>255</v>
      </c>
      <c r="D51" s="47">
        <f>AVERAGE(C48:C54)</f>
        <v>303.14285714285717</v>
      </c>
      <c r="E51" s="46">
        <f>$E$2+$F$2*A51</f>
        <v>291.97936565930718</v>
      </c>
      <c r="F51" s="45">
        <f>C51/E51</f>
        <v>0.87334938694792519</v>
      </c>
      <c r="G51" s="45">
        <f>IF(MOD(A51,$J$1)&lt;&gt;0,MOD(A51,$J$1),$J$1)</f>
        <v>6</v>
      </c>
      <c r="H51" s="44">
        <f>E51*VLOOKUP(G51,$J$3:$L$9,3)</f>
        <v>246.43291272970441</v>
      </c>
      <c r="Y51" s="48">
        <v>9626</v>
      </c>
    </row>
    <row r="52" spans="1:25" ht="15" x14ac:dyDescent="0.3">
      <c r="A52" s="8">
        <f>[3]ArdiData!A51</f>
        <v>49</v>
      </c>
      <c r="B52" s="49">
        <f>'[2]0.ArdiData'!D51</f>
        <v>169</v>
      </c>
      <c r="C52" s="48">
        <v>173</v>
      </c>
      <c r="D52" s="47">
        <f>AVERAGE(C49:C55)</f>
        <v>289.14285714285717</v>
      </c>
      <c r="E52" s="46">
        <f>$E$2+$F$2*A52</f>
        <v>296.71684673869544</v>
      </c>
      <c r="F52" s="45">
        <f>C52/E52</f>
        <v>0.5830474470913779</v>
      </c>
      <c r="G52" s="45">
        <f>IF(MOD(A52,$J$1)&lt;&gt;0,MOD(A52,$J$1),$J$1)</f>
        <v>7</v>
      </c>
      <c r="H52" s="44">
        <f>E52*VLOOKUP(G52,$J$3:$L$9,3)</f>
        <v>130.0583992570501</v>
      </c>
      <c r="Y52" s="48">
        <v>11080</v>
      </c>
    </row>
    <row r="53" spans="1:25" ht="15" x14ac:dyDescent="0.3">
      <c r="A53" s="8">
        <f>[3]ArdiData!A52</f>
        <v>50</v>
      </c>
      <c r="B53" s="49">
        <f>'[2]0.ArdiData'!D52</f>
        <v>207</v>
      </c>
      <c r="C53" s="48">
        <v>128</v>
      </c>
      <c r="D53" s="47">
        <f>AVERAGE(C50:C56)</f>
        <v>298</v>
      </c>
      <c r="E53" s="46">
        <f>$E$2+$F$2*A53</f>
        <v>301.4543278180837</v>
      </c>
      <c r="F53" s="45">
        <f>C53/E53</f>
        <v>0.42460826794712053</v>
      </c>
      <c r="G53" s="45">
        <f>IF(MOD(A53,$J$1)&lt;&gt;0,MOD(A53,$J$1),$J$1)</f>
        <v>1</v>
      </c>
      <c r="H53" s="44">
        <f>E53*VLOOKUP(G53,$J$3:$L$9,3)</f>
        <v>145.08163493165026</v>
      </c>
      <c r="Y53" s="48">
        <v>11969</v>
      </c>
    </row>
    <row r="54" spans="1:25" ht="15" x14ac:dyDescent="0.3">
      <c r="A54" s="8">
        <f>[3]ArdiData!A53</f>
        <v>51</v>
      </c>
      <c r="B54" s="49">
        <f>'[2]0.ArdiData'!D53</f>
        <v>341</v>
      </c>
      <c r="C54" s="48">
        <v>295</v>
      </c>
      <c r="D54" s="47">
        <f>AVERAGE(C51:C57)</f>
        <v>318.71428571428572</v>
      </c>
      <c r="E54" s="46">
        <f>$E$2+$F$2*A54</f>
        <v>306.19180889747201</v>
      </c>
      <c r="F54" s="45">
        <f>C54/E54</f>
        <v>0.96344837264663874</v>
      </c>
      <c r="G54" s="45">
        <f>IF(MOD(A54,$J$1)&lt;&gt;0,MOD(A54,$J$1),$J$1)</f>
        <v>2</v>
      </c>
      <c r="H54" s="44">
        <f>E54*VLOOKUP(G54,$J$3:$L$9,3)</f>
        <v>301.72274970395262</v>
      </c>
      <c r="Y54" s="48">
        <v>10532</v>
      </c>
    </row>
    <row r="55" spans="1:25" ht="15" x14ac:dyDescent="0.3">
      <c r="A55" s="8">
        <f>[3]ArdiData!A54</f>
        <v>52</v>
      </c>
      <c r="B55" s="49">
        <f>'[2]0.ArdiData'!D54</f>
        <v>836</v>
      </c>
      <c r="C55" s="48">
        <v>317</v>
      </c>
      <c r="D55" s="47">
        <f>AVERAGE(C52:C58)</f>
        <v>314.85714285714283</v>
      </c>
      <c r="E55" s="46">
        <f>$E$2+$F$2*A55</f>
        <v>310.92928997686022</v>
      </c>
      <c r="F55" s="45">
        <f>C55/E55</f>
        <v>1.0195244070559952</v>
      </c>
      <c r="G55" s="45">
        <f>IF(MOD(A55,$J$1)&lt;&gt;0,MOD(A55,$J$1),$J$1)</f>
        <v>3</v>
      </c>
      <c r="H55" s="44">
        <f>E55*VLOOKUP(G55,$J$3:$L$9,3)</f>
        <v>373.38652403031239</v>
      </c>
      <c r="Y55" s="48">
        <v>9688</v>
      </c>
    </row>
    <row r="56" spans="1:25" ht="15" x14ac:dyDescent="0.3">
      <c r="A56" s="8">
        <f>[3]ArdiData!A55</f>
        <v>53</v>
      </c>
      <c r="B56" s="49">
        <f>'[2]0.ArdiData'!D55</f>
        <v>951</v>
      </c>
      <c r="C56" s="48">
        <v>556</v>
      </c>
      <c r="D56" s="47">
        <f>AVERAGE(C53:C59)</f>
        <v>312.85714285714283</v>
      </c>
      <c r="E56" s="46">
        <f>$E$2+$F$2*A56</f>
        <v>315.66677105624854</v>
      </c>
      <c r="F56" s="45">
        <f>C56/E56</f>
        <v>1.7613510542765574</v>
      </c>
      <c r="G56" s="45">
        <f>IF(MOD(A56,$J$1)&lt;&gt;0,MOD(A56,$J$1),$J$1)</f>
        <v>4</v>
      </c>
      <c r="H56" s="44">
        <f>E56*VLOOKUP(G56,$J$3:$L$9,3)</f>
        <v>579.20581900470461</v>
      </c>
      <c r="Y56" s="48">
        <v>11226</v>
      </c>
    </row>
    <row r="57" spans="1:25" ht="15" x14ac:dyDescent="0.3">
      <c r="A57" s="8">
        <f>[3]ArdiData!A56</f>
        <v>54</v>
      </c>
      <c r="B57" s="49">
        <f>'[2]0.ArdiData'!D56</f>
        <v>390</v>
      </c>
      <c r="C57" s="48">
        <v>507</v>
      </c>
      <c r="D57" s="47">
        <f>AVERAGE(C54:C60)</f>
        <v>316.42857142857144</v>
      </c>
      <c r="E57" s="46">
        <f>$E$2+$F$2*A57</f>
        <v>320.40425213563685</v>
      </c>
      <c r="F57" s="45">
        <f>C57/E57</f>
        <v>1.5823760035037597</v>
      </c>
      <c r="G57" s="45">
        <f>IF(MOD(A57,$J$1)&lt;&gt;0,MOD(A57,$J$1),$J$1)</f>
        <v>5</v>
      </c>
      <c r="H57" s="44">
        <f>E57*VLOOKUP(G57,$J$3:$L$9,3)</f>
        <v>389.37217382428975</v>
      </c>
      <c r="Y57" s="48">
        <v>12363</v>
      </c>
    </row>
    <row r="58" spans="1:25" ht="15" x14ac:dyDescent="0.3">
      <c r="A58" s="8">
        <f>[3]ArdiData!A57</f>
        <v>55</v>
      </c>
      <c r="B58" s="49">
        <f>'[2]0.ArdiData'!D57</f>
        <v>661</v>
      </c>
      <c r="C58" s="48">
        <v>228</v>
      </c>
      <c r="D58" s="47">
        <f>AVERAGE(C55:C61)</f>
        <v>312.57142857142856</v>
      </c>
      <c r="E58" s="46">
        <f>$E$2+$F$2*A58</f>
        <v>325.14173321502506</v>
      </c>
      <c r="F58" s="45">
        <f>C58/E58</f>
        <v>0.70123265243596833</v>
      </c>
      <c r="G58" s="45">
        <f>IF(MOD(A58,$J$1)&lt;&gt;0,MOD(A58,$J$1),$J$1)</f>
        <v>6</v>
      </c>
      <c r="H58" s="44">
        <f>E58*VLOOKUP(G58,$J$3:$L$9,3)</f>
        <v>274.42221536865992</v>
      </c>
      <c r="Y58" s="48">
        <v>12508</v>
      </c>
    </row>
    <row r="59" spans="1:25" ht="15" x14ac:dyDescent="0.3">
      <c r="A59" s="8">
        <f>[3]ArdiData!A58</f>
        <v>56</v>
      </c>
      <c r="B59" s="49">
        <f>'[2]0.ArdiData'!D58</f>
        <v>245</v>
      </c>
      <c r="C59" s="48">
        <v>159</v>
      </c>
      <c r="D59" s="47">
        <f>AVERAGE(C56:C62)</f>
        <v>331.14285714285717</v>
      </c>
      <c r="E59" s="46">
        <f>$E$2+$F$2*A59</f>
        <v>329.87921429441337</v>
      </c>
      <c r="F59" s="45">
        <f>C59/E59</f>
        <v>0.48199460017536705</v>
      </c>
      <c r="G59" s="45">
        <f>IF(MOD(A59,$J$1)&lt;&gt;0,MOD(A59,$J$1),$J$1)</f>
        <v>7</v>
      </c>
      <c r="H59" s="44">
        <f>E59*VLOOKUP(G59,$J$3:$L$9,3)</f>
        <v>144.59429260883169</v>
      </c>
      <c r="Y59" s="48">
        <v>10859</v>
      </c>
    </row>
    <row r="60" spans="1:25" ht="15" x14ac:dyDescent="0.3">
      <c r="A60" s="8">
        <f>[3]ArdiData!A59</f>
        <v>57</v>
      </c>
      <c r="B60" s="49">
        <f>'[2]0.ArdiData'!D59</f>
        <v>219</v>
      </c>
      <c r="C60" s="48">
        <v>153</v>
      </c>
      <c r="D60" s="47">
        <f>AVERAGE(C57:C63)</f>
        <v>326.42857142857144</v>
      </c>
      <c r="E60" s="46">
        <f>$E$2+$F$2*A60</f>
        <v>334.61669537380169</v>
      </c>
      <c r="F60" s="45">
        <f>C60/E60</f>
        <v>0.45723958820728616</v>
      </c>
      <c r="G60" s="45">
        <f>IF(MOD(A60,$J$1)&lt;&gt;0,MOD(A60,$J$1),$J$1)</f>
        <v>1</v>
      </c>
      <c r="H60" s="44">
        <f>E60*VLOOKUP(G60,$J$3:$L$9,3)</f>
        <v>161.04176573491839</v>
      </c>
      <c r="Y60" s="48">
        <v>9700</v>
      </c>
    </row>
    <row r="61" spans="1:25" ht="15" x14ac:dyDescent="0.3">
      <c r="A61" s="8">
        <f>[3]ArdiData!A60</f>
        <v>58</v>
      </c>
      <c r="B61" s="49">
        <f>'[2]0.ArdiData'!D60</f>
        <v>340</v>
      </c>
      <c r="C61" s="48">
        <v>268</v>
      </c>
      <c r="D61" s="47">
        <f>AVERAGE(C58:C64)</f>
        <v>333.85714285714283</v>
      </c>
      <c r="E61" s="46">
        <f>$E$2+$F$2*A61</f>
        <v>339.35417645318989</v>
      </c>
      <c r="F61" s="45">
        <f>C61/E61</f>
        <v>0.78973538148562494</v>
      </c>
      <c r="G61" s="45">
        <f>IF(MOD(A61,$J$1)&lt;&gt;0,MOD(A61,$J$1),$J$1)</f>
        <v>2</v>
      </c>
      <c r="H61" s="44">
        <f>E61*VLOOKUP(G61,$J$3:$L$9,3)</f>
        <v>334.40109195495251</v>
      </c>
      <c r="Y61" s="48">
        <v>11510</v>
      </c>
    </row>
    <row r="62" spans="1:25" ht="15" x14ac:dyDescent="0.3">
      <c r="A62" s="8">
        <f>[3]ArdiData!A61</f>
        <v>59</v>
      </c>
      <c r="B62" s="49">
        <f>'[2]0.ArdiData'!D61</f>
        <v>453</v>
      </c>
      <c r="C62" s="48">
        <v>447</v>
      </c>
      <c r="D62" s="47">
        <f>AVERAGE(C59:C65)</f>
        <v>348.71428571428572</v>
      </c>
      <c r="E62" s="46">
        <f>$E$2+$F$2*A62</f>
        <v>344.09165753257821</v>
      </c>
      <c r="F62" s="45">
        <f>C62/E62</f>
        <v>1.2990724715773689</v>
      </c>
      <c r="G62" s="45">
        <f>IF(MOD(A62,$J$1)&lt;&gt;0,MOD(A62,$J$1),$J$1)</f>
        <v>3</v>
      </c>
      <c r="H62" s="44">
        <f>E62*VLOOKUP(G62,$J$3:$L$9,3)</f>
        <v>413.21030888881404</v>
      </c>
      <c r="Y62" s="48">
        <v>14566</v>
      </c>
    </row>
    <row r="63" spans="1:25" ht="15" x14ac:dyDescent="0.3">
      <c r="A63" s="8">
        <f>[3]ArdiData!A62</f>
        <v>60</v>
      </c>
      <c r="B63" s="49">
        <f>'[2]0.ArdiData'!D62</f>
        <v>1265</v>
      </c>
      <c r="C63" s="48">
        <v>523</v>
      </c>
      <c r="D63" s="47">
        <f>AVERAGE(C60:C66)</f>
        <v>355</v>
      </c>
      <c r="E63" s="46">
        <f>$E$2+$F$2*A63</f>
        <v>348.82913861196653</v>
      </c>
      <c r="F63" s="45">
        <f>C63/E63</f>
        <v>1.4993013544713623</v>
      </c>
      <c r="G63" s="45">
        <f>IF(MOD(A63,$J$1)&lt;&gt;0,MOD(A63,$J$1),$J$1)</f>
        <v>4</v>
      </c>
      <c r="H63" s="44">
        <f>E63*VLOOKUP(G63,$J$3:$L$9,3)</f>
        <v>640.05427700354176</v>
      </c>
      <c r="Y63" s="48">
        <v>15138</v>
      </c>
    </row>
    <row r="64" spans="1:25" ht="15" x14ac:dyDescent="0.3">
      <c r="A64" s="8">
        <f>[3]ArdiData!A63</f>
        <v>61</v>
      </c>
      <c r="B64" s="49">
        <f>'[2]0.ArdiData'!D63</f>
        <v>550</v>
      </c>
      <c r="C64" s="48">
        <v>559</v>
      </c>
      <c r="D64" s="47">
        <f>AVERAGE(C61:C67)</f>
        <v>362.42857142857144</v>
      </c>
      <c r="E64" s="46">
        <f>$E$2+$F$2*A64</f>
        <v>353.56661969135473</v>
      </c>
      <c r="F64" s="45">
        <f>C64/E64</f>
        <v>1.5810316044200607</v>
      </c>
      <c r="G64" s="45">
        <f>IF(MOD(A64,$J$1)&lt;&gt;0,MOD(A64,$J$1),$J$1)</f>
        <v>5</v>
      </c>
      <c r="H64" s="44">
        <f>E64*VLOOKUP(G64,$J$3:$L$9,3)</f>
        <v>429.67283481197137</v>
      </c>
      <c r="Y64" s="48">
        <v>9987</v>
      </c>
    </row>
    <row r="65" spans="1:25" ht="15" x14ac:dyDescent="0.3">
      <c r="A65" s="8">
        <f>[3]ArdiData!A64</f>
        <v>62</v>
      </c>
      <c r="B65" s="49">
        <f>'[2]0.ArdiData'!D64</f>
        <v>545</v>
      </c>
      <c r="C65" s="48">
        <v>332</v>
      </c>
      <c r="D65" s="47">
        <f>AVERAGE(C62:C68)</f>
        <v>378.85714285714283</v>
      </c>
      <c r="E65" s="46">
        <f>$E$2+$F$2*A65</f>
        <v>358.30410077074305</v>
      </c>
      <c r="F65" s="45">
        <f>C65/E65</f>
        <v>0.92658721819214274</v>
      </c>
      <c r="G65" s="45">
        <f>IF(MOD(A65,$J$1)&lt;&gt;0,MOD(A65,$J$1),$J$1)</f>
        <v>6</v>
      </c>
      <c r="H65" s="44">
        <f>E65*VLOOKUP(G65,$J$3:$L$9,3)</f>
        <v>302.41151800761554</v>
      </c>
      <c r="Y65" s="48">
        <v>12264</v>
      </c>
    </row>
    <row r="66" spans="1:25" ht="15" x14ac:dyDescent="0.3">
      <c r="A66" s="8">
        <f>[3]ArdiData!A65</f>
        <v>63</v>
      </c>
      <c r="B66" s="49">
        <f>'[2]0.ArdiData'!D65</f>
        <v>304</v>
      </c>
      <c r="C66" s="48">
        <v>203</v>
      </c>
      <c r="D66" s="47">
        <f>AVERAGE(C63:C69)</f>
        <v>360.71428571428572</v>
      </c>
      <c r="E66" s="46">
        <f>$E$2+$F$2*A66</f>
        <v>363.04158185013137</v>
      </c>
      <c r="F66" s="45">
        <f>C66/E66</f>
        <v>0.55916459752481251</v>
      </c>
      <c r="G66" s="45">
        <f>IF(MOD(A66,$J$1)&lt;&gt;0,MOD(A66,$J$1),$J$1)</f>
        <v>7</v>
      </c>
      <c r="H66" s="44">
        <f>E66*VLOOKUP(G66,$J$3:$L$9,3)</f>
        <v>159.13018596061335</v>
      </c>
      <c r="Y66" s="48">
        <v>13412</v>
      </c>
    </row>
    <row r="67" spans="1:25" ht="15" x14ac:dyDescent="0.3">
      <c r="A67" s="8">
        <f>[3]ArdiData!A66</f>
        <v>64</v>
      </c>
      <c r="B67" s="49">
        <f>'[2]0.ArdiData'!D66</f>
        <v>343</v>
      </c>
      <c r="C67" s="48">
        <v>205</v>
      </c>
      <c r="D67" s="47">
        <f>AVERAGE(C64:C70)</f>
        <v>385.85714285714283</v>
      </c>
      <c r="E67" s="46">
        <f>$E$2+$F$2*A67</f>
        <v>367.77906292951957</v>
      </c>
      <c r="F67" s="45">
        <f>C67/E67</f>
        <v>0.55739986492729132</v>
      </c>
      <c r="G67" s="45">
        <f>IF(MOD(A67,$J$1)&lt;&gt;0,MOD(A67,$J$1),$J$1)</f>
        <v>1</v>
      </c>
      <c r="H67" s="44">
        <f>E67*VLOOKUP(G67,$J$3:$L$9,3)</f>
        <v>177.00189653818643</v>
      </c>
      <c r="Y67" s="48">
        <v>14713</v>
      </c>
    </row>
    <row r="68" spans="1:25" ht="15" x14ac:dyDescent="0.3">
      <c r="A68" s="8">
        <f>[3]ArdiData!A67</f>
        <v>65</v>
      </c>
      <c r="B68" s="49">
        <f>'[2]0.ArdiData'!D67</f>
        <v>546</v>
      </c>
      <c r="C68" s="48">
        <v>383</v>
      </c>
      <c r="D68" s="47">
        <f>AVERAGE(C65:C71)</f>
        <v>374.57142857142856</v>
      </c>
      <c r="E68" s="46">
        <f>$E$2+$F$2*A68</f>
        <v>372.51654400890789</v>
      </c>
      <c r="F68" s="45">
        <f>C68/E68</f>
        <v>1.0281422561217615</v>
      </c>
      <c r="G68" s="45">
        <f>IF(MOD(A68,$J$1)&lt;&gt;0,MOD(A68,$J$1),$J$1)</f>
        <v>2</v>
      </c>
      <c r="H68" s="44">
        <f>E68*VLOOKUP(G68,$J$3:$L$9,3)</f>
        <v>367.07943420595251</v>
      </c>
      <c r="Y68" s="48">
        <v>14806</v>
      </c>
    </row>
    <row r="69" spans="1:25" ht="15" x14ac:dyDescent="0.3">
      <c r="A69" s="8">
        <f>[3]ArdiData!A68</f>
        <v>66</v>
      </c>
      <c r="B69" s="49">
        <f>'[2]0.ArdiData'!D68</f>
        <v>926</v>
      </c>
      <c r="C69" s="48">
        <v>320</v>
      </c>
      <c r="D69" s="47">
        <f>AVERAGE(C66:C72)</f>
        <v>373.28571428571428</v>
      </c>
      <c r="E69" s="46">
        <f>$E$2+$F$2*A69</f>
        <v>377.2540250882962</v>
      </c>
      <c r="F69" s="45">
        <f>C69/E69</f>
        <v>0.84823481982757931</v>
      </c>
      <c r="G69" s="45">
        <f>IF(MOD(A69,$J$1)&lt;&gt;0,MOD(A69,$J$1),$J$1)</f>
        <v>3</v>
      </c>
      <c r="H69" s="44">
        <f>E69*VLOOKUP(G69,$J$3:$L$9,3)</f>
        <v>453.03409374731564</v>
      </c>
      <c r="Y69" s="48">
        <v>11801</v>
      </c>
    </row>
    <row r="70" spans="1:25" ht="15" x14ac:dyDescent="0.3">
      <c r="A70" s="8">
        <f>[3]ArdiData!A69</f>
        <v>67</v>
      </c>
      <c r="B70" s="49">
        <f>'[2]0.ArdiData'!D69</f>
        <v>843</v>
      </c>
      <c r="C70" s="48">
        <v>699</v>
      </c>
      <c r="D70" s="47">
        <f>AVERAGE(C67:C73)</f>
        <v>367.14285714285717</v>
      </c>
      <c r="E70" s="46">
        <f>$E$2+$F$2*A70</f>
        <v>381.99150616768441</v>
      </c>
      <c r="F70" s="45">
        <f>C70/E70</f>
        <v>1.8298836196979653</v>
      </c>
      <c r="G70" s="45">
        <f>IF(MOD(A70,$J$1)&lt;&gt;0,MOD(A70,$J$1),$J$1)</f>
        <v>4</v>
      </c>
      <c r="H70" s="44">
        <f>E70*VLOOKUP(G70,$J$3:$L$9,3)</f>
        <v>700.90273500237868</v>
      </c>
      <c r="Y70" s="48">
        <v>13952</v>
      </c>
    </row>
    <row r="71" spans="1:25" ht="15" x14ac:dyDescent="0.3">
      <c r="A71" s="8">
        <f>[3]ArdiData!A70</f>
        <v>68</v>
      </c>
      <c r="B71" s="49">
        <f>'[2]0.ArdiData'!D70</f>
        <v>811</v>
      </c>
      <c r="C71" s="48">
        <v>480</v>
      </c>
      <c r="D71" s="47">
        <f>AVERAGE(C68:C74)</f>
        <v>352.85714285714283</v>
      </c>
      <c r="E71" s="46">
        <f>$E$2+$F$2*A71</f>
        <v>386.72898724707272</v>
      </c>
      <c r="F71" s="45">
        <f>C71/E71</f>
        <v>1.2411792646237259</v>
      </c>
      <c r="G71" s="45">
        <f>IF(MOD(A71,$J$1)&lt;&gt;0,MOD(A71,$J$1),$J$1)</f>
        <v>5</v>
      </c>
      <c r="H71" s="44">
        <f>E71*VLOOKUP(G71,$J$3:$L$9,3)</f>
        <v>469.97349579965311</v>
      </c>
      <c r="Y71" s="48">
        <v>14198</v>
      </c>
    </row>
    <row r="72" spans="1:25" ht="15" x14ac:dyDescent="0.3">
      <c r="A72" s="8">
        <f>[3]ArdiData!A71</f>
        <v>69</v>
      </c>
      <c r="B72" s="49">
        <f>'[2]0.ArdiData'!D71</f>
        <v>381</v>
      </c>
      <c r="C72" s="48">
        <v>323</v>
      </c>
      <c r="D72" s="47">
        <f>AVERAGE(C69:C75)</f>
        <v>360</v>
      </c>
      <c r="E72" s="46">
        <f>$E$2+$F$2*A72</f>
        <v>391.46646832646104</v>
      </c>
      <c r="F72" s="45">
        <f>C72/E72</f>
        <v>0.82510259788237128</v>
      </c>
      <c r="G72" s="45">
        <f>IF(MOD(A72,$J$1)&lt;&gt;0,MOD(A72,$J$1),$J$1)</f>
        <v>6</v>
      </c>
      <c r="H72" s="44">
        <f>E72*VLOOKUP(G72,$J$3:$L$9,3)</f>
        <v>330.40082064657116</v>
      </c>
      <c r="Y72" s="48">
        <v>15894</v>
      </c>
    </row>
    <row r="73" spans="1:25" ht="15" x14ac:dyDescent="0.3">
      <c r="A73" s="8">
        <f>[3]ArdiData!A72</f>
        <v>70</v>
      </c>
      <c r="B73" s="49">
        <f>'[2]0.ArdiData'!D72</f>
        <v>230</v>
      </c>
      <c r="C73" s="48">
        <v>160</v>
      </c>
      <c r="D73" s="47">
        <f>AVERAGE(C70:C76)</f>
        <v>404</v>
      </c>
      <c r="E73" s="46">
        <f>$E$2+$F$2*A73</f>
        <v>396.20394940584924</v>
      </c>
      <c r="F73" s="45">
        <f>C73/E73</f>
        <v>0.40383242075183079</v>
      </c>
      <c r="G73" s="45">
        <f>IF(MOD(A73,$J$1)&lt;&gt;0,MOD(A73,$J$1),$J$1)</f>
        <v>7</v>
      </c>
      <c r="H73" s="44">
        <f>E73*VLOOKUP(G73,$J$3:$L$9,3)</f>
        <v>173.66607931239494</v>
      </c>
      <c r="Y73" s="48">
        <v>17675</v>
      </c>
    </row>
    <row r="74" spans="1:25" ht="15" x14ac:dyDescent="0.3">
      <c r="A74" s="8">
        <f>[3]ArdiData!A73</f>
        <v>71</v>
      </c>
      <c r="B74" s="49">
        <f>'[2]0.ArdiData'!D73</f>
        <v>234</v>
      </c>
      <c r="C74" s="48">
        <v>105</v>
      </c>
      <c r="D74" s="47">
        <f>AVERAGE(C71:C77)</f>
        <v>400.42857142857144</v>
      </c>
      <c r="E74" s="46">
        <f>$E$2+$F$2*A74</f>
        <v>400.94143048523756</v>
      </c>
      <c r="F74" s="45">
        <f>C74/E74</f>
        <v>0.26188363690158989</v>
      </c>
      <c r="G74" s="45">
        <f>IF(MOD(A74,$J$1)&lt;&gt;0,MOD(A74,$J$1),$J$1)</f>
        <v>1</v>
      </c>
      <c r="H74" s="44">
        <f>E74*VLOOKUP(G74,$J$3:$L$9,3)</f>
        <v>192.96202734145456</v>
      </c>
      <c r="Y74" s="48">
        <v>12138</v>
      </c>
    </row>
    <row r="75" spans="1:25" ht="15" x14ac:dyDescent="0.3">
      <c r="A75" s="8">
        <f>[3]ArdiData!A74</f>
        <v>72</v>
      </c>
      <c r="B75" s="49">
        <f>'[2]0.ArdiData'!D74</f>
        <v>505</v>
      </c>
      <c r="C75" s="48">
        <v>433</v>
      </c>
      <c r="D75" s="47">
        <f>AVERAGE(C72:C78)</f>
        <v>401</v>
      </c>
      <c r="E75" s="46">
        <f>$E$2+$F$2*A75</f>
        <v>405.67891156462576</v>
      </c>
      <c r="F75" s="45">
        <f>C75/E75</f>
        <v>1.0673465828677218</v>
      </c>
      <c r="G75" s="45">
        <f>IF(MOD(A75,$J$1)&lt;&gt;0,MOD(A75,$J$1),$J$1)</f>
        <v>2</v>
      </c>
      <c r="H75" s="44">
        <f>E75*VLOOKUP(G75,$J$3:$L$9,3)</f>
        <v>399.7577764569524</v>
      </c>
      <c r="Y75" s="48">
        <v>13679</v>
      </c>
    </row>
    <row r="76" spans="1:25" ht="15" x14ac:dyDescent="0.3">
      <c r="A76" s="8">
        <f>[3]ArdiData!A75</f>
        <v>73</v>
      </c>
      <c r="B76" s="49">
        <f>'[2]0.ArdiData'!D75</f>
        <v>1143</v>
      </c>
      <c r="C76" s="48">
        <v>628</v>
      </c>
      <c r="D76" s="47"/>
      <c r="E76" s="46">
        <f>$E$2+$F$2*A76</f>
        <v>410.41639264401408</v>
      </c>
      <c r="F76" s="45">
        <f>C76/E76</f>
        <v>1.5301533059005104</v>
      </c>
      <c r="G76" s="45">
        <f>IF(MOD(A76,$J$1)&lt;&gt;0,MOD(A76,$J$1),$J$1)</f>
        <v>3</v>
      </c>
      <c r="H76" s="44">
        <f>E76*VLOOKUP(G76,$J$3:$L$9,3)</f>
        <v>492.85787860581712</v>
      </c>
      <c r="Y76" s="48">
        <v>15190</v>
      </c>
    </row>
    <row r="77" spans="1:25" ht="15" x14ac:dyDescent="0.3">
      <c r="A77" s="8">
        <f>[3]ArdiData!A76</f>
        <v>74</v>
      </c>
      <c r="B77" s="49">
        <f>'[2]0.ArdiData'!D76</f>
        <v>1083</v>
      </c>
      <c r="C77" s="48">
        <v>674</v>
      </c>
      <c r="D77" s="47"/>
      <c r="E77" s="46">
        <f>$E$2+$F$2*A77</f>
        <v>415.1538737234024</v>
      </c>
      <c r="F77" s="45">
        <f>C77/E77</f>
        <v>1.6234944261872759</v>
      </c>
      <c r="G77" s="45">
        <f>IF(MOD(A77,$J$1)&lt;&gt;0,MOD(A77,$J$1),$J$1)</f>
        <v>4</v>
      </c>
      <c r="H77" s="44">
        <f>E77*VLOOKUP(G77,$J$3:$L$9,3)</f>
        <v>761.75119300121582</v>
      </c>
      <c r="Y77" s="48">
        <v>15999</v>
      </c>
    </row>
    <row r="78" spans="1:25" ht="15" x14ac:dyDescent="0.3">
      <c r="A78" s="8">
        <f>[3]ArdiData!A77</f>
        <v>75</v>
      </c>
      <c r="B78" s="49">
        <f>'[2]0.ArdiData'!D77</f>
        <v>1045</v>
      </c>
      <c r="C78" s="48">
        <v>484</v>
      </c>
      <c r="D78" s="47"/>
      <c r="E78" s="46">
        <f>$E$2+$F$2*A78</f>
        <v>419.8913548027906</v>
      </c>
      <c r="F78" s="45">
        <f>C78/E78</f>
        <v>1.1526791263118983</v>
      </c>
      <c r="G78" s="45">
        <f>IF(MOD(A78,$J$1)&lt;&gt;0,MOD(A78,$J$1),$J$1)</f>
        <v>5</v>
      </c>
      <c r="H78" s="44">
        <f>E78*VLOOKUP(G78,$J$3:$L$9,3)</f>
        <v>510.27415678733473</v>
      </c>
      <c r="Y78" s="48">
        <v>18091</v>
      </c>
    </row>
    <row r="79" spans="1:25" ht="15" x14ac:dyDescent="0.3">
      <c r="A79" s="8">
        <v>76</v>
      </c>
      <c r="B79" s="49"/>
      <c r="C79" s="48"/>
      <c r="D79" s="47"/>
      <c r="E79" s="46"/>
      <c r="F79" s="45"/>
      <c r="G79" s="45"/>
      <c r="H79" s="44"/>
    </row>
    <row r="80" spans="1:25" ht="15" x14ac:dyDescent="0.3">
      <c r="A80" s="8">
        <v>77</v>
      </c>
      <c r="B80" s="49"/>
      <c r="C80" s="48"/>
      <c r="D80" s="47"/>
      <c r="E80" s="46"/>
      <c r="F80" s="45"/>
      <c r="G80" s="45"/>
      <c r="H80" s="44"/>
    </row>
    <row r="81" spans="1:8" ht="15" x14ac:dyDescent="0.3">
      <c r="A81" s="8">
        <v>78</v>
      </c>
      <c r="B81" s="49"/>
      <c r="C81" s="48"/>
      <c r="D81" s="47"/>
      <c r="E81" s="46"/>
      <c r="F81" s="45"/>
      <c r="G81" s="45"/>
      <c r="H81" s="44"/>
    </row>
    <row r="82" spans="1:8" ht="15" x14ac:dyDescent="0.3">
      <c r="A82" s="8">
        <v>79</v>
      </c>
      <c r="B82" s="49"/>
      <c r="C82" s="48"/>
      <c r="D82" s="47"/>
      <c r="E82" s="46"/>
      <c r="F82" s="45"/>
      <c r="G82" s="45"/>
      <c r="H82" s="44"/>
    </row>
    <row r="83" spans="1:8" ht="15" x14ac:dyDescent="0.3">
      <c r="A83" s="8">
        <v>80</v>
      </c>
      <c r="B83" s="49"/>
      <c r="C83" s="48"/>
      <c r="D83" s="47"/>
      <c r="E83" s="46"/>
      <c r="F83" s="45"/>
      <c r="G83" s="45"/>
      <c r="H83" s="44"/>
    </row>
  </sheetData>
  <conditionalFormatting sqref="G4:G8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Prac.TrAdES-3</vt:lpstr>
      <vt:lpstr>TrendAndSeasSocic</vt:lpstr>
      <vt:lpstr>TrendAndSeasChopraBook</vt:lpstr>
      <vt:lpstr>1.Trend&amp;Seas7Period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2022-01-19T18:24:16Z</dcterms:modified>
</cp:coreProperties>
</file>