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A25246CA-CC2E-43DC-B9DA-25AD9BDD56D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0.ArdiData28Fixed" sheetId="24" r:id="rId1"/>
    <sheet name="4.Trend&amp;SeasIravanDavan" sheetId="34" r:id="rId2"/>
    <sheet name="4b.Trend&amp;SeasonPractice" sheetId="52" r:id="rId3"/>
    <sheet name="STOP-TheRestONLYIfYouWish" sheetId="68" r:id="rId4"/>
    <sheet name="Prac.TrAdES-3" sheetId="65" r:id="rId5"/>
    <sheet name="TrendAndSeasSocic" sheetId="59" r:id="rId6"/>
    <sheet name="TrendAndSeasChopraBook" sheetId="60" r:id="rId7"/>
  </sheets>
  <externalReferences>
    <externalReference r:id="rId8"/>
  </externalReferences>
  <definedNames>
    <definedName name="Page1" localSheetId="3">#REF!</definedName>
    <definedName name="Page1">#REF!</definedName>
    <definedName name="solver_adj" localSheetId="1" hidden="1">'4.Trend&amp;SeasIravanDavan'!$Q$2,'4.Trend&amp;SeasIravanDavan'!$Q$3,'4.Trend&amp;SeasIravanDavan'!$Q$4</definedName>
    <definedName name="solver_adj" localSheetId="4" hidden="1">'Prac.TrAdES-3'!$E$1,'Prac.TrAdES-3'!$G$1</definedName>
    <definedName name="solver_adj" localSheetId="6" hidden="1">TrendAndSeasChopraBook!$C$38:$C$40</definedName>
    <definedName name="solver_adj" localSheetId="5" hidden="1">TrendAndSeasSocic!#REF!</definedName>
    <definedName name="solver_cvg" localSheetId="1" hidden="1">0.0001</definedName>
    <definedName name="solver_cvg" localSheetId="4" hidden="1">0.0001</definedName>
    <definedName name="solver_cvg" localSheetId="6" hidden="1">0.0001</definedName>
    <definedName name="solver_cvg" localSheetId="5" hidden="1">0.0001</definedName>
    <definedName name="solver_drv" localSheetId="1" hidden="1">1</definedName>
    <definedName name="solver_drv" localSheetId="4" hidden="1">1</definedName>
    <definedName name="solver_drv" localSheetId="6" hidden="1">1</definedName>
    <definedName name="solver_drv" localSheetId="5" hidden="1">1</definedName>
    <definedName name="solver_eng" localSheetId="1" hidden="1">1</definedName>
    <definedName name="solver_eng" localSheetId="4" hidden="1">1</definedName>
    <definedName name="solver_eng" localSheetId="6" hidden="1">1</definedName>
    <definedName name="solver_eng" localSheetId="5" hidden="1">1</definedName>
    <definedName name="solver_est" localSheetId="1" hidden="1">1</definedName>
    <definedName name="solver_est" localSheetId="4" hidden="1">1</definedName>
    <definedName name="solver_est" localSheetId="6" hidden="1">1</definedName>
    <definedName name="solver_est" localSheetId="5" hidden="1">1</definedName>
    <definedName name="solver_itr" localSheetId="1" hidden="1">2147483647</definedName>
    <definedName name="solver_itr" localSheetId="4" hidden="1">2147483647</definedName>
    <definedName name="solver_itr" localSheetId="6" hidden="1">2147483647</definedName>
    <definedName name="solver_itr" localSheetId="5" hidden="1">2147483647</definedName>
    <definedName name="solver_lhs1" localSheetId="1" hidden="1">'4.Trend&amp;SeasIravanDavan'!$Q$2</definedName>
    <definedName name="solver_lhs1" localSheetId="4" hidden="1">'Prac.TrAdES-3'!$E$1</definedName>
    <definedName name="solver_lhs1" localSheetId="6" hidden="1">TrendAndSeasChopraBook!$C$38:$C$40</definedName>
    <definedName name="solver_lhs1" localSheetId="5" hidden="1">TrendAndSeasSocic!#REF!</definedName>
    <definedName name="solver_lhs2" localSheetId="1" hidden="1">'4.Trend&amp;SeasIravanDavan'!$Q$2</definedName>
    <definedName name="solver_lhs2" localSheetId="4" hidden="1">'Prac.TrAdES-3'!$E$1</definedName>
    <definedName name="solver_lhs2" localSheetId="6" hidden="1">TrendAndSeasChopraBook!$C$38:$C$40</definedName>
    <definedName name="solver_lhs2" localSheetId="5" hidden="1">TrendAndSeasSocic!#REF!</definedName>
    <definedName name="solver_lhs3" localSheetId="1" hidden="1">'4.Trend&amp;SeasIravanDavan'!$Q$3</definedName>
    <definedName name="solver_lhs3" localSheetId="4" hidden="1">'Prac.TrAdES-3'!$G$1</definedName>
    <definedName name="solver_lhs3" localSheetId="6" hidden="1">TrendAndSeasChopraBook!$C$40</definedName>
    <definedName name="solver_lhs3" localSheetId="5" hidden="1">TrendAndSeasSocic!#REF!</definedName>
    <definedName name="solver_lhs4" localSheetId="1" hidden="1">'4.Trend&amp;SeasIravanDavan'!$Q$3</definedName>
    <definedName name="solver_lhs4" localSheetId="4" hidden="1">'Prac.TrAdES-3'!$G$1</definedName>
    <definedName name="solver_lhs4" localSheetId="6" hidden="1">TrendAndSeasChopraBook!$C$40</definedName>
    <definedName name="solver_lhs4" localSheetId="5" hidden="1">TrendAndSeasSocic!#REF!</definedName>
    <definedName name="solver_lhs5" localSheetId="1" hidden="1">'4.Trend&amp;SeasIravanDavan'!$Q$4</definedName>
    <definedName name="solver_lhs5" localSheetId="6" hidden="1">TrendAndSeasChopraBook!$C$40</definedName>
    <definedName name="solver_lhs5" localSheetId="5" hidden="1">TrendAndSeasSocic!#REF!</definedName>
    <definedName name="solver_lhs6" localSheetId="1" hidden="1">'4.Trend&amp;SeasIravanDavan'!$Q$4</definedName>
    <definedName name="solver_lhs6" localSheetId="6" hidden="1">TrendAndSeasChopraBook!$C$40</definedName>
    <definedName name="solver_lhs6" localSheetId="5" hidden="1">TrendAndSeasSocic!#REF!</definedName>
    <definedName name="solver_mip" localSheetId="1" hidden="1">2147483647</definedName>
    <definedName name="solver_mip" localSheetId="4" hidden="1">2147483647</definedName>
    <definedName name="solver_mip" localSheetId="6" hidden="1">2147483647</definedName>
    <definedName name="solver_mip" localSheetId="5" hidden="1">2147483647</definedName>
    <definedName name="solver_mni" localSheetId="1" hidden="1">30</definedName>
    <definedName name="solver_mni" localSheetId="4" hidden="1">30</definedName>
    <definedName name="solver_mni" localSheetId="6" hidden="1">30</definedName>
    <definedName name="solver_mni" localSheetId="5" hidden="1">30</definedName>
    <definedName name="solver_mrt" localSheetId="1" hidden="1">0.075</definedName>
    <definedName name="solver_mrt" localSheetId="4" hidden="1">0.075</definedName>
    <definedName name="solver_mrt" localSheetId="6" hidden="1">0.075</definedName>
    <definedName name="solver_mrt" localSheetId="5" hidden="1">0.075</definedName>
    <definedName name="solver_msl" localSheetId="1" hidden="1">2</definedName>
    <definedName name="solver_msl" localSheetId="4" hidden="1">2</definedName>
    <definedName name="solver_msl" localSheetId="6" hidden="1">2</definedName>
    <definedName name="solver_msl" localSheetId="5" hidden="1">2</definedName>
    <definedName name="solver_neg" localSheetId="1" hidden="1">1</definedName>
    <definedName name="solver_neg" localSheetId="4" hidden="1">1</definedName>
    <definedName name="solver_neg" localSheetId="6" hidden="1">1</definedName>
    <definedName name="solver_neg" localSheetId="5" hidden="1">1</definedName>
    <definedName name="solver_nod" localSheetId="1" hidden="1">2147483647</definedName>
    <definedName name="solver_nod" localSheetId="4" hidden="1">2147483647</definedName>
    <definedName name="solver_nod" localSheetId="6" hidden="1">2147483647</definedName>
    <definedName name="solver_nod" localSheetId="5" hidden="1">2147483647</definedName>
    <definedName name="solver_num" localSheetId="1" hidden="1">6</definedName>
    <definedName name="solver_num" localSheetId="4" hidden="1">4</definedName>
    <definedName name="solver_num" localSheetId="6" hidden="1">2</definedName>
    <definedName name="solver_num" localSheetId="5" hidden="1">2</definedName>
    <definedName name="solver_nwt" localSheetId="1" hidden="1">1</definedName>
    <definedName name="solver_nwt" localSheetId="4" hidden="1">1</definedName>
    <definedName name="solver_nwt" localSheetId="6" hidden="1">1</definedName>
    <definedName name="solver_nwt" localSheetId="5" hidden="1">1</definedName>
    <definedName name="solver_opt" localSheetId="1" hidden="1">'4.Trend&amp;SeasIravanDavan'!$I$31</definedName>
    <definedName name="solver_opt" localSheetId="4" hidden="1">'Prac.TrAdES-3'!$G$31</definedName>
    <definedName name="solver_opt" localSheetId="6" hidden="1">TrendAndSeasChopraBook!$U$30</definedName>
    <definedName name="solver_opt" localSheetId="5" hidden="1">TrendAndSeasSocic!#REF!</definedName>
    <definedName name="solver_pre" localSheetId="1" hidden="1">0.000001</definedName>
    <definedName name="solver_pre" localSheetId="4" hidden="1">0.000001</definedName>
    <definedName name="solver_pre" localSheetId="6" hidden="1">0.000001</definedName>
    <definedName name="solver_pre" localSheetId="5" hidden="1">0.000001</definedName>
    <definedName name="solver_rbv" localSheetId="1" hidden="1">1</definedName>
    <definedName name="solver_rbv" localSheetId="4" hidden="1">1</definedName>
    <definedName name="solver_rbv" localSheetId="6" hidden="1">1</definedName>
    <definedName name="solver_rbv" localSheetId="5" hidden="1">1</definedName>
    <definedName name="solver_rel1" localSheetId="1" hidden="1">1</definedName>
    <definedName name="solver_rel1" localSheetId="4" hidden="1">1</definedName>
    <definedName name="solver_rel1" localSheetId="6" hidden="1">1</definedName>
    <definedName name="solver_rel1" localSheetId="5" hidden="1">1</definedName>
    <definedName name="solver_rel2" localSheetId="1" hidden="1">3</definedName>
    <definedName name="solver_rel2" localSheetId="4" hidden="1">3</definedName>
    <definedName name="solver_rel2" localSheetId="6" hidden="1">3</definedName>
    <definedName name="solver_rel2" localSheetId="5" hidden="1">3</definedName>
    <definedName name="solver_rel3" localSheetId="1" hidden="1">1</definedName>
    <definedName name="solver_rel3" localSheetId="4" hidden="1">1</definedName>
    <definedName name="solver_rel3" localSheetId="6" hidden="1">3</definedName>
    <definedName name="solver_rel3" localSheetId="5" hidden="1">3</definedName>
    <definedName name="solver_rel4" localSheetId="1" hidden="1">3</definedName>
    <definedName name="solver_rel4" localSheetId="4" hidden="1">3</definedName>
    <definedName name="solver_rel4" localSheetId="6" hidden="1">3</definedName>
    <definedName name="solver_rel4" localSheetId="5" hidden="1">3</definedName>
    <definedName name="solver_rel5" localSheetId="1" hidden="1">1</definedName>
    <definedName name="solver_rel5" localSheetId="6" hidden="1">3</definedName>
    <definedName name="solver_rel5" localSheetId="5" hidden="1">3</definedName>
    <definedName name="solver_rel6" localSheetId="1" hidden="1">3</definedName>
    <definedName name="solver_rel6" localSheetId="6" hidden="1">3</definedName>
    <definedName name="solver_rel6" localSheetId="5" hidden="1">3</definedName>
    <definedName name="solver_rhs1" localSheetId="1" hidden="1">1</definedName>
    <definedName name="solver_rhs1" localSheetId="4" hidden="1">1</definedName>
    <definedName name="solver_rhs1" localSheetId="6" hidden="1">1</definedName>
    <definedName name="solver_rhs1" localSheetId="5" hidden="1">1</definedName>
    <definedName name="solver_rhs2" localSheetId="1" hidden="1">0</definedName>
    <definedName name="solver_rhs2" localSheetId="4" hidden="1">0</definedName>
    <definedName name="solver_rhs2" localSheetId="6" hidden="1">0</definedName>
    <definedName name="solver_rhs2" localSheetId="5" hidden="1">0</definedName>
    <definedName name="solver_rhs3" localSheetId="1" hidden="1">1</definedName>
    <definedName name="solver_rhs3" localSheetId="4" hidden="1">1</definedName>
    <definedName name="solver_rhs3" localSheetId="6" hidden="1">0</definedName>
    <definedName name="solver_rhs3" localSheetId="5" hidden="1">0</definedName>
    <definedName name="solver_rhs4" localSheetId="1" hidden="1">0</definedName>
    <definedName name="solver_rhs4" localSheetId="4" hidden="1">0</definedName>
    <definedName name="solver_rhs4" localSheetId="6" hidden="1">0</definedName>
    <definedName name="solver_rhs4" localSheetId="5" hidden="1">0</definedName>
    <definedName name="solver_rhs5" localSheetId="1" hidden="1">1</definedName>
    <definedName name="solver_rhs5" localSheetId="6" hidden="1">0</definedName>
    <definedName name="solver_rhs5" localSheetId="5" hidden="1">0</definedName>
    <definedName name="solver_rhs6" localSheetId="1" hidden="1">0</definedName>
    <definedName name="solver_rhs6" localSheetId="6" hidden="1">0</definedName>
    <definedName name="solver_rhs6" localSheetId="5" hidden="1">0</definedName>
    <definedName name="solver_rlx" localSheetId="1" hidden="1">2</definedName>
    <definedName name="solver_rlx" localSheetId="4" hidden="1">2</definedName>
    <definedName name="solver_rlx" localSheetId="6" hidden="1">2</definedName>
    <definedName name="solver_rlx" localSheetId="5" hidden="1">2</definedName>
    <definedName name="solver_rsd" localSheetId="1" hidden="1">0</definedName>
    <definedName name="solver_rsd" localSheetId="4" hidden="1">0</definedName>
    <definedName name="solver_rsd" localSheetId="6" hidden="1">0</definedName>
    <definedName name="solver_rsd" localSheetId="5" hidden="1">0</definedName>
    <definedName name="solver_scl" localSheetId="1" hidden="1">1</definedName>
    <definedName name="solver_scl" localSheetId="4" hidden="1">1</definedName>
    <definedName name="solver_scl" localSheetId="6" hidden="1">1</definedName>
    <definedName name="solver_scl" localSheetId="5" hidden="1">1</definedName>
    <definedName name="solver_sho" localSheetId="1" hidden="1">2</definedName>
    <definedName name="solver_sho" localSheetId="4" hidden="1">2</definedName>
    <definedName name="solver_sho" localSheetId="6" hidden="1">2</definedName>
    <definedName name="solver_sho" localSheetId="5" hidden="1">2</definedName>
    <definedName name="solver_ssz" localSheetId="1" hidden="1">100</definedName>
    <definedName name="solver_ssz" localSheetId="4" hidden="1">100</definedName>
    <definedName name="solver_ssz" localSheetId="6" hidden="1">100</definedName>
    <definedName name="solver_ssz" localSheetId="5" hidden="1">100</definedName>
    <definedName name="solver_tim" localSheetId="1" hidden="1">2147483647</definedName>
    <definedName name="solver_tim" localSheetId="4" hidden="1">2147483647</definedName>
    <definedName name="solver_tim" localSheetId="6" hidden="1">2147483647</definedName>
    <definedName name="solver_tim" localSheetId="5" hidden="1">2147483647</definedName>
    <definedName name="solver_tol" localSheetId="1" hidden="1">0.01</definedName>
    <definedName name="solver_tol" localSheetId="4" hidden="1">0.01</definedName>
    <definedName name="solver_tol" localSheetId="6" hidden="1">0.01</definedName>
    <definedName name="solver_tol" localSheetId="5" hidden="1">0.01</definedName>
    <definedName name="solver_typ" localSheetId="0" hidden="1">2</definedName>
    <definedName name="solver_typ" localSheetId="1" hidden="1">2</definedName>
    <definedName name="solver_typ" localSheetId="4" hidden="1">2</definedName>
    <definedName name="solver_typ" localSheetId="6" hidden="1">2</definedName>
    <definedName name="solver_typ" localSheetId="5" hidden="1">2</definedName>
    <definedName name="solver_val" localSheetId="1" hidden="1">0</definedName>
    <definedName name="solver_val" localSheetId="4" hidden="1">0</definedName>
    <definedName name="solver_val" localSheetId="6" hidden="1">0</definedName>
    <definedName name="solver_val" localSheetId="5" hidden="1">0</definedName>
    <definedName name="solver_ver" localSheetId="0" hidden="1">17</definedName>
    <definedName name="solver_ver" localSheetId="1" hidden="1">3</definedName>
    <definedName name="solver_ver" localSheetId="4" hidden="1">3</definedName>
    <definedName name="solver_ver" localSheetId="6" hidden="1">3</definedName>
    <definedName name="solver_ver" localSheetId="5" hidden="1">3</definedName>
    <definedName name="Table2" localSheetId="3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4" l="1"/>
  <c r="D3" i="34"/>
  <c r="AH2" i="52"/>
  <c r="Z2" i="52"/>
  <c r="S2" i="52"/>
  <c r="K2" i="52"/>
  <c r="D2" i="52"/>
  <c r="B5" i="68"/>
  <c r="E4" i="34" l="1"/>
  <c r="E8" i="34" s="1"/>
  <c r="C4" i="34" l="1"/>
  <c r="D4" i="34" s="1"/>
  <c r="B4" i="65"/>
  <c r="B3" i="65" s="1"/>
  <c r="B5" i="65"/>
  <c r="B6" i="65"/>
  <c r="W6" i="65"/>
  <c r="X6" i="65" s="1"/>
  <c r="Y6" i="65"/>
  <c r="Z6" i="65" s="1"/>
  <c r="AA6" i="65" s="1"/>
  <c r="AB6" i="65" s="1"/>
  <c r="AC6" i="65" s="1"/>
  <c r="AD6" i="65" s="1"/>
  <c r="AE6" i="65" s="1"/>
  <c r="AF6" i="65" s="1"/>
  <c r="AG6" i="65" s="1"/>
  <c r="B7" i="65"/>
  <c r="V7" i="65"/>
  <c r="B8" i="65"/>
  <c r="V8" i="65"/>
  <c r="B9" i="65"/>
  <c r="V9" i="65"/>
  <c r="V10" i="65" s="1"/>
  <c r="V11" i="65" s="1"/>
  <c r="V12" i="65" s="1"/>
  <c r="V13" i="65" s="1"/>
  <c r="B10" i="65"/>
  <c r="B11" i="65"/>
  <c r="B12" i="65"/>
  <c r="B13" i="65"/>
  <c r="B14" i="65"/>
  <c r="V14" i="65"/>
  <c r="V15" i="65" s="1"/>
  <c r="V16" i="65" s="1"/>
  <c r="V17" i="65" s="1"/>
  <c r="B15" i="65"/>
  <c r="B16" i="65"/>
  <c r="B17" i="65"/>
  <c r="B18" i="65"/>
  <c r="AH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C3" i="65" l="1"/>
  <c r="E4" i="65" s="1"/>
  <c r="C4" i="65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D4" i="65" l="1"/>
  <c r="E5" i="65" s="1"/>
  <c r="F4" i="65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D5" i="65" s="1"/>
  <c r="F5" i="65"/>
  <c r="G5" i="65" s="1"/>
  <c r="G4" i="65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6" i="65" l="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F6" i="65" l="1"/>
  <c r="C6" i="65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G6" i="65" l="1"/>
  <c r="D6" i="65"/>
  <c r="E7" i="65" s="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C7" i="65" l="1"/>
  <c r="D7" i="65" s="1"/>
  <c r="F7" i="65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E8" i="65" l="1"/>
  <c r="G7" i="65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F8" i="65" l="1"/>
  <c r="C8" i="65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T3" i="60"/>
  <c r="K5" i="60"/>
  <c r="M4" i="60"/>
  <c r="N4" i="60" s="1"/>
  <c r="D9" i="59"/>
  <c r="H9" i="59"/>
  <c r="J9" i="59"/>
  <c r="K9" i="59"/>
  <c r="E9" i="65" l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F9" i="65" l="1"/>
  <c r="C9" i="65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G9" i="65" l="1"/>
  <c r="D9" i="65"/>
  <c r="E10" i="65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 s="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E11" i="65" l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C11" i="65" l="1"/>
  <c r="F11" i="65"/>
  <c r="G11" i="65" s="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D11" i="65" l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E12" i="65" l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C12" i="65" l="1"/>
  <c r="F12" i="65"/>
  <c r="G12" i="65" s="1"/>
  <c r="U9" i="60"/>
  <c r="K11" i="60"/>
  <c r="D15" i="59"/>
  <c r="L15" i="60"/>
  <c r="P9" i="60"/>
  <c r="M10" i="60"/>
  <c r="N10" i="60" s="1"/>
  <c r="S9" i="60"/>
  <c r="V9" i="60" s="1"/>
  <c r="J11" i="60"/>
  <c r="D12" i="65" l="1"/>
  <c r="Q10" i="60"/>
  <c r="U10" i="60" s="1"/>
  <c r="R10" i="60"/>
  <c r="O10" i="60"/>
  <c r="T9" i="60"/>
  <c r="J12" i="60"/>
  <c r="K12" i="60" s="1"/>
  <c r="M11" i="60"/>
  <c r="N11" i="60" s="1"/>
  <c r="L16" i="60"/>
  <c r="C16" i="59"/>
  <c r="E13" i="65" l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E14" i="65" l="1"/>
  <c r="R14" i="60"/>
  <c r="O14" i="60"/>
  <c r="Q14" i="60"/>
  <c r="U14" i="60" s="1"/>
  <c r="M16" i="60"/>
  <c r="P13" i="60"/>
  <c r="T13" i="60" s="1"/>
  <c r="S13" i="60"/>
  <c r="V13" i="60" s="1"/>
  <c r="C14" i="65" l="1"/>
  <c r="F14" i="65"/>
  <c r="G14" i="65" s="1"/>
  <c r="P14" i="60"/>
  <c r="T14" i="60" s="1"/>
  <c r="S14" i="60"/>
  <c r="V14" i="60" s="1"/>
  <c r="D14" i="65" l="1"/>
  <c r="E15" i="65" l="1"/>
  <c r="C15" i="65" l="1"/>
  <c r="F15" i="65"/>
  <c r="G15" i="65" s="1"/>
  <c r="D15" i="65" l="1"/>
  <c r="E16" i="65" l="1"/>
  <c r="F16" i="65" l="1"/>
  <c r="G16" i="65" s="1"/>
  <c r="C16" i="65"/>
  <c r="D16" i="65" l="1"/>
  <c r="E17" i="65" l="1"/>
  <c r="F17" i="65" l="1"/>
  <c r="G17" i="65" s="1"/>
  <c r="C17" i="65"/>
  <c r="D17" i="65" l="1"/>
  <c r="E18" i="65" l="1"/>
  <c r="F18" i="65" l="1"/>
  <c r="G18" i="65" s="1"/>
  <c r="C18" i="65"/>
  <c r="D18" i="65" l="1"/>
  <c r="E19" i="65" l="1"/>
  <c r="F19" i="65" l="1"/>
  <c r="G19" i="65" s="1"/>
  <c r="C19" i="65"/>
  <c r="D19" i="65" l="1"/>
  <c r="E20" i="65" s="1"/>
  <c r="F20" i="65" l="1"/>
  <c r="G20" i="65" s="1"/>
  <c r="C20" i="65"/>
  <c r="D20" i="65" s="1"/>
  <c r="E21" i="65" l="1"/>
  <c r="C21" i="65" l="1"/>
  <c r="F21" i="65"/>
  <c r="G21" i="65" s="1"/>
  <c r="D21" i="65" l="1"/>
  <c r="E22" i="65" s="1"/>
  <c r="F22" i="65" l="1"/>
  <c r="G22" i="65" s="1"/>
  <c r="C22" i="65"/>
  <c r="D22" i="65" s="1"/>
  <c r="E23" i="65" l="1"/>
  <c r="F23" i="65" l="1"/>
  <c r="G23" i="65" s="1"/>
  <c r="C23" i="65"/>
  <c r="D23" i="65" l="1"/>
  <c r="E24" i="65" l="1"/>
  <c r="C24" i="65" l="1"/>
  <c r="F24" i="65"/>
  <c r="G24" i="65" s="1"/>
  <c r="D24" i="65" l="1"/>
  <c r="E25" i="65" l="1"/>
  <c r="F25" i="65" l="1"/>
  <c r="G25" i="65" s="1"/>
  <c r="C25" i="65"/>
  <c r="C2" i="52"/>
  <c r="D25" i="65" l="1"/>
  <c r="E26" i="65" l="1"/>
  <c r="F26" i="65" l="1"/>
  <c r="G26" i="65" s="1"/>
  <c r="C26" i="65"/>
  <c r="D26" i="65" l="1"/>
  <c r="E27" i="65" l="1"/>
  <c r="C27" i="65" l="1"/>
  <c r="F27" i="65"/>
  <c r="G27" i="65" s="1"/>
  <c r="D27" i="65" l="1"/>
  <c r="E28" i="65" l="1"/>
  <c r="F28" i="65" l="1"/>
  <c r="G28" i="65" s="1"/>
  <c r="C28" i="65"/>
  <c r="L7" i="52"/>
  <c r="J3" i="52"/>
  <c r="F3" i="52"/>
  <c r="S19" i="52"/>
  <c r="L19" i="52"/>
  <c r="D28" i="65" l="1"/>
  <c r="P2" i="24"/>
  <c r="P9" i="24" s="1"/>
  <c r="Q2" i="24"/>
  <c r="R2" i="24"/>
  <c r="P3" i="24"/>
  <c r="Q3" i="24"/>
  <c r="Q9" i="24" s="1"/>
  <c r="R3" i="24"/>
  <c r="R9" i="24" s="1"/>
  <c r="P4" i="24"/>
  <c r="Q4" i="24"/>
  <c r="Q6" i="24" s="1"/>
  <c r="Q10" i="24" s="1"/>
  <c r="R4" i="24"/>
  <c r="P5" i="24"/>
  <c r="Q5" i="24"/>
  <c r="R5" i="24"/>
  <c r="P6" i="24"/>
  <c r="P7" i="24"/>
  <c r="Q7" i="24"/>
  <c r="R7" i="24"/>
  <c r="R8" i="24" s="1"/>
  <c r="Q8" i="24"/>
  <c r="O7" i="24"/>
  <c r="O5" i="24"/>
  <c r="O4" i="24"/>
  <c r="O3" i="24"/>
  <c r="O9" i="24" s="1"/>
  <c r="O2" i="24"/>
  <c r="M4" i="34"/>
  <c r="K4" i="34"/>
  <c r="M7" i="34"/>
  <c r="N33" i="34"/>
  <c r="M34" i="34"/>
  <c r="N35" i="34"/>
  <c r="M5" i="34"/>
  <c r="M33" i="34"/>
  <c r="M8" i="34"/>
  <c r="L4" i="34"/>
  <c r="M35" i="34"/>
  <c r="M6" i="34"/>
  <c r="L3" i="34"/>
  <c r="M32" i="34"/>
  <c r="N34" i="34"/>
  <c r="N32" i="34"/>
  <c r="K3" i="34"/>
  <c r="O6" i="24" l="1"/>
  <c r="O10" i="24" s="1"/>
  <c r="P8" i="24"/>
  <c r="P10" i="24"/>
  <c r="R6" i="24"/>
  <c r="R10" i="24" s="1"/>
  <c r="E29" i="65"/>
  <c r="F4" i="34"/>
  <c r="G4" i="34" s="1"/>
  <c r="H4" i="34" s="1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G2" i="52"/>
  <c r="Y2" i="52"/>
  <c r="R2" i="52"/>
  <c r="J2" i="52"/>
  <c r="Z17" i="52"/>
  <c r="AH17" i="52"/>
  <c r="L17" i="52"/>
  <c r="B22" i="52"/>
  <c r="B16" i="52"/>
  <c r="S18" i="52"/>
  <c r="B21" i="52"/>
  <c r="AH19" i="52"/>
  <c r="L16" i="52"/>
  <c r="B18" i="52"/>
  <c r="Z19" i="52"/>
  <c r="S17" i="52"/>
  <c r="Z16" i="52"/>
  <c r="AH16" i="52"/>
  <c r="AH18" i="52"/>
  <c r="B19" i="52"/>
  <c r="B20" i="52"/>
  <c r="L18" i="52"/>
  <c r="B17" i="52"/>
  <c r="Z18" i="52"/>
  <c r="S16" i="52"/>
  <c r="I4" i="34" l="1"/>
  <c r="F29" i="65"/>
  <c r="G29" i="65" s="1"/>
  <c r="C29" i="65"/>
  <c r="M3" i="52"/>
  <c r="AJ3" i="52"/>
  <c r="AI7" i="52"/>
  <c r="AG3" i="52"/>
  <c r="AH3" i="52" s="1"/>
  <c r="AG4" i="52" s="1"/>
  <c r="AH4" i="52" s="1"/>
  <c r="T7" i="52"/>
  <c r="D29" i="65" l="1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M4" i="52" s="1"/>
  <c r="E30" i="65" l="1"/>
  <c r="AB4" i="52"/>
  <c r="Y4" i="52"/>
  <c r="AA8" i="52"/>
  <c r="R4" i="52"/>
  <c r="U4" i="52"/>
  <c r="T8" i="52"/>
  <c r="AH5" i="52"/>
  <c r="F30" i="65" l="1"/>
  <c r="G30" i="65" s="1"/>
  <c r="C30" i="65"/>
  <c r="AI10" i="52"/>
  <c r="AG6" i="52"/>
  <c r="AH6" i="52" s="1"/>
  <c r="Z4" i="52"/>
  <c r="AB5" i="52" s="1"/>
  <c r="AJ6" i="52"/>
  <c r="S4" i="52"/>
  <c r="U5" i="52" s="1"/>
  <c r="D30" i="65" l="1"/>
  <c r="AJ7" i="52"/>
  <c r="AA9" i="52"/>
  <c r="Y5" i="52"/>
  <c r="E31" i="65" l="1"/>
  <c r="Z5" i="52"/>
  <c r="AB6" i="52" s="1"/>
  <c r="F31" i="65" l="1"/>
  <c r="G31" i="65" s="1"/>
  <c r="V6" i="65" s="1"/>
  <c r="C31" i="65"/>
  <c r="D31" i="65" l="1"/>
  <c r="E32" i="65" s="1"/>
  <c r="E7" i="34" l="1"/>
  <c r="E6" i="34" l="1"/>
  <c r="E5" i="34"/>
  <c r="E9" i="34" l="1"/>
  <c r="C5" i="34"/>
  <c r="F5" i="34"/>
  <c r="G5" i="34" s="1"/>
  <c r="H5" i="34" s="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I5" i="34" l="1"/>
  <c r="D5" i="34"/>
  <c r="E10" i="34" s="1"/>
  <c r="Y2" i="24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C6" i="34" l="1"/>
  <c r="D6" i="34" s="1"/>
  <c r="E11" i="34" s="1"/>
  <c r="F6" i="34"/>
  <c r="G6" i="34" s="1"/>
  <c r="H6" i="34" s="1"/>
  <c r="Y6" i="24"/>
  <c r="Y7" i="24" s="1"/>
  <c r="Y4" i="24"/>
  <c r="Y5" i="24" s="1"/>
  <c r="G2" i="24" s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I6" i="34" l="1"/>
  <c r="F7" i="34"/>
  <c r="G7" i="34" s="1"/>
  <c r="H7" i="34" s="1"/>
  <c r="I7" i="34" s="1"/>
  <c r="C7" i="34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D7" i="34" l="1"/>
  <c r="F8" i="34" s="1"/>
  <c r="G8" i="34" s="1"/>
  <c r="H8" i="34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C8" i="34" l="1"/>
  <c r="D8" i="34" s="1"/>
  <c r="E13" i="34" s="1"/>
  <c r="I8" i="34"/>
  <c r="E12" i="34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C9" i="34" l="1"/>
  <c r="D9" i="34" s="1"/>
  <c r="E14" i="34" s="1"/>
  <c r="F9" i="34"/>
  <c r="G9" i="34" s="1"/>
  <c r="H9" i="34" s="1"/>
  <c r="I9" i="34" s="1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F10" i="34" l="1"/>
  <c r="G10" i="34" s="1"/>
  <c r="H10" i="34" s="1"/>
  <c r="I10" i="34" s="1"/>
  <c r="C10" i="34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D10" i="34" l="1"/>
  <c r="E15" i="34" s="1"/>
  <c r="AW32" i="24"/>
  <c r="AW88" i="24" s="1"/>
  <c r="H5" i="24"/>
  <c r="J4" i="24"/>
  <c r="F11" i="34" l="1"/>
  <c r="G11" i="34" s="1"/>
  <c r="H11" i="34" s="1"/>
  <c r="I11" i="34" s="1"/>
  <c r="I5" i="24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  <c r="C11" i="34" l="1"/>
  <c r="D11" i="34" l="1"/>
  <c r="E16" i="34" s="1"/>
  <c r="F12" i="34" l="1"/>
  <c r="G12" i="34" s="1"/>
  <c r="H12" i="34" s="1"/>
  <c r="I12" i="34" s="1"/>
  <c r="C12" i="34"/>
  <c r="D12" i="34" l="1"/>
  <c r="E17" i="34" s="1"/>
  <c r="F13" i="34" l="1"/>
  <c r="G13" i="34" s="1"/>
  <c r="H13" i="34" s="1"/>
  <c r="I13" i="34" s="1"/>
  <c r="C13" i="34"/>
  <c r="D13" i="34" l="1"/>
  <c r="E18" i="34" s="1"/>
  <c r="F14" i="34" l="1"/>
  <c r="G14" i="34" s="1"/>
  <c r="H14" i="34" s="1"/>
  <c r="I14" i="34" s="1"/>
  <c r="C14" i="34"/>
  <c r="D14" i="34" l="1"/>
  <c r="E19" i="34" s="1"/>
  <c r="F15" i="34" l="1"/>
  <c r="G15" i="34" s="1"/>
  <c r="H15" i="34" s="1"/>
  <c r="I15" i="34" s="1"/>
  <c r="C15" i="34"/>
  <c r="D15" i="34" l="1"/>
  <c r="E20" i="34" s="1"/>
  <c r="F16" i="34" l="1"/>
  <c r="G16" i="34" s="1"/>
  <c r="H16" i="34" s="1"/>
  <c r="I16" i="34" s="1"/>
  <c r="C16" i="34"/>
  <c r="D16" i="34" l="1"/>
  <c r="E21" i="34" s="1"/>
  <c r="F17" i="34" l="1"/>
  <c r="G17" i="34" s="1"/>
  <c r="H17" i="34" s="1"/>
  <c r="I17" i="34" s="1"/>
  <c r="C17" i="34"/>
  <c r="D17" i="34" l="1"/>
  <c r="E22" i="34" s="1"/>
  <c r="F18" i="34" l="1"/>
  <c r="G18" i="34" s="1"/>
  <c r="H18" i="34" s="1"/>
  <c r="I18" i="34" s="1"/>
  <c r="C18" i="34"/>
  <c r="D18" i="34" l="1"/>
  <c r="E23" i="34" s="1"/>
  <c r="F19" i="34" l="1"/>
  <c r="G19" i="34" s="1"/>
  <c r="H19" i="34" s="1"/>
  <c r="I19" i="34" s="1"/>
  <c r="C19" i="34"/>
  <c r="D19" i="34" l="1"/>
  <c r="E24" i="34" s="1"/>
  <c r="F20" i="34" l="1"/>
  <c r="G20" i="34" s="1"/>
  <c r="H20" i="34" s="1"/>
  <c r="I20" i="34" s="1"/>
  <c r="C20" i="34"/>
  <c r="D20" i="34" l="1"/>
  <c r="E25" i="34" s="1"/>
  <c r="F21" i="34" l="1"/>
  <c r="G21" i="34" s="1"/>
  <c r="H21" i="34" s="1"/>
  <c r="I21" i="34" s="1"/>
  <c r="C21" i="34"/>
  <c r="D21" i="34" l="1"/>
  <c r="E26" i="34" s="1"/>
  <c r="F22" i="34" l="1"/>
  <c r="G22" i="34" s="1"/>
  <c r="H22" i="34" s="1"/>
  <c r="I22" i="34" s="1"/>
  <c r="C22" i="34"/>
  <c r="D22" i="34" l="1"/>
  <c r="E27" i="34" s="1"/>
  <c r="F23" i="34" l="1"/>
  <c r="G23" i="34" s="1"/>
  <c r="H23" i="34" s="1"/>
  <c r="I23" i="34" s="1"/>
  <c r="C23" i="34"/>
  <c r="D23" i="34" l="1"/>
  <c r="F24" i="34" s="1"/>
  <c r="G24" i="34" s="1"/>
  <c r="H24" i="34" s="1"/>
  <c r="I24" i="34" s="1"/>
  <c r="C24" i="34" l="1"/>
  <c r="D24" i="34" s="1"/>
  <c r="E29" i="34" s="1"/>
  <c r="E28" i="34"/>
  <c r="F25" i="34" l="1"/>
  <c r="G25" i="34" s="1"/>
  <c r="H25" i="34" s="1"/>
  <c r="I25" i="34" s="1"/>
  <c r="C25" i="34"/>
  <c r="D25" i="34" l="1"/>
  <c r="E30" i="34" s="1"/>
  <c r="F26" i="34" l="1"/>
  <c r="G26" i="34" s="1"/>
  <c r="H26" i="34" s="1"/>
  <c r="I26" i="34" s="1"/>
  <c r="C26" i="34"/>
  <c r="D26" i="34" l="1"/>
  <c r="E31" i="34" s="1"/>
  <c r="F27" i="34" l="1"/>
  <c r="G27" i="34" s="1"/>
  <c r="H27" i="34" s="1"/>
  <c r="I27" i="34" s="1"/>
  <c r="C27" i="34"/>
  <c r="D27" i="34" l="1"/>
  <c r="E32" i="34" s="1"/>
  <c r="F28" i="34" l="1"/>
  <c r="G28" i="34" s="1"/>
  <c r="H28" i="34" s="1"/>
  <c r="I28" i="34" s="1"/>
  <c r="C28" i="34"/>
  <c r="D28" i="34" l="1"/>
  <c r="F29" i="34" s="1"/>
  <c r="G29" i="34" s="1"/>
  <c r="H29" i="34" s="1"/>
  <c r="I29" i="34" s="1"/>
  <c r="C29" i="34" l="1"/>
  <c r="D29" i="34" s="1"/>
  <c r="E34" i="34" s="1"/>
  <c r="E33" i="34"/>
  <c r="F30" i="34" l="1"/>
  <c r="G30" i="34" s="1"/>
  <c r="H30" i="34" s="1"/>
  <c r="I30" i="34" s="1"/>
  <c r="C30" i="34"/>
  <c r="D30" i="34" l="1"/>
  <c r="E35" i="34" s="1"/>
  <c r="F31" i="34" l="1"/>
  <c r="G31" i="34" s="1"/>
  <c r="H31" i="34" s="1"/>
  <c r="I31" i="34" s="1"/>
  <c r="C31" i="34"/>
  <c r="D31" i="34" l="1"/>
  <c r="F34" i="34" s="1"/>
  <c r="F32" i="34" l="1"/>
  <c r="F33" i="34"/>
  <c r="F35" i="34"/>
</calcChain>
</file>

<file path=xl/sharedStrings.xml><?xml version="1.0" encoding="utf-8"?>
<sst xmlns="http://schemas.openxmlformats.org/spreadsheetml/2006/main" count="268" uniqueCount="145">
  <si>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</si>
  <si>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</si>
  <si>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</si>
  <si>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</si>
  <si>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</si>
  <si>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</si>
  <si>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</si>
  <si>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</si>
  <si>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</si>
  <si>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</si>
  <si>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</si>
  <si>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</si>
  <si>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</si>
  <si>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</si>
  <si>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</si>
  <si>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</si>
  <si>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</si>
  <si>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</si>
  <si>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</si>
  <si>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</si>
  <si>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</si>
  <si>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</si>
  <si>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</si>
  <si>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</si>
  <si>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alpha=</t>
  </si>
  <si>
    <t>Level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</si>
  <si>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</si>
  <si>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</si>
  <si>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</si>
  <si>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</si>
  <si>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</si>
  <si>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</si>
  <si>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</si>
  <si>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</si>
  <si>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</si>
  <si>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</si>
  <si>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</si>
  <si>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</si>
  <si>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</si>
  <si>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</si>
  <si>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</si>
  <si>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</si>
  <si>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</si>
  <si>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</si>
  <si>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</si>
  <si>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</si>
  <si>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</si>
  <si>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</si>
  <si>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</si>
  <si>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</si>
  <si>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</si>
  <si>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</si>
  <si>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</si>
  <si>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</si>
  <si>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</si>
  <si>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</si>
  <si>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</si>
  <si>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</si>
  <si>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</si>
  <si>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</si>
  <si>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</si>
  <si>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</si>
  <si>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</si>
  <si>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</si>
  <si>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</si>
  <si>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</si>
  <si>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</si>
  <si>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</si>
  <si>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</si>
  <si>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</si>
  <si>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</si>
  <si>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</si>
  <si>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</si>
  <si>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</si>
  <si>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TrenSeasAdjust-Ave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</si>
  <si>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</si>
  <si>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</si>
  <si>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</si>
  <si>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</si>
  <si>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</si>
  <si>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</si>
  <si>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</si>
  <si>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</si>
  <si>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</si>
  <si>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</si>
  <si>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</si>
  <si>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</si>
  <si>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</si>
  <si>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</si>
  <si>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</si>
  <si>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</si>
  <si>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</si>
  <si>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</si>
  <si>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</si>
  <si>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</si>
  <si>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</si>
  <si>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</si>
  <si>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</si>
  <si>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</si>
  <si>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</si>
  <si>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</si>
  <si>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</si>
  <si>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</si>
  <si>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</si>
  <si>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</si>
  <si>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</si>
  <si>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</si>
  <si>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Min How Many Width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</si>
  <si>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</si>
  <si>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</si>
  <si>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</si>
  <si>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</si>
  <si>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</si>
  <si>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</si>
  <si>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</si>
  <si>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</si>
  <si>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</si>
  <si>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</si>
  <si>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</si>
  <si>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</si>
  <si>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</si>
  <si>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</si>
  <si>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</si>
  <si>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</si>
  <si>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</si>
  <si>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</si>
  <si>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</si>
  <si>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</si>
  <si>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</si>
  <si>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</si>
  <si>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</si>
  <si>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You are Responsible for Yellow Tabs</t>
  </si>
  <si>
    <t>Green Tabs are for additional practice</t>
  </si>
  <si>
    <t>Red Tabs are slightly advanced material</t>
  </si>
  <si>
    <t>1.ES.MAD.MSE.MAPE.TS.Resi</t>
  </si>
  <si>
    <t>mins</t>
  </si>
  <si>
    <t>1b.OptimalAlpha</t>
  </si>
  <si>
    <t>3.TrendAdj</t>
  </si>
  <si>
    <t>The Lecture is here</t>
  </si>
  <si>
    <t xml:space="preserve">https://youtu.be/9L7PgZBdsWE </t>
  </si>
  <si>
    <t>4.Trend&amp;SeasIravanDavan</t>
  </si>
  <si>
    <t>F_(t+1) = (L_t+T_t)S_(t+1)</t>
  </si>
  <si>
    <t>L_(t+1) = (1-alpha)(L_t+T_t)+alpha(A_(t+1)/S_(t+1))</t>
  </si>
  <si>
    <t>T_(t+1) = (1-beta)(T_t)+beta(L_(t+1)-L_t))</t>
  </si>
  <si>
    <t>S(t+1+p) = (1-gamma)S_(t+1)+gamma(A_(t+1)/(L_t+T_t))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</si>
</sst>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Book Antiqua"/>
      <family val="1"/>
    </font>
    <font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1" applyFont="1"/>
    <xf numFmtId="0" fontId="4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3" borderId="12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5" fillId="9" borderId="0" xfId="2" applyFont="1" applyFill="1"/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0" fontId="3" fillId="0" borderId="0" xfId="1" applyFont="1" applyFill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9" fillId="11" borderId="0" xfId="1" applyFont="1" applyFill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6" fillId="0" borderId="0" xfId="2" applyFont="1"/>
    <xf numFmtId="0" fontId="10" fillId="0" borderId="0" xfId="2" applyFont="1"/>
    <xf numFmtId="0" fontId="0" fillId="0" borderId="0" xfId="0" applyAlignment="1">
      <alignment horizontal="left" vertical="top"/>
    </xf>
    <xf numFmtId="165" fontId="3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2" fontId="11" fillId="0" borderId="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2" fontId="13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13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2" fillId="0" borderId="6" xfId="0" applyFont="1" applyBorder="1" applyAlignment="1">
      <alignment horizontal="center" vertical="top" wrapText="1" readingOrder="1"/>
    </xf>
    <xf numFmtId="0" fontId="12" fillId="0" borderId="15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12" borderId="2" xfId="0" applyFill="1" applyBorder="1" applyAlignment="1">
      <alignment horizontal="right"/>
    </xf>
    <xf numFmtId="0" fontId="0" fillId="12" borderId="13" xfId="0" applyFill="1" applyBorder="1" applyAlignment="1">
      <alignment horizontal="left"/>
    </xf>
    <xf numFmtId="2" fontId="0" fillId="12" borderId="13" xfId="0" applyNumberFormat="1" applyFill="1" applyBorder="1" applyAlignment="1">
      <alignment horizontal="left"/>
    </xf>
    <xf numFmtId="0" fontId="0" fillId="12" borderId="13" xfId="0" applyFill="1" applyBorder="1"/>
    <xf numFmtId="0" fontId="0" fillId="12" borderId="2" xfId="0" applyFill="1" applyBorder="1"/>
    <xf numFmtId="0" fontId="0" fillId="12" borderId="13" xfId="0" applyFill="1" applyBorder="1" applyAlignment="1">
      <alignment horizontal="right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right"/>
    </xf>
    <xf numFmtId="0" fontId="0" fillId="12" borderId="0" xfId="0" applyFill="1" applyAlignment="1">
      <alignment horizontal="left"/>
    </xf>
    <xf numFmtId="0" fontId="0" fillId="12" borderId="0" xfId="0" applyFill="1"/>
    <xf numFmtId="0" fontId="0" fillId="12" borderId="4" xfId="0" applyFill="1" applyBorder="1"/>
    <xf numFmtId="0" fontId="0" fillId="12" borderId="0" xfId="0" applyFill="1" applyAlignment="1">
      <alignment horizontal="right"/>
    </xf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0" fillId="12" borderId="6" xfId="0" applyFill="1" applyBorder="1"/>
    <xf numFmtId="0" fontId="0" fillId="12" borderId="14" xfId="0" applyFill="1" applyBorder="1" applyAlignment="1">
      <alignment horizontal="right"/>
    </xf>
    <xf numFmtId="0" fontId="0" fillId="12" borderId="14" xfId="0" applyFill="1" applyBorder="1"/>
    <xf numFmtId="0" fontId="0" fillId="12" borderId="6" xfId="0" applyFill="1" applyBorder="1" applyAlignment="1">
      <alignment horizontal="right"/>
    </xf>
    <xf numFmtId="0" fontId="0" fillId="12" borderId="14" xfId="0" applyFill="1" applyBorder="1" applyAlignment="1">
      <alignment horizontal="left"/>
    </xf>
    <xf numFmtId="0" fontId="0" fillId="12" borderId="7" xfId="0" applyFill="1" applyBorder="1"/>
    <xf numFmtId="0" fontId="0" fillId="12" borderId="7" xfId="0" applyFill="1" applyBorder="1" applyAlignment="1">
      <alignment horizontal="left"/>
    </xf>
    <xf numFmtId="0" fontId="14" fillId="0" borderId="0" xfId="0" applyFont="1" applyAlignment="1">
      <alignment horizontal="right"/>
    </xf>
    <xf numFmtId="164" fontId="8" fillId="0" borderId="8" xfId="2" applyNumberFormat="1" applyFont="1" applyFill="1" applyBorder="1"/>
    <xf numFmtId="164" fontId="5" fillId="0" borderId="9" xfId="2" applyNumberFormat="1" applyFont="1" applyBorder="1"/>
    <xf numFmtId="164" fontId="8" fillId="0" borderId="9" xfId="2" applyNumberFormat="1" applyFont="1" applyFill="1" applyBorder="1"/>
    <xf numFmtId="164" fontId="8" fillId="0" borderId="15" xfId="2" applyNumberFormat="1" applyFont="1" applyFill="1" applyBorder="1"/>
    <xf numFmtId="0" fontId="3" fillId="8" borderId="0" xfId="1" applyFont="1" applyFill="1" applyBorder="1" applyAlignment="1">
      <alignment horizontal="center"/>
    </xf>
    <xf numFmtId="165" fontId="3" fillId="13" borderId="0" xfId="1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8" borderId="0" xfId="0" applyFill="1" applyAlignment="1">
      <alignment horizontal="left" vertical="top"/>
    </xf>
    <xf numFmtId="165" fontId="0" fillId="6" borderId="0" xfId="0" applyNumberFormat="1" applyFill="1" applyAlignment="1">
      <alignment horizontal="left" vertical="top"/>
    </xf>
    <xf numFmtId="0" fontId="0" fillId="13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16" borderId="0" xfId="0" applyFill="1" applyAlignment="1">
      <alignment horizontal="left" vertical="top"/>
    </xf>
    <xf numFmtId="2" fontId="3" fillId="16" borderId="0" xfId="1" applyNumberFormat="1" applyFont="1" applyFill="1" applyAlignment="1">
      <alignment horizontal="center"/>
    </xf>
    <xf numFmtId="165" fontId="0" fillId="7" borderId="0" xfId="0" applyNumberFormat="1" applyFill="1" applyAlignment="1">
      <alignment horizontal="left" vertical="top"/>
    </xf>
    <xf numFmtId="165" fontId="3" fillId="17" borderId="0" xfId="1" applyNumberFormat="1" applyFont="1" applyFill="1" applyAlignment="1">
      <alignment horizontal="center"/>
    </xf>
    <xf numFmtId="0" fontId="0" fillId="18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7" borderId="0" xfId="1" applyNumberFormat="1" applyFont="1" applyFill="1" applyAlignment="1">
      <alignment horizontal="center"/>
    </xf>
    <xf numFmtId="2" fontId="0" fillId="14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left" vertical="top"/>
    </xf>
    <xf numFmtId="0" fontId="0" fillId="12" borderId="0" xfId="0" applyFill="1" applyBorder="1" applyAlignment="1">
      <alignment horizontal="right"/>
    </xf>
    <xf numFmtId="0" fontId="0" fillId="12" borderId="0" xfId="0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0" fontId="0" fillId="12" borderId="0" xfId="0" applyFill="1" applyBorder="1"/>
    <xf numFmtId="166" fontId="20" fillId="11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5" fillId="0" borderId="0" xfId="2" applyNumberFormat="1" applyFont="1"/>
    <xf numFmtId="166" fontId="20" fillId="2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5" fillId="0" borderId="0" xfId="2" applyNumberFormat="1" applyFont="1" applyAlignment="1">
      <alignment horizontal="center" vertical="top"/>
    </xf>
    <xf numFmtId="0" fontId="3" fillId="0" borderId="12" xfId="1" applyFont="1" applyBorder="1" applyAlignment="1">
      <alignment horizontal="center"/>
    </xf>
    <xf numFmtId="1" fontId="5" fillId="0" borderId="0" xfId="2" applyNumberFormat="1" applyFont="1" applyAlignment="1">
      <alignment horizontal="left" vertical="top"/>
    </xf>
    <xf numFmtId="2" fontId="9" fillId="2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165" fontId="9" fillId="10" borderId="0" xfId="1" applyNumberFormat="1" applyFont="1" applyFill="1" applyAlignment="1">
      <alignment horizontal="center"/>
    </xf>
    <xf numFmtId="2" fontId="9" fillId="20" borderId="0" xfId="1" applyNumberFormat="1" applyFont="1" applyFill="1" applyAlignment="1">
      <alignment horizontal="center"/>
    </xf>
    <xf numFmtId="167" fontId="9" fillId="10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9" fillId="10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2" fontId="9" fillId="11" borderId="0" xfId="1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21" fillId="2" borderId="12" xfId="1" applyFont="1" applyFill="1" applyBorder="1" applyAlignment="1">
      <alignment horizontal="center"/>
    </xf>
    <xf numFmtId="0" fontId="22" fillId="4" borderId="0" xfId="0" applyFont="1" applyFill="1"/>
    <xf numFmtId="0" fontId="22" fillId="15" borderId="0" xfId="0" applyFont="1" applyFill="1"/>
    <xf numFmtId="0" fontId="22" fillId="21" borderId="0" xfId="0" applyFont="1" applyFill="1"/>
    <xf numFmtId="0" fontId="23" fillId="0" borderId="0" xfId="5" applyFont="1"/>
    <xf numFmtId="0" fontId="24" fillId="2" borderId="0" xfId="2" applyFont="1" applyFill="1"/>
    <xf numFmtId="0" fontId="12" fillId="0" borderId="9" xfId="0" applyFont="1" applyFill="1" applyBorder="1" applyAlignment="1">
      <alignment horizontal="center" vertical="top" wrapText="1" readingOrder="1"/>
    </xf>
    <xf numFmtId="0" fontId="25" fillId="0" borderId="0" xfId="0" applyFont="1" applyAlignment="1">
      <alignment vertic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'4.Trend&amp;SeasIravanDavan'!$B$2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'4.Trend&amp;SeasIravanDavan'!$B$2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'4.Trend&amp;SeasIravanDavan'!$A$4:$A$31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'4.Trend&amp;SeasIravanDavan'!$B$4:$B$31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'4.Trend&amp;SeasIravanDavan'!$F$2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'4.Trend&amp;SeasIravanDavan'!$A$4:$A$35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'4.Trend&amp;SeasIravanDavan'!$F$4:$F$35</c:f>
              <c:numCache>
                <c:formatCode>0.00</c:formatCode>
                <c:ptCount val="32"/>
                <c:pt idx="0">
                  <c:v>22.097587719298243</c:v>
                </c:pt>
                <c:pt idx="1">
                  <c:v>28.76398026315789</c:v>
                </c:pt>
                <c:pt idx="2">
                  <c:v>40.11024305555555</c:v>
                </c:pt>
                <c:pt idx="3">
                  <c:v>29.028988486842103</c:v>
                </c:pt>
                <c:pt idx="4">
                  <c:v>20.850571351071004</c:v>
                </c:pt>
                <c:pt idx="5">
                  <c:v>43.080436232833108</c:v>
                </c:pt>
                <c:pt idx="6">
                  <c:v>74.919622131866248</c:v>
                </c:pt>
                <c:pt idx="7">
                  <c:v>47.432975812688461</c:v>
                </c:pt>
                <c:pt idx="8">
                  <c:v>42.269979570679688</c:v>
                </c:pt>
                <c:pt idx="9">
                  <c:v>39.708169436234975</c:v>
                </c:pt>
                <c:pt idx="10">
                  <c:v>53.932234817800207</c:v>
                </c:pt>
                <c:pt idx="11">
                  <c:v>46.395566371920836</c:v>
                </c:pt>
                <c:pt idx="12">
                  <c:v>46.239645234886758</c:v>
                </c:pt>
                <c:pt idx="13">
                  <c:v>42.610839786370413</c:v>
                </c:pt>
                <c:pt idx="14">
                  <c:v>43.676266293905726</c:v>
                </c:pt>
                <c:pt idx="15">
                  <c:v>31.060880852401684</c:v>
                </c:pt>
                <c:pt idx="16">
                  <c:v>53.271400865048811</c:v>
                </c:pt>
                <c:pt idx="17">
                  <c:v>77.443480650396225</c:v>
                </c:pt>
                <c:pt idx="18">
                  <c:v>49.20343529090065</c:v>
                </c:pt>
                <c:pt idx="19">
                  <c:v>40.364150298753543</c:v>
                </c:pt>
                <c:pt idx="20">
                  <c:v>42.453065609798315</c:v>
                </c:pt>
                <c:pt idx="21">
                  <c:v>53.726248333289163</c:v>
                </c:pt>
                <c:pt idx="22">
                  <c:v>82.260727167368557</c:v>
                </c:pt>
                <c:pt idx="23">
                  <c:v>63.738344485543848</c:v>
                </c:pt>
                <c:pt idx="24">
                  <c:v>49.095613396694205</c:v>
                </c:pt>
                <c:pt idx="25">
                  <c:v>94.027599621540958</c:v>
                </c:pt>
                <c:pt idx="26">
                  <c:v>80.705077643142133</c:v>
                </c:pt>
                <c:pt idx="27">
                  <c:v>63.082572948735844</c:v>
                </c:pt>
                <c:pt idx="28">
                  <c:v>45.706649187670379</c:v>
                </c:pt>
                <c:pt idx="29">
                  <c:v>52.969247781056694</c:v>
                </c:pt>
                <c:pt idx="30">
                  <c:v>54.10341535193578</c:v>
                </c:pt>
                <c:pt idx="31">
                  <c:v>29.754077617714159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A1-4966-948E-1690A7CC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'Prac.TrAdES-3'!$B$2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'Prac.TrAdES-3'!$B$2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'Prac.TrAdES-3'!$A$4:$A$31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'Prac.TrAdES-3'!$B$4:$B$31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'Prac.TrAdES-3'!$E$2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'Prac.TrAdES-3'!$A$4:$A$32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'Prac.TrAdES-3'!$E$4:$E$32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384788</xdr:colOff>
      <xdr:row>18</xdr:row>
      <xdr:rowOff>160697</xdr:rowOff>
    </xdr:from>
    <xdr:to>
      <xdr:col>29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9L7PgZBdsW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85" zoomScaleNormal="85" workbookViewId="0">
      <selection activeCell="N12" sqref="N12"/>
    </sheetView>
  </sheetViews>
  <sheetFormatPr defaultColWidth="9.140625" defaultRowHeight="13.5" x14ac:dyDescent="0.25"/>
  <cols>
    <col min="1" max="1" width="4.5703125" style="15" bestFit="1" customWidth="1"/>
    <col min="2" max="2" width="9.7109375" style="15" bestFit="1" customWidth="1"/>
    <col min="3" max="3" width="6.7109375" style="15" bestFit="1" customWidth="1"/>
    <col min="4" max="4" width="11.7109375" style="15" bestFit="1" customWidth="1"/>
    <col min="5" max="5" width="14.140625" style="23" bestFit="1" customWidth="1"/>
    <col min="6" max="6" width="13" style="15" customWidth="1"/>
    <col min="7" max="8" width="5.85546875" style="15" customWidth="1"/>
    <col min="9" max="9" width="11.140625" style="15" customWidth="1"/>
    <col min="10" max="10" width="6.85546875" style="15" customWidth="1"/>
    <col min="11" max="11" width="4.85546875" style="15" bestFit="1" customWidth="1"/>
    <col min="12" max="12" width="8.7109375" style="15" bestFit="1" customWidth="1"/>
    <col min="13" max="13" width="9.140625" style="15"/>
    <col min="14" max="14" width="12.140625" style="15" bestFit="1" customWidth="1"/>
    <col min="15" max="15" width="13.85546875" style="15" bestFit="1" customWidth="1"/>
    <col min="16" max="16" width="12.42578125" style="15" bestFit="1" customWidth="1"/>
    <col min="17" max="17" width="12.140625" style="15" bestFit="1" customWidth="1"/>
    <col min="18" max="21" width="9.28515625" style="15" bestFit="1" customWidth="1"/>
    <col min="22" max="23" width="9.140625" style="15"/>
    <col min="24" max="24" width="9.28515625" style="15" bestFit="1" customWidth="1"/>
    <col min="25" max="35" width="9.140625" style="15"/>
    <col min="36" max="36" width="9.140625" style="15" customWidth="1"/>
    <col min="37" max="39" width="9.140625" style="15"/>
    <col min="40" max="40" width="9.28515625" style="15" bestFit="1" customWidth="1"/>
    <col min="41" max="41" width="14" style="15" customWidth="1"/>
    <col min="42" max="42" width="12.28515625" style="15" customWidth="1"/>
    <col min="43" max="43" width="10.140625" style="15" bestFit="1" customWidth="1"/>
    <col min="44" max="44" width="10.140625" style="15" customWidth="1"/>
    <col min="45" max="47" width="9.28515625" style="15" customWidth="1"/>
    <col min="48" max="48" width="9.28515625" style="15" bestFit="1" customWidth="1"/>
    <col min="49" max="49" width="12.28515625" style="15" bestFit="1" customWidth="1"/>
    <col min="50" max="16384" width="9.140625" style="15"/>
  </cols>
  <sheetData>
    <row r="1" spans="1:55" ht="17.25" thickBot="1" x14ac:dyDescent="0.35">
      <c r="A1" s="8" t="s">
        <v>17</v>
      </c>
      <c r="B1" s="9"/>
      <c r="C1" s="10"/>
      <c r="D1" s="9"/>
      <c r="E1" s="11"/>
      <c r="F1" s="12" t="s">
        <v>5</v>
      </c>
      <c r="G1" s="12" t="s">
        <v>6</v>
      </c>
      <c r="H1" s="13" t="s">
        <v>7</v>
      </c>
      <c r="I1" s="61" t="s">
        <v>8</v>
      </c>
      <c r="J1" s="14" t="s">
        <v>9</v>
      </c>
      <c r="K1" s="14" t="s">
        <v>10</v>
      </c>
      <c r="L1" s="14" t="s">
        <v>11</v>
      </c>
      <c r="N1" s="51" t="s">
        <v>26</v>
      </c>
      <c r="O1" s="53" t="s">
        <v>27</v>
      </c>
      <c r="P1" s="52" t="s">
        <v>28</v>
      </c>
      <c r="Q1" s="52" t="s">
        <v>29</v>
      </c>
      <c r="R1" s="52" t="s">
        <v>44</v>
      </c>
      <c r="S1" s="16" t="s">
        <v>22</v>
      </c>
      <c r="AN1" s="17" t="s">
        <v>18</v>
      </c>
      <c r="AO1" s="17"/>
      <c r="AP1" s="17"/>
      <c r="AQ1" s="18">
        <v>25</v>
      </c>
      <c r="AR1" s="18"/>
      <c r="AS1" s="18">
        <v>5</v>
      </c>
      <c r="AT1" s="18"/>
      <c r="AU1" s="18"/>
      <c r="AW1" s="18"/>
      <c r="AX1" s="7"/>
    </row>
    <row r="2" spans="1:55" ht="17.25" thickBot="1" x14ac:dyDescent="0.35">
      <c r="A2" s="19" t="s">
        <v>4</v>
      </c>
      <c r="B2" s="20" t="s">
        <v>46</v>
      </c>
      <c r="C2" s="78" t="s">
        <v>19</v>
      </c>
      <c r="D2" s="74" t="s">
        <v>21</v>
      </c>
      <c r="E2" s="76" t="s">
        <v>47</v>
      </c>
      <c r="F2" s="24" t="str">
        <f>G2&amp;" - "&amp;H2</f>
        <v>21 - 28</v>
      </c>
      <c r="G2" s="25">
        <f>Y5</f>
        <v>21</v>
      </c>
      <c r="H2" s="26">
        <f t="shared" ref="H2:H14" si="0">G2+$Y$3</f>
        <v>28</v>
      </c>
      <c r="I2" s="62">
        <f t="shared" ref="I2:I14" si="1">COUNTIF($B$3:$B$34, "&lt;"&amp;H2)</f>
        <v>1</v>
      </c>
      <c r="J2" s="27">
        <f>I2</f>
        <v>1</v>
      </c>
      <c r="K2" s="28">
        <f t="shared" ref="K2:K14" si="2">J2/$J$15</f>
        <v>3.5714285714285712E-2</v>
      </c>
      <c r="L2" s="29">
        <f t="shared" ref="L2:L14" si="3">I2/$J$15</f>
        <v>3.5714285714285712E-2</v>
      </c>
      <c r="N2" s="48" t="s">
        <v>12</v>
      </c>
      <c r="O2" s="135">
        <f>AVERAGE($B$3:$B$30)</f>
        <v>51.392857142857146</v>
      </c>
      <c r="P2" s="135">
        <f t="shared" ref="P2:R2" si="4">AVERAGE($B$3:$B$30)</f>
        <v>51.392857142857146</v>
      </c>
      <c r="Q2" s="135">
        <f t="shared" si="4"/>
        <v>51.392857142857146</v>
      </c>
      <c r="R2" s="135">
        <f t="shared" si="4"/>
        <v>51.392857142857146</v>
      </c>
      <c r="V2" s="15" t="s">
        <v>34</v>
      </c>
      <c r="Y2" s="15">
        <f>ROUND(O6/10,0)</f>
        <v>7</v>
      </c>
      <c r="AN2" s="18"/>
      <c r="AO2" s="18" t="s">
        <v>39</v>
      </c>
      <c r="AP2" s="18" t="s">
        <v>40</v>
      </c>
      <c r="AQ2" s="7" t="s">
        <v>20</v>
      </c>
      <c r="AR2" s="7" t="s">
        <v>50</v>
      </c>
      <c r="AS2" s="22" t="s">
        <v>48</v>
      </c>
      <c r="AT2" s="7" t="s">
        <v>42</v>
      </c>
      <c r="AU2" s="20" t="s">
        <v>43</v>
      </c>
      <c r="AV2" s="21" t="s">
        <v>19</v>
      </c>
      <c r="AW2" s="15" t="s">
        <v>45</v>
      </c>
    </row>
    <row r="3" spans="1:55" ht="17.25" thickBot="1" x14ac:dyDescent="0.35">
      <c r="A3" s="2">
        <v>1</v>
      </c>
      <c r="B3" s="30">
        <v>50</v>
      </c>
      <c r="C3" s="31">
        <v>25</v>
      </c>
      <c r="D3" s="75">
        <v>33</v>
      </c>
      <c r="E3" s="77">
        <v>39</v>
      </c>
      <c r="F3" s="33" t="str">
        <f t="shared" ref="F3:F14" si="5">G3&amp;" - "&amp;H3</f>
        <v>28 - 35</v>
      </c>
      <c r="G3" s="34">
        <f>H2</f>
        <v>28</v>
      </c>
      <c r="H3" s="35">
        <f t="shared" si="0"/>
        <v>35</v>
      </c>
      <c r="I3" s="62">
        <f t="shared" si="1"/>
        <v>4</v>
      </c>
      <c r="J3" s="36">
        <f>I3-I2</f>
        <v>3</v>
      </c>
      <c r="K3" s="37">
        <f t="shared" si="2"/>
        <v>0.10714285714285714</v>
      </c>
      <c r="L3" s="38">
        <f t="shared" si="3"/>
        <v>0.14285714285714285</v>
      </c>
      <c r="N3" s="59" t="s">
        <v>31</v>
      </c>
      <c r="O3" s="136">
        <f>MEDIAN(B$3:B$30)</f>
        <v>49</v>
      </c>
      <c r="P3" s="136">
        <f t="shared" ref="P3:R3" si="6">MEDIAN(C$3:C$30)</f>
        <v>49</v>
      </c>
      <c r="Q3" s="136">
        <f t="shared" si="6"/>
        <v>49</v>
      </c>
      <c r="R3" s="136">
        <f t="shared" si="6"/>
        <v>49</v>
      </c>
      <c r="V3" s="15" t="s">
        <v>35</v>
      </c>
      <c r="Y3" s="15">
        <f>ROUND(Y2,-LEN(Y2)+1)</f>
        <v>7</v>
      </c>
      <c r="AN3" s="18">
        <v>1</v>
      </c>
      <c r="AO3" s="18">
        <f ca="1">ABS(_xlfn.NORM.INV(RAND(),$AQ$1,$AS$1))</f>
        <v>14.72753738717881</v>
      </c>
      <c r="AP3" s="18">
        <f ca="1">SMALL($AO$3:$AO$30,ROWS(AO$3:AO3))</f>
        <v>14.72753738717881</v>
      </c>
      <c r="AQ3" s="39">
        <f ca="1">AR3+RAND()</f>
        <v>1.413483474424905</v>
      </c>
      <c r="AR3" s="39">
        <v>1</v>
      </c>
      <c r="AS3" s="7">
        <f ca="1">ROUNDUP(AP3*AQ3,0)</f>
        <v>21</v>
      </c>
      <c r="AT3" s="7">
        <f ca="1">RAND()</f>
        <v>0.45005077399749482</v>
      </c>
      <c r="AU3" s="7">
        <f ca="1">INDEX($AS$3:$AS$30,MATCH(SMALL($AT$3:$AT$30,ROWS(AT$3:AT3)),$AT$3:$AT$30,0))</f>
        <v>82</v>
      </c>
      <c r="AV3" s="7">
        <f ca="1">SMALL($AS$3:$AS$30,ROWS(AV$3:AV3))</f>
        <v>21</v>
      </c>
      <c r="AW3" s="15">
        <f ca="1">VLOOKUP(SMALL($BB$3:$BB$16,AX3),$BB$3:$BC$30,2,0)</f>
        <v>42</v>
      </c>
      <c r="AX3" s="15">
        <v>1</v>
      </c>
      <c r="BA3" s="15">
        <v>1</v>
      </c>
      <c r="BB3" s="15">
        <f ca="1">RAND()</f>
        <v>0.44088281826539488</v>
      </c>
      <c r="BC3" s="15">
        <f ca="1">AV3</f>
        <v>21</v>
      </c>
    </row>
    <row r="4" spans="1:55" ht="17.25" thickBot="1" x14ac:dyDescent="0.35">
      <c r="A4" s="2">
        <v>2</v>
      </c>
      <c r="B4" s="30">
        <v>25</v>
      </c>
      <c r="C4" s="31">
        <v>28</v>
      </c>
      <c r="D4" s="75">
        <v>35</v>
      </c>
      <c r="E4" s="77">
        <v>67</v>
      </c>
      <c r="F4" s="33" t="str">
        <f t="shared" si="5"/>
        <v>35 - 42</v>
      </c>
      <c r="G4" s="34">
        <f t="shared" ref="G4:G13" si="7">H3</f>
        <v>35</v>
      </c>
      <c r="H4" s="35">
        <f t="shared" si="0"/>
        <v>42</v>
      </c>
      <c r="I4" s="62">
        <f t="shared" si="1"/>
        <v>9</v>
      </c>
      <c r="J4" s="36">
        <f t="shared" ref="J4:J14" si="8">I4-I3</f>
        <v>5</v>
      </c>
      <c r="K4" s="37">
        <f t="shared" si="2"/>
        <v>0.17857142857142858</v>
      </c>
      <c r="L4" s="38">
        <f t="shared" si="3"/>
        <v>0.32142857142857145</v>
      </c>
      <c r="N4" s="49" t="s">
        <v>13</v>
      </c>
      <c r="O4" s="137">
        <f>MAX(B$3:B$30)</f>
        <v>90</v>
      </c>
      <c r="P4" s="137">
        <f t="shared" ref="P4:R4" si="9">MAX(C$3:C$30)</f>
        <v>90</v>
      </c>
      <c r="Q4" s="137">
        <f t="shared" si="9"/>
        <v>90</v>
      </c>
      <c r="R4" s="137">
        <f t="shared" si="9"/>
        <v>90</v>
      </c>
      <c r="V4" s="15" t="s">
        <v>107</v>
      </c>
      <c r="Y4" s="15">
        <f>INT(O5/Y3)</f>
        <v>3</v>
      </c>
      <c r="AN4" s="18">
        <v>2</v>
      </c>
      <c r="AO4" s="18">
        <f t="shared" ref="AO4:AO30" ca="1" si="10">ABS(_xlfn.NORM.INV(RAND(),$AQ$1,$AS$1))</f>
        <v>23.427928676302372</v>
      </c>
      <c r="AP4" s="18">
        <f ca="1">SMALL($AO$3:$AO$30,ROWS(AO$3:AO4))</f>
        <v>17.902947797389999</v>
      </c>
      <c r="AQ4" s="39">
        <f t="shared" ref="AQ4:AQ30" ca="1" si="11">AR4+RAND()</f>
        <v>2.0840185249614072</v>
      </c>
      <c r="AR4" s="39">
        <v>1.5</v>
      </c>
      <c r="AS4" s="7">
        <f t="shared" ref="AS4:AS30" ca="1" si="12">ROUNDUP(AP4*AQ4,0)</f>
        <v>38</v>
      </c>
      <c r="AT4" s="7">
        <f t="shared" ref="AT4:AT30" ca="1" si="13">RAND()</f>
        <v>0.75125121839918607</v>
      </c>
      <c r="AU4" s="7">
        <f ca="1">INDEX($AS$3:$AS$30,MATCH(SMALL($AT$3:$AT$30,ROWS(AT$3:AT4)),$AT$3:$AT$30,0))</f>
        <v>57</v>
      </c>
      <c r="AV4" s="7">
        <f ca="1">SMALL($AS$3:$AS$30,ROWS(AV$3:AV4))</f>
        <v>24</v>
      </c>
      <c r="AW4" s="15">
        <f ca="1">VLOOKUP(SMALL($BB$17:$BB$30,AX4),$BB$17:$BC$30,2,0)</f>
        <v>51</v>
      </c>
      <c r="AX4" s="15">
        <v>1</v>
      </c>
      <c r="BA4" s="15">
        <v>2</v>
      </c>
      <c r="BB4" s="15">
        <f t="shared" ref="BB4:BB30" ca="1" si="14">RAND()</f>
        <v>0.30320344087309403</v>
      </c>
      <c r="BC4" s="15">
        <f t="shared" ref="BC4:BC30" ca="1" si="15">AV4</f>
        <v>24</v>
      </c>
    </row>
    <row r="5" spans="1:55" ht="17.25" thickBot="1" x14ac:dyDescent="0.35">
      <c r="A5" s="2">
        <v>3</v>
      </c>
      <c r="B5" s="30">
        <v>33</v>
      </c>
      <c r="C5" s="31">
        <v>31</v>
      </c>
      <c r="D5" s="75">
        <v>48</v>
      </c>
      <c r="E5" s="77">
        <v>50</v>
      </c>
      <c r="F5" s="33" t="str">
        <f t="shared" si="5"/>
        <v>42 - 49</v>
      </c>
      <c r="G5" s="34">
        <f t="shared" si="7"/>
        <v>42</v>
      </c>
      <c r="H5" s="35">
        <f t="shared" si="0"/>
        <v>49</v>
      </c>
      <c r="I5" s="62">
        <f t="shared" si="1"/>
        <v>14</v>
      </c>
      <c r="J5" s="36">
        <f t="shared" si="8"/>
        <v>5</v>
      </c>
      <c r="K5" s="37">
        <f t="shared" si="2"/>
        <v>0.17857142857142858</v>
      </c>
      <c r="L5" s="38">
        <f t="shared" si="3"/>
        <v>0.5</v>
      </c>
      <c r="N5" s="49" t="s">
        <v>14</v>
      </c>
      <c r="O5" s="137">
        <f>MIN(B$3:B$30)</f>
        <v>25</v>
      </c>
      <c r="P5" s="137">
        <f t="shared" ref="P5:R5" si="16">MIN(C$3:C$30)</f>
        <v>25</v>
      </c>
      <c r="Q5" s="137">
        <f t="shared" si="16"/>
        <v>25</v>
      </c>
      <c r="R5" s="137">
        <f t="shared" si="16"/>
        <v>25</v>
      </c>
      <c r="V5" s="15" t="s">
        <v>36</v>
      </c>
      <c r="Y5" s="15">
        <f>Y3*Y4</f>
        <v>21</v>
      </c>
      <c r="AN5" s="18">
        <v>3</v>
      </c>
      <c r="AO5" s="18">
        <f t="shared" ca="1" si="10"/>
        <v>26.706369829717527</v>
      </c>
      <c r="AP5" s="18">
        <f ca="1">SMALL($AO$3:$AO$30,ROWS(AO$3:AO5))</f>
        <v>19.568402513374387</v>
      </c>
      <c r="AQ5" s="39">
        <f t="shared" ca="1" si="11"/>
        <v>2.521818941302354</v>
      </c>
      <c r="AR5" s="39">
        <v>2</v>
      </c>
      <c r="AS5" s="7">
        <f t="shared" ca="1" si="12"/>
        <v>50</v>
      </c>
      <c r="AT5" s="7">
        <f t="shared" ca="1" si="13"/>
        <v>0.55120991304246514</v>
      </c>
      <c r="AU5" s="7">
        <f ca="1">INDEX($AS$3:$AS$30,MATCH(SMALL($AT$3:$AT$30,ROWS(AT$3:AT5)),$AT$3:$AT$30,0))</f>
        <v>24</v>
      </c>
      <c r="AV5" s="7">
        <f ca="1">SMALL($AS$3:$AS$30,ROWS(AV$3:AV5))</f>
        <v>25</v>
      </c>
      <c r="AW5" s="15">
        <f ca="1">VLOOKUP(SMALL($BB$17:$BB$30,AX5),$BB$17:$BC$30,2,0)</f>
        <v>55</v>
      </c>
      <c r="AX5" s="15">
        <v>2</v>
      </c>
      <c r="BA5" s="15">
        <v>3</v>
      </c>
      <c r="BB5" s="15">
        <f t="shared" ca="1" si="14"/>
        <v>0.32283585307230556</v>
      </c>
      <c r="BC5" s="15">
        <f t="shared" ca="1" si="15"/>
        <v>25</v>
      </c>
    </row>
    <row r="6" spans="1:55" ht="17.25" thickBot="1" x14ac:dyDescent="0.35">
      <c r="A6" s="2">
        <v>4</v>
      </c>
      <c r="B6" s="30">
        <v>72</v>
      </c>
      <c r="C6" s="31">
        <v>33</v>
      </c>
      <c r="D6" s="75">
        <v>28</v>
      </c>
      <c r="E6" s="77">
        <v>35</v>
      </c>
      <c r="F6" s="33" t="str">
        <f t="shared" si="5"/>
        <v>49 - 56</v>
      </c>
      <c r="G6" s="34">
        <f t="shared" si="7"/>
        <v>49</v>
      </c>
      <c r="H6" s="35">
        <f t="shared" si="0"/>
        <v>56</v>
      </c>
      <c r="I6" s="62">
        <f t="shared" si="1"/>
        <v>18</v>
      </c>
      <c r="J6" s="36">
        <f t="shared" si="8"/>
        <v>4</v>
      </c>
      <c r="K6" s="37">
        <f t="shared" si="2"/>
        <v>0.14285714285714285</v>
      </c>
      <c r="L6" s="38">
        <f t="shared" si="3"/>
        <v>0.6428571428571429</v>
      </c>
      <c r="N6" s="49" t="s">
        <v>5</v>
      </c>
      <c r="O6" s="137">
        <f>O4-O5</f>
        <v>65</v>
      </c>
      <c r="P6" s="137">
        <f t="shared" ref="P6:R6" si="17">P4-P5</f>
        <v>65</v>
      </c>
      <c r="Q6" s="137">
        <f t="shared" si="17"/>
        <v>65</v>
      </c>
      <c r="R6" s="137">
        <f t="shared" si="17"/>
        <v>65</v>
      </c>
      <c r="V6" s="15" t="s">
        <v>33</v>
      </c>
      <c r="Y6" s="15">
        <f>ROUNDUP(O4/Y3,0)</f>
        <v>13</v>
      </c>
      <c r="AN6" s="18">
        <v>4</v>
      </c>
      <c r="AO6" s="18">
        <f t="shared" ca="1" si="10"/>
        <v>20.31750007596543</v>
      </c>
      <c r="AP6" s="18">
        <f ca="1">SMALL($AO$3:$AO$30,ROWS(AO$3:AO6))</f>
        <v>19.714792059213977</v>
      </c>
      <c r="AQ6" s="39">
        <f t="shared" ca="1" si="11"/>
        <v>1.250401783475017</v>
      </c>
      <c r="AR6" s="39">
        <v>1</v>
      </c>
      <c r="AS6" s="7">
        <f t="shared" ca="1" si="12"/>
        <v>25</v>
      </c>
      <c r="AT6" s="7">
        <f t="shared" ca="1" si="13"/>
        <v>0.91276589310586065</v>
      </c>
      <c r="AU6" s="7">
        <f ca="1">INDEX($AS$3:$AS$30,MATCH(SMALL($AT$3:$AT$30,ROWS(AT$3:AT6)),$AT$3:$AT$30,0))</f>
        <v>32</v>
      </c>
      <c r="AV6" s="7">
        <f ca="1">SMALL($AS$3:$AS$30,ROWS(AV$3:AV6))</f>
        <v>26</v>
      </c>
      <c r="AW6" s="15">
        <f ca="1">VLOOKUP(SMALL($BB$3:$BB$16,AX6),$BB$3:$BC$30,2,0)</f>
        <v>43</v>
      </c>
      <c r="AX6" s="15">
        <v>2</v>
      </c>
      <c r="BA6" s="15">
        <v>4</v>
      </c>
      <c r="BB6" s="15">
        <f t="shared" ca="1" si="14"/>
        <v>0.58337565474314601</v>
      </c>
      <c r="BC6" s="15">
        <f t="shared" ca="1" si="15"/>
        <v>26</v>
      </c>
    </row>
    <row r="7" spans="1:55" ht="17.25" thickBot="1" x14ac:dyDescent="0.35">
      <c r="A7" s="2">
        <v>5</v>
      </c>
      <c r="B7" s="30">
        <v>67</v>
      </c>
      <c r="C7" s="31">
        <v>35</v>
      </c>
      <c r="D7" s="75">
        <v>25</v>
      </c>
      <c r="E7" s="77">
        <v>28</v>
      </c>
      <c r="F7" s="33" t="str">
        <f t="shared" si="5"/>
        <v>56 - 63</v>
      </c>
      <c r="G7" s="34">
        <f t="shared" si="7"/>
        <v>56</v>
      </c>
      <c r="H7" s="35">
        <f t="shared" si="0"/>
        <v>63</v>
      </c>
      <c r="I7" s="62">
        <f t="shared" si="1"/>
        <v>21</v>
      </c>
      <c r="J7" s="36">
        <f t="shared" si="8"/>
        <v>3</v>
      </c>
      <c r="K7" s="37">
        <f t="shared" si="2"/>
        <v>0.10714285714285714</v>
      </c>
      <c r="L7" s="38">
        <f t="shared" si="3"/>
        <v>0.75</v>
      </c>
      <c r="N7" s="49" t="s">
        <v>15</v>
      </c>
      <c r="O7" s="137">
        <f>_xlfn.STDEV.S(B$3:B$30)</f>
        <v>16.398598146305705</v>
      </c>
      <c r="P7" s="137">
        <f t="shared" ref="P7:R7" si="18">_xlfn.STDEV.S(C$3:C$30)</f>
        <v>16.398598146305705</v>
      </c>
      <c r="Q7" s="137">
        <f t="shared" si="18"/>
        <v>16.398598146305705</v>
      </c>
      <c r="R7" s="137">
        <f t="shared" si="18"/>
        <v>16.398598146305705</v>
      </c>
      <c r="V7" s="23" t="s">
        <v>37</v>
      </c>
      <c r="W7" s="23"/>
      <c r="X7" s="23"/>
      <c r="Y7" s="15">
        <f>Y6*Y3</f>
        <v>91</v>
      </c>
      <c r="AN7" s="18">
        <v>5</v>
      </c>
      <c r="AO7" s="18">
        <f t="shared" ca="1" si="10"/>
        <v>24.699862760824679</v>
      </c>
      <c r="AP7" s="18">
        <f ca="1">SMALL($AO$3:$AO$30,ROWS(AO$3:AO7))</f>
        <v>20.31750007596543</v>
      </c>
      <c r="AQ7" s="39">
        <f t="shared" ca="1" si="11"/>
        <v>1.9080771220872723</v>
      </c>
      <c r="AR7" s="39">
        <f>AR3</f>
        <v>1</v>
      </c>
      <c r="AS7" s="7">
        <f t="shared" ca="1" si="12"/>
        <v>39</v>
      </c>
      <c r="AT7" s="7">
        <f t="shared" ca="1" si="13"/>
        <v>0.49088638190149847</v>
      </c>
      <c r="AU7" s="7">
        <f ca="1">INDEX($AS$3:$AS$30,MATCH(SMALL($AT$3:$AT$30,ROWS(AT$3:AT7)),$AT$3:$AT$30,0))</f>
        <v>63</v>
      </c>
      <c r="AV7" s="7">
        <f ca="1">SMALL($AS$3:$AS$30,ROWS(AV$3:AV7))</f>
        <v>31</v>
      </c>
      <c r="AW7" s="15">
        <f ca="1">VLOOKUP(SMALL($BB$3:$BB$16,AX7),$BB$3:$BC$30,2,0)</f>
        <v>38</v>
      </c>
      <c r="AX7" s="15">
        <f>2+AX3</f>
        <v>3</v>
      </c>
      <c r="BA7" s="15">
        <v>5</v>
      </c>
      <c r="BB7" s="15">
        <f t="shared" ca="1" si="14"/>
        <v>0.51611909002602596</v>
      </c>
      <c r="BC7" s="15">
        <f t="shared" ca="1" si="15"/>
        <v>31</v>
      </c>
    </row>
    <row r="8" spans="1:55" ht="17.25" thickBot="1" x14ac:dyDescent="0.35">
      <c r="A8" s="2">
        <v>6</v>
      </c>
      <c r="B8" s="30">
        <v>35</v>
      </c>
      <c r="C8" s="31">
        <v>39</v>
      </c>
      <c r="D8" s="75">
        <v>53</v>
      </c>
      <c r="E8" s="77">
        <v>61</v>
      </c>
      <c r="F8" s="33" t="str">
        <f t="shared" si="5"/>
        <v>63 - 70</v>
      </c>
      <c r="G8" s="34">
        <f t="shared" si="7"/>
        <v>63</v>
      </c>
      <c r="H8" s="35">
        <f t="shared" si="0"/>
        <v>70</v>
      </c>
      <c r="I8" s="62">
        <f t="shared" si="1"/>
        <v>24</v>
      </c>
      <c r="J8" s="36">
        <f t="shared" si="8"/>
        <v>3</v>
      </c>
      <c r="K8" s="37">
        <f t="shared" si="2"/>
        <v>0.10714285714285714</v>
      </c>
      <c r="L8" s="38">
        <f t="shared" si="3"/>
        <v>0.8571428571428571</v>
      </c>
      <c r="N8" s="49" t="s">
        <v>16</v>
      </c>
      <c r="O8" s="137">
        <f>O7/O2</f>
        <v>0.3190832161894091</v>
      </c>
      <c r="P8" s="137">
        <f t="shared" ref="P8:R8" si="19">P7/P2</f>
        <v>0.3190832161894091</v>
      </c>
      <c r="Q8" s="137">
        <f t="shared" si="19"/>
        <v>0.3190832161894091</v>
      </c>
      <c r="R8" s="137">
        <f t="shared" si="19"/>
        <v>0.3190832161894091</v>
      </c>
      <c r="V8" s="15" t="s">
        <v>38</v>
      </c>
      <c r="Y8" s="15">
        <v>4</v>
      </c>
      <c r="AN8" s="18">
        <v>6</v>
      </c>
      <c r="AO8" s="18">
        <f t="shared" ca="1" si="10"/>
        <v>22.104091747932806</v>
      </c>
      <c r="AP8" s="18">
        <f ca="1">SMALL($AO$3:$AO$30,ROWS(AO$3:AO8))</f>
        <v>20.336050756177865</v>
      </c>
      <c r="AQ8" s="39">
        <f t="shared" ca="1" si="11"/>
        <v>1.7329938227846435</v>
      </c>
      <c r="AR8" s="39">
        <f t="shared" ref="AR8:AR30" si="20">AR4</f>
        <v>1.5</v>
      </c>
      <c r="AS8" s="7">
        <f t="shared" ca="1" si="12"/>
        <v>36</v>
      </c>
      <c r="AT8" s="7">
        <f t="shared" ca="1" si="13"/>
        <v>0.93182685490042305</v>
      </c>
      <c r="AU8" s="7">
        <f ca="1">INDEX($AS$3:$AS$30,MATCH(SMALL($AT$3:$AT$30,ROWS(AT$3:AT8)),$AT$3:$AT$30,0))</f>
        <v>50</v>
      </c>
      <c r="AV8" s="7">
        <f ca="1">SMALL($AS$3:$AS$30,ROWS(AV$3:AV8))</f>
        <v>32</v>
      </c>
      <c r="AW8" s="15">
        <f ca="1">VLOOKUP(SMALL($BB$17:$BB$30,AX8),$BB$17:$BC$30,2,0)</f>
        <v>50</v>
      </c>
      <c r="AX8" s="15">
        <f>2+AX4</f>
        <v>3</v>
      </c>
      <c r="BA8" s="15">
        <v>6</v>
      </c>
      <c r="BB8" s="15">
        <f t="shared" ca="1" si="14"/>
        <v>0.34738621394667768</v>
      </c>
      <c r="BC8" s="15">
        <f t="shared" ca="1" si="15"/>
        <v>32</v>
      </c>
    </row>
    <row r="9" spans="1:55" ht="17.25" thickBot="1" x14ac:dyDescent="0.35">
      <c r="A9" s="2">
        <v>7</v>
      </c>
      <c r="B9" s="30">
        <v>42</v>
      </c>
      <c r="C9" s="31">
        <v>39</v>
      </c>
      <c r="D9" s="75">
        <v>50</v>
      </c>
      <c r="E9" s="77">
        <v>51</v>
      </c>
      <c r="F9" s="33" t="str">
        <f t="shared" si="5"/>
        <v>70 - 77</v>
      </c>
      <c r="G9" s="34">
        <f t="shared" si="7"/>
        <v>70</v>
      </c>
      <c r="H9" s="35">
        <f t="shared" si="0"/>
        <v>77</v>
      </c>
      <c r="I9" s="62">
        <f t="shared" si="1"/>
        <v>26</v>
      </c>
      <c r="J9" s="36">
        <f t="shared" si="8"/>
        <v>2</v>
      </c>
      <c r="K9" s="37">
        <f t="shared" si="2"/>
        <v>7.1428571428571425E-2</v>
      </c>
      <c r="L9" s="38">
        <f t="shared" si="3"/>
        <v>0.9285714285714286</v>
      </c>
      <c r="N9" s="59" t="s">
        <v>32</v>
      </c>
      <c r="O9" s="136">
        <f>O2/O3</f>
        <v>1.0488338192419826</v>
      </c>
      <c r="P9" s="136">
        <f t="shared" ref="P9:R9" si="21">P2/P3</f>
        <v>1.0488338192419826</v>
      </c>
      <c r="Q9" s="136">
        <f t="shared" si="21"/>
        <v>1.0488338192419826</v>
      </c>
      <c r="R9" s="136">
        <f t="shared" si="21"/>
        <v>1.0488338192419826</v>
      </c>
      <c r="AN9" s="18">
        <v>8</v>
      </c>
      <c r="AO9" s="18">
        <f t="shared" ca="1" si="10"/>
        <v>23.73551591396134</v>
      </c>
      <c r="AP9" s="18">
        <f ca="1">SMALL($AO$3:$AO$30,ROWS(AO$3:AO9))</f>
        <v>21.273861220139803</v>
      </c>
      <c r="AQ9" s="39">
        <f t="shared" ca="1" si="11"/>
        <v>2.5420203555088641</v>
      </c>
      <c r="AR9" s="39">
        <f t="shared" si="20"/>
        <v>2</v>
      </c>
      <c r="AS9" s="7">
        <f t="shared" ca="1" si="12"/>
        <v>55</v>
      </c>
      <c r="AT9" s="7">
        <f t="shared" ca="1" si="13"/>
        <v>0.19410820259814232</v>
      </c>
      <c r="AU9" s="7">
        <f ca="1">INDEX($AS$3:$AS$30,MATCH(SMALL($AT$3:$AT$30,ROWS(AT$3:AT9)),$AT$3:$AT$30,0))</f>
        <v>55</v>
      </c>
      <c r="AV9" s="7">
        <f ca="1">SMALL($AS$3:$AS$30,ROWS(AV$3:AV9))</f>
        <v>36</v>
      </c>
      <c r="AW9" s="15">
        <f ca="1">VLOOKUP(SMALL($BB$17:$BB$30,AX9),$BB$17:$BC$30,2,0)</f>
        <v>55</v>
      </c>
      <c r="AX9" s="15">
        <f>2+AX5</f>
        <v>4</v>
      </c>
      <c r="BA9" s="15">
        <v>7</v>
      </c>
      <c r="BB9" s="15">
        <f t="shared" ca="1" si="14"/>
        <v>0.67944630270704942</v>
      </c>
      <c r="BC9" s="15">
        <f t="shared" ca="1" si="15"/>
        <v>36</v>
      </c>
    </row>
    <row r="10" spans="1:55" ht="17.25" thickBot="1" x14ac:dyDescent="0.35">
      <c r="A10" s="2">
        <v>8</v>
      </c>
      <c r="B10" s="30">
        <v>44</v>
      </c>
      <c r="C10" s="31">
        <v>40</v>
      </c>
      <c r="D10" s="75">
        <v>42</v>
      </c>
      <c r="E10" s="77">
        <v>46</v>
      </c>
      <c r="F10" s="33" t="str">
        <f t="shared" si="5"/>
        <v>77 - 84</v>
      </c>
      <c r="G10" s="34">
        <f t="shared" si="7"/>
        <v>77</v>
      </c>
      <c r="H10" s="35">
        <f t="shared" si="0"/>
        <v>84</v>
      </c>
      <c r="I10" s="62">
        <f t="shared" si="1"/>
        <v>27</v>
      </c>
      <c r="J10" s="36">
        <f t="shared" si="8"/>
        <v>1</v>
      </c>
      <c r="K10" s="37">
        <f t="shared" si="2"/>
        <v>3.5714285714285712E-2</v>
      </c>
      <c r="L10" s="38">
        <f t="shared" si="3"/>
        <v>0.9642857142857143</v>
      </c>
      <c r="N10" s="50" t="s">
        <v>30</v>
      </c>
      <c r="O10" s="138">
        <f>O6/O2</f>
        <v>1.2647671994440584</v>
      </c>
      <c r="P10" s="138">
        <f t="shared" ref="P10:R10" si="22">P6/P2</f>
        <v>1.2647671994440584</v>
      </c>
      <c r="Q10" s="138">
        <f t="shared" si="22"/>
        <v>1.2647671994440584</v>
      </c>
      <c r="R10" s="138">
        <f t="shared" si="22"/>
        <v>1.2647671994440584</v>
      </c>
      <c r="AN10" s="18">
        <v>7</v>
      </c>
      <c r="AO10" s="18">
        <f t="shared" ca="1" si="10"/>
        <v>24.162234517245867</v>
      </c>
      <c r="AP10" s="18">
        <f ca="1">SMALL($AO$3:$AO$30,ROWS(AO$3:AO10))</f>
        <v>21.705946529068985</v>
      </c>
      <c r="AQ10" s="39">
        <f t="shared" ca="1" si="11"/>
        <v>1.1579589854561387</v>
      </c>
      <c r="AR10" s="39">
        <f t="shared" si="20"/>
        <v>1</v>
      </c>
      <c r="AS10" s="7">
        <f t="shared" ca="1" si="12"/>
        <v>26</v>
      </c>
      <c r="AT10" s="7">
        <f t="shared" ca="1" si="13"/>
        <v>0.81314799568251583</v>
      </c>
      <c r="AU10" s="7">
        <f ca="1">INDEX($AS$3:$AS$30,MATCH(SMALL($AT$3:$AT$30,ROWS(AT$3:AT10)),$AT$3:$AT$30,0))</f>
        <v>68</v>
      </c>
      <c r="AV10" s="7">
        <f ca="1">SMALL($AS$3:$AS$30,ROWS(AV$3:AV10))</f>
        <v>37</v>
      </c>
      <c r="AW10" s="15">
        <f ca="1">VLOOKUP(SMALL($BB$3:$BB$16,AX10),$BB$3:$BC$30,2,0)</f>
        <v>24</v>
      </c>
      <c r="AX10" s="15">
        <f>2+AX6</f>
        <v>4</v>
      </c>
      <c r="BA10" s="15">
        <v>8</v>
      </c>
      <c r="BB10" s="15">
        <f t="shared" ca="1" si="14"/>
        <v>0.51607611013560162</v>
      </c>
      <c r="BC10" s="15">
        <f t="shared" ca="1" si="15"/>
        <v>37</v>
      </c>
    </row>
    <row r="11" spans="1:55" ht="17.25" thickBot="1" x14ac:dyDescent="0.35">
      <c r="A11" s="2">
        <v>9</v>
      </c>
      <c r="B11" s="30">
        <v>51</v>
      </c>
      <c r="C11" s="31">
        <v>41</v>
      </c>
      <c r="D11" s="75">
        <v>40</v>
      </c>
      <c r="E11" s="77">
        <v>48</v>
      </c>
      <c r="F11" s="33" t="str">
        <f t="shared" si="5"/>
        <v>84 - 91</v>
      </c>
      <c r="G11" s="34">
        <f t="shared" si="7"/>
        <v>84</v>
      </c>
      <c r="H11" s="35">
        <f t="shared" si="0"/>
        <v>91</v>
      </c>
      <c r="I11" s="62">
        <f t="shared" si="1"/>
        <v>28</v>
      </c>
      <c r="J11" s="36">
        <f t="shared" si="8"/>
        <v>1</v>
      </c>
      <c r="K11" s="37">
        <f t="shared" si="2"/>
        <v>3.5714285714285712E-2</v>
      </c>
      <c r="L11" s="38">
        <f t="shared" si="3"/>
        <v>1</v>
      </c>
      <c r="AN11" s="18">
        <v>12</v>
      </c>
      <c r="AO11" s="18">
        <f t="shared" ca="1" si="10"/>
        <v>30.719007484913039</v>
      </c>
      <c r="AP11" s="18">
        <f ca="1">SMALL($AO$3:$AO$30,ROWS(AO$3:AO11))</f>
        <v>21.728959924175072</v>
      </c>
      <c r="AQ11" s="39">
        <f t="shared" ca="1" si="11"/>
        <v>1.6692433349578883</v>
      </c>
      <c r="AR11" s="39">
        <f t="shared" si="20"/>
        <v>1</v>
      </c>
      <c r="AS11" s="7">
        <f t="shared" ca="1" si="12"/>
        <v>37</v>
      </c>
      <c r="AT11" s="7">
        <f t="shared" ca="1" si="13"/>
        <v>0.64207153574041442</v>
      </c>
      <c r="AU11" s="7">
        <f ca="1">INDEX($AS$3:$AS$30,MATCH(SMALL($AT$3:$AT$30,ROWS(AT$3:AT11)),$AT$3:$AT$30,0))</f>
        <v>38</v>
      </c>
      <c r="AV11" s="7">
        <f ca="1">SMALL($AS$3:$AS$30,ROWS(AV$3:AV11))</f>
        <v>38</v>
      </c>
      <c r="AW11" s="15">
        <f ca="1">VLOOKUP(SMALL($BB$3:$BB$16,AX11),$BB$3:$BC$30,2,0)</f>
        <v>25</v>
      </c>
      <c r="AX11" s="15">
        <f t="shared" ref="AX11:AX30" si="23">2+AX7</f>
        <v>5</v>
      </c>
      <c r="BA11" s="15">
        <v>9</v>
      </c>
      <c r="BB11" s="15">
        <f t="shared" ca="1" si="14"/>
        <v>0.50371723080661379</v>
      </c>
      <c r="BC11" s="15">
        <f t="shared" ca="1" si="15"/>
        <v>38</v>
      </c>
    </row>
    <row r="12" spans="1:55" ht="17.25" thickBot="1" x14ac:dyDescent="0.35">
      <c r="A12" s="2">
        <v>10</v>
      </c>
      <c r="B12" s="30">
        <v>39</v>
      </c>
      <c r="C12" s="31">
        <v>42</v>
      </c>
      <c r="D12" s="75">
        <v>46</v>
      </c>
      <c r="E12" s="77">
        <v>56</v>
      </c>
      <c r="F12" s="33" t="str">
        <f t="shared" si="5"/>
        <v>91 - 98</v>
      </c>
      <c r="G12" s="34">
        <f t="shared" si="7"/>
        <v>91</v>
      </c>
      <c r="H12" s="35">
        <f t="shared" si="0"/>
        <v>98</v>
      </c>
      <c r="I12" s="62">
        <f t="shared" si="1"/>
        <v>28</v>
      </c>
      <c r="J12" s="36">
        <f t="shared" si="8"/>
        <v>0</v>
      </c>
      <c r="K12" s="37">
        <f t="shared" si="2"/>
        <v>0</v>
      </c>
      <c r="L12" s="38">
        <f t="shared" si="3"/>
        <v>1</v>
      </c>
      <c r="AN12" s="18">
        <v>9</v>
      </c>
      <c r="AO12" s="18">
        <f t="shared" ca="1" si="10"/>
        <v>25.561551240634923</v>
      </c>
      <c r="AP12" s="18">
        <f ca="1">SMALL($AO$3:$AO$30,ROWS(AO$3:AO12))</f>
        <v>22.104091747932806</v>
      </c>
      <c r="AQ12" s="39">
        <f t="shared" ca="1" si="11"/>
        <v>2.4801247915265083</v>
      </c>
      <c r="AR12" s="39">
        <f t="shared" si="20"/>
        <v>1.5</v>
      </c>
      <c r="AS12" s="7">
        <f t="shared" ca="1" si="12"/>
        <v>55</v>
      </c>
      <c r="AT12" s="7">
        <f t="shared" ca="1" si="13"/>
        <v>0.54392673903466193</v>
      </c>
      <c r="AU12" s="7">
        <f ca="1">INDEX($AS$3:$AS$30,MATCH(SMALL($AT$3:$AT$30,ROWS(AT$3:AT12)),$AT$3:$AT$30,0))</f>
        <v>51</v>
      </c>
      <c r="AV12" s="7">
        <f ca="1">SMALL($AS$3:$AS$30,ROWS(AV$3:AV12))</f>
        <v>38</v>
      </c>
      <c r="AW12" s="15">
        <f ca="1">VLOOKUP(SMALL($BB$17:$BB$30,AX12),$BB$17:$BC$30,2,0)</f>
        <v>82</v>
      </c>
      <c r="AX12" s="15">
        <f t="shared" si="23"/>
        <v>5</v>
      </c>
      <c r="BA12" s="15">
        <v>10</v>
      </c>
      <c r="BB12" s="15">
        <f t="shared" ca="1" si="14"/>
        <v>0.19593728541222855</v>
      </c>
      <c r="BC12" s="15">
        <f t="shared" ca="1" si="15"/>
        <v>38</v>
      </c>
    </row>
    <row r="13" spans="1:55" ht="17.25" thickBot="1" x14ac:dyDescent="0.35">
      <c r="A13" s="2">
        <v>11</v>
      </c>
      <c r="B13" s="30">
        <v>46</v>
      </c>
      <c r="C13" s="31">
        <v>44</v>
      </c>
      <c r="D13" s="75">
        <v>72</v>
      </c>
      <c r="E13" s="77">
        <v>72</v>
      </c>
      <c r="F13" s="33" t="str">
        <f t="shared" si="5"/>
        <v>98 - 105</v>
      </c>
      <c r="G13" s="34">
        <f t="shared" si="7"/>
        <v>98</v>
      </c>
      <c r="H13" s="35">
        <f t="shared" si="0"/>
        <v>105</v>
      </c>
      <c r="I13" s="62">
        <f t="shared" si="1"/>
        <v>28</v>
      </c>
      <c r="J13" s="36">
        <f t="shared" si="8"/>
        <v>0</v>
      </c>
      <c r="K13" s="37">
        <f t="shared" si="2"/>
        <v>0</v>
      </c>
      <c r="L13" s="38">
        <f t="shared" si="3"/>
        <v>1</v>
      </c>
      <c r="AN13" s="18">
        <v>10</v>
      </c>
      <c r="AO13" s="18">
        <f t="shared" ca="1" si="10"/>
        <v>21.728959924175072</v>
      </c>
      <c r="AP13" s="18">
        <f ca="1">SMALL($AO$3:$AO$30,ROWS(AO$3:AO13))</f>
        <v>22.572364270477401</v>
      </c>
      <c r="AQ13" s="39">
        <f t="shared" ca="1" si="11"/>
        <v>2.5129305876517201</v>
      </c>
      <c r="AR13" s="39">
        <f t="shared" si="20"/>
        <v>2</v>
      </c>
      <c r="AS13" s="7">
        <f t="shared" ca="1" si="12"/>
        <v>57</v>
      </c>
      <c r="AT13" s="7">
        <f t="shared" ca="1" si="13"/>
        <v>2.0530928190731212E-2</v>
      </c>
      <c r="AU13" s="7">
        <f ca="1">INDEX($AS$3:$AS$30,MATCH(SMALL($AT$3:$AT$30,ROWS(AT$3:AT13)),$AT$3:$AT$30,0))</f>
        <v>43</v>
      </c>
      <c r="AV13" s="7">
        <f ca="1">SMALL($AS$3:$AS$30,ROWS(AV$3:AV13))</f>
        <v>39</v>
      </c>
      <c r="AW13" s="15">
        <f ca="1">VLOOKUP(SMALL($BB$17:$BB$30,AX13),$BB$17:$BC$30,2,0)</f>
        <v>75</v>
      </c>
      <c r="AX13" s="15">
        <f t="shared" si="23"/>
        <v>6</v>
      </c>
      <c r="BA13" s="15">
        <v>11</v>
      </c>
      <c r="BB13" s="15">
        <f t="shared" ca="1" si="14"/>
        <v>0.91220799995422208</v>
      </c>
      <c r="BC13" s="15">
        <f t="shared" ca="1" si="15"/>
        <v>39</v>
      </c>
    </row>
    <row r="14" spans="1:55" ht="17.25" thickBot="1" x14ac:dyDescent="0.35">
      <c r="A14" s="2">
        <v>12</v>
      </c>
      <c r="B14" s="30">
        <v>41</v>
      </c>
      <c r="C14" s="31">
        <v>46</v>
      </c>
      <c r="D14" s="75">
        <v>31</v>
      </c>
      <c r="E14" s="77">
        <v>40</v>
      </c>
      <c r="F14" s="40" t="str">
        <f t="shared" si="5"/>
        <v>105 - 112</v>
      </c>
      <c r="G14" s="41">
        <f>H13</f>
        <v>105</v>
      </c>
      <c r="H14" s="42">
        <f t="shared" si="0"/>
        <v>112</v>
      </c>
      <c r="I14" s="63">
        <f t="shared" si="1"/>
        <v>28</v>
      </c>
      <c r="J14" s="43">
        <f t="shared" si="8"/>
        <v>0</v>
      </c>
      <c r="K14" s="44">
        <f t="shared" si="2"/>
        <v>0</v>
      </c>
      <c r="L14" s="45">
        <f t="shared" si="3"/>
        <v>1</v>
      </c>
      <c r="AN14" s="18">
        <v>11</v>
      </c>
      <c r="AO14" s="18">
        <f t="shared" ca="1" si="10"/>
        <v>34.147822857063971</v>
      </c>
      <c r="AP14" s="18">
        <f ca="1">SMALL($AO$3:$AO$30,ROWS(AO$3:AO14))</f>
        <v>23.427928676302372</v>
      </c>
      <c r="AQ14" s="39">
        <f t="shared" ca="1" si="11"/>
        <v>1.0110995317168665</v>
      </c>
      <c r="AR14" s="39">
        <f t="shared" si="20"/>
        <v>1</v>
      </c>
      <c r="AS14" s="7">
        <f t="shared" ca="1" si="12"/>
        <v>24</v>
      </c>
      <c r="AT14" s="7">
        <f t="shared" ca="1" si="13"/>
        <v>8.0325506978373706E-2</v>
      </c>
      <c r="AU14" s="7">
        <f ca="1">INDEX($AS$3:$AS$30,MATCH(SMALL($AT$3:$AT$30,ROWS(AT$3:AT14)),$AT$3:$AT$30,0))</f>
        <v>44</v>
      </c>
      <c r="AV14" s="7">
        <f ca="1">SMALL($AS$3:$AS$30,ROWS(AV$3:AV14))</f>
        <v>42</v>
      </c>
      <c r="AW14" s="15">
        <f ca="1">VLOOKUP(SMALL($BB$3:$BB$16,AX14),$BB$3:$BC$30,2,0)</f>
        <v>32</v>
      </c>
      <c r="AX14" s="15">
        <f t="shared" si="23"/>
        <v>6</v>
      </c>
      <c r="BA14" s="15">
        <v>12</v>
      </c>
      <c r="BB14" s="15">
        <f t="shared" ca="1" si="14"/>
        <v>8.553930246623298E-2</v>
      </c>
      <c r="BC14" s="15">
        <f t="shared" ca="1" si="15"/>
        <v>42</v>
      </c>
    </row>
    <row r="15" spans="1:55" ht="16.5" x14ac:dyDescent="0.3">
      <c r="A15" s="2">
        <v>13</v>
      </c>
      <c r="B15" s="30">
        <v>69</v>
      </c>
      <c r="C15" s="31">
        <v>47</v>
      </c>
      <c r="D15" s="75">
        <v>44</v>
      </c>
      <c r="E15" s="77">
        <v>42</v>
      </c>
      <c r="F15" s="46"/>
      <c r="G15" s="36"/>
      <c r="H15" s="36"/>
      <c r="I15" s="36"/>
      <c r="J15" s="36">
        <f>SUM(J2:J14)</f>
        <v>28</v>
      </c>
      <c r="K15" s="37">
        <f>SUM(K2:K14)</f>
        <v>0.99999999999999978</v>
      </c>
      <c r="L15" s="37"/>
      <c r="AN15" s="18">
        <v>14</v>
      </c>
      <c r="AO15" s="18">
        <f t="shared" ca="1" si="10"/>
        <v>17.902947797389999</v>
      </c>
      <c r="AP15" s="18">
        <f ca="1">SMALL($AO$3:$AO$30,ROWS(AO$3:AO15))</f>
        <v>23.73551591396134</v>
      </c>
      <c r="AQ15" s="39">
        <f t="shared" ca="1" si="11"/>
        <v>1.8168865989821601</v>
      </c>
      <c r="AR15" s="39">
        <f t="shared" si="20"/>
        <v>1</v>
      </c>
      <c r="AS15" s="7">
        <f t="shared" ca="1" si="12"/>
        <v>44</v>
      </c>
      <c r="AT15" s="7">
        <f t="shared" ca="1" si="13"/>
        <v>0.41064388918655037</v>
      </c>
      <c r="AU15" s="7">
        <f ca="1">INDEX($AS$3:$AS$30,MATCH(SMALL($AT$3:$AT$30,ROWS(AT$3:AT15)),$AT$3:$AT$30,0))</f>
        <v>61</v>
      </c>
      <c r="AV15" s="7">
        <f ca="1">SMALL($AS$3:$AS$30,ROWS(AV$3:AV15))</f>
        <v>43</v>
      </c>
      <c r="AW15" s="15">
        <f ca="1">VLOOKUP(SMALL($BB$3:$BB$16,AX15),$BB$3:$BC$30,2,0)</f>
        <v>43</v>
      </c>
      <c r="AX15" s="15">
        <f t="shared" si="23"/>
        <v>7</v>
      </c>
      <c r="BA15" s="15">
        <v>13</v>
      </c>
      <c r="BB15" s="15">
        <f t="shared" ca="1" si="14"/>
        <v>0.4223847675952781</v>
      </c>
      <c r="BC15" s="15">
        <f t="shared" ca="1" si="15"/>
        <v>43</v>
      </c>
    </row>
    <row r="16" spans="1:55" ht="16.5" x14ac:dyDescent="0.3">
      <c r="A16" s="2">
        <v>14</v>
      </c>
      <c r="B16" s="30">
        <v>28</v>
      </c>
      <c r="C16" s="31">
        <v>48</v>
      </c>
      <c r="D16" s="75">
        <v>39</v>
      </c>
      <c r="E16" s="77">
        <v>72</v>
      </c>
      <c r="F16" s="57"/>
      <c r="G16" s="57"/>
      <c r="H16" s="57"/>
      <c r="I16" s="57"/>
      <c r="J16" s="23"/>
      <c r="K16" s="23"/>
      <c r="L16" s="57"/>
      <c r="M16" s="23"/>
      <c r="N16" s="23"/>
      <c r="Q16" s="23"/>
      <c r="R16" s="23"/>
      <c r="S16" s="23"/>
      <c r="T16" s="23"/>
      <c r="Y16" s="23"/>
      <c r="Z16" s="23"/>
      <c r="AN16" s="18">
        <v>16</v>
      </c>
      <c r="AO16" s="18">
        <f t="shared" ca="1" si="10"/>
        <v>21.705946529068985</v>
      </c>
      <c r="AP16" s="18">
        <f ca="1">SMALL($AO$3:$AO$30,ROWS(AO$3:AO16))</f>
        <v>23.752093080295204</v>
      </c>
      <c r="AQ16" s="39">
        <f t="shared" ca="1" si="11"/>
        <v>2.400719042363646</v>
      </c>
      <c r="AR16" s="39">
        <f t="shared" si="20"/>
        <v>1.5</v>
      </c>
      <c r="AS16" s="7">
        <f t="shared" ca="1" si="12"/>
        <v>58</v>
      </c>
      <c r="AT16" s="7">
        <f t="shared" ca="1" si="13"/>
        <v>0.94322228009961295</v>
      </c>
      <c r="AU16" s="7">
        <f ca="1">INDEX($AS$3:$AS$30,MATCH(SMALL($AT$3:$AT$30,ROWS(AT$3:AT16)),$AT$3:$AT$30,0))</f>
        <v>21</v>
      </c>
      <c r="AV16" s="7">
        <f ca="1">SMALL($AS$3:$AS$30,ROWS(AV$3:AV16))</f>
        <v>43</v>
      </c>
      <c r="AW16" s="15">
        <f ca="1">VLOOKUP(SMALL($BB$17:$BB$30,AX16),$BB$17:$BC$30,2,0)</f>
        <v>63</v>
      </c>
      <c r="AX16" s="15">
        <f t="shared" si="23"/>
        <v>7</v>
      </c>
      <c r="BA16" s="15">
        <v>14</v>
      </c>
      <c r="BB16" s="15">
        <f t="shared" ca="1" si="14"/>
        <v>0.1494638628228665</v>
      </c>
      <c r="BC16" s="15">
        <f t="shared" ca="1" si="15"/>
        <v>43</v>
      </c>
    </row>
    <row r="17" spans="1:63" ht="16.5" x14ac:dyDescent="0.3">
      <c r="A17" s="2">
        <v>15</v>
      </c>
      <c r="B17" s="30">
        <v>82</v>
      </c>
      <c r="C17" s="31">
        <v>50</v>
      </c>
      <c r="D17" s="75">
        <v>72</v>
      </c>
      <c r="E17" s="77">
        <v>53</v>
      </c>
      <c r="F17" s="23"/>
      <c r="G17" s="23"/>
      <c r="H17" s="23"/>
      <c r="I17" s="23"/>
      <c r="J17" s="58"/>
      <c r="K17" s="58"/>
      <c r="L17" s="23"/>
      <c r="M17" s="23"/>
      <c r="N17" s="23"/>
      <c r="Q17" s="23"/>
      <c r="R17" s="23"/>
      <c r="S17" s="23"/>
      <c r="T17" s="23"/>
      <c r="Y17" s="23"/>
      <c r="Z17" s="23"/>
      <c r="AN17" s="18">
        <v>18</v>
      </c>
      <c r="AO17" s="18">
        <f t="shared" ca="1" si="10"/>
        <v>22.572364270477401</v>
      </c>
      <c r="AP17" s="18">
        <f ca="1">SMALL($AO$3:$AO$30,ROWS(AO$3:AO17))</f>
        <v>24.162234517245867</v>
      </c>
      <c r="AQ17" s="39">
        <f t="shared" ca="1" si="11"/>
        <v>2.7919898888181303</v>
      </c>
      <c r="AR17" s="39">
        <f t="shared" si="20"/>
        <v>2</v>
      </c>
      <c r="AS17" s="7">
        <f t="shared" ca="1" si="12"/>
        <v>68</v>
      </c>
      <c r="AT17" s="7">
        <f t="shared" ca="1" si="13"/>
        <v>0.23281948356407245</v>
      </c>
      <c r="AU17" s="7">
        <f ca="1">INDEX($AS$3:$AS$30,MATCH(SMALL($AT$3:$AT$30,ROWS(AT$3:AT17)),$AT$3:$AT$30,0))</f>
        <v>39</v>
      </c>
      <c r="AV17" s="7">
        <f ca="1">SMALL($AS$3:$AS$30,ROWS(AV$3:AV17))</f>
        <v>44</v>
      </c>
      <c r="AW17" s="15">
        <f ca="1">VLOOKUP(SMALL($BB$17:$BB$30,AX17),$BB$17:$BC$30,2,0)</f>
        <v>68</v>
      </c>
      <c r="AX17" s="15">
        <f t="shared" si="23"/>
        <v>8</v>
      </c>
      <c r="BA17" s="15">
        <v>15</v>
      </c>
      <c r="BB17" s="15">
        <f t="shared" ca="1" si="14"/>
        <v>0.78956225395070645</v>
      </c>
      <c r="BC17" s="15">
        <f t="shared" ca="1" si="15"/>
        <v>44</v>
      </c>
    </row>
    <row r="18" spans="1:63" ht="16.5" x14ac:dyDescent="0.3">
      <c r="A18" s="2">
        <v>16</v>
      </c>
      <c r="B18" s="30">
        <v>65</v>
      </c>
      <c r="C18" s="31">
        <v>51</v>
      </c>
      <c r="D18" s="75">
        <v>51</v>
      </c>
      <c r="E18" s="77">
        <v>41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N18" s="18">
        <v>13</v>
      </c>
      <c r="AO18" s="18">
        <f t="shared" ca="1" si="10"/>
        <v>28.597749057232807</v>
      </c>
      <c r="AP18" s="18">
        <f ca="1">SMALL($AO$3:$AO$30,ROWS(AO$3:AO18))</f>
        <v>24.699862760824679</v>
      </c>
      <c r="AQ18" s="39">
        <f t="shared" ca="1" si="11"/>
        <v>1.5142054692709204</v>
      </c>
      <c r="AR18" s="39">
        <f t="shared" si="20"/>
        <v>1</v>
      </c>
      <c r="AS18" s="7">
        <f t="shared" ca="1" si="12"/>
        <v>38</v>
      </c>
      <c r="AT18" s="7">
        <f t="shared" ca="1" si="13"/>
        <v>0.25257636732694122</v>
      </c>
      <c r="AU18" s="7">
        <f ca="1">INDEX($AS$3:$AS$30,MATCH(SMALL($AT$3:$AT$30,ROWS(AT$3:AT18)),$AT$3:$AT$30,0))</f>
        <v>55</v>
      </c>
      <c r="AV18" s="7">
        <f ca="1">SMALL($AS$3:$AS$30,ROWS(AV$3:AV18))</f>
        <v>50</v>
      </c>
      <c r="AW18" s="15">
        <f ca="1">VLOOKUP(SMALL($BB$3:$BB$16,AX18),$BB$3:$BC$30,2,0)</f>
        <v>21</v>
      </c>
      <c r="AX18" s="15">
        <f t="shared" si="23"/>
        <v>8</v>
      </c>
      <c r="BA18" s="15">
        <v>16</v>
      </c>
      <c r="BB18" s="15">
        <f t="shared" ca="1" si="14"/>
        <v>0.72088950865719559</v>
      </c>
      <c r="BC18" s="15">
        <f t="shared" ca="1" si="15"/>
        <v>50</v>
      </c>
    </row>
    <row r="19" spans="1:63" ht="16.5" x14ac:dyDescent="0.3">
      <c r="A19" s="2">
        <v>17</v>
      </c>
      <c r="B19" s="30">
        <v>47</v>
      </c>
      <c r="C19" s="31">
        <v>51</v>
      </c>
      <c r="D19" s="75">
        <v>41</v>
      </c>
      <c r="E19" s="77">
        <v>25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N19" s="18">
        <v>17</v>
      </c>
      <c r="AO19" s="18">
        <f t="shared" ca="1" si="10"/>
        <v>19.714792059213977</v>
      </c>
      <c r="AP19" s="18">
        <f ca="1">SMALL($AO$3:$AO$30,ROWS(AO$3:AO19))</f>
        <v>24.971181676215064</v>
      </c>
      <c r="AQ19" s="39">
        <f t="shared" ca="1" si="11"/>
        <v>1.2652484141548763</v>
      </c>
      <c r="AR19" s="39">
        <f t="shared" si="20"/>
        <v>1</v>
      </c>
      <c r="AS19" s="7">
        <f t="shared" ca="1" si="12"/>
        <v>32</v>
      </c>
      <c r="AT19" s="7">
        <f t="shared" ca="1" si="13"/>
        <v>0.10099072368054685</v>
      </c>
      <c r="AU19" s="7">
        <f ca="1">INDEX($AS$3:$AS$30,MATCH(SMALL($AT$3:$AT$30,ROWS(AT$3:AT19)),$AT$3:$AT$30,0))</f>
        <v>31</v>
      </c>
      <c r="AV19" s="7">
        <f ca="1">SMALL($AS$3:$AS$30,ROWS(AV$3:AV19))</f>
        <v>50</v>
      </c>
      <c r="AW19" s="15">
        <f ca="1">VLOOKUP(SMALL($BB$3:$BB$16,AX19),$BB$3:$BC$30,2,0)</f>
        <v>38</v>
      </c>
      <c r="AX19" s="15">
        <f t="shared" si="23"/>
        <v>9</v>
      </c>
      <c r="BA19" s="15">
        <v>17</v>
      </c>
      <c r="BB19" s="15">
        <f t="shared" ca="1" si="14"/>
        <v>0.19671334183023303</v>
      </c>
      <c r="BC19" s="15">
        <f t="shared" ca="1" si="15"/>
        <v>50</v>
      </c>
    </row>
    <row r="20" spans="1:63" ht="16.5" x14ac:dyDescent="0.3">
      <c r="A20" s="2">
        <v>18</v>
      </c>
      <c r="B20" s="30">
        <v>53</v>
      </c>
      <c r="C20" s="31">
        <v>53</v>
      </c>
      <c r="D20" s="75">
        <v>65</v>
      </c>
      <c r="E20" s="77">
        <v>69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N20" s="18">
        <v>15</v>
      </c>
      <c r="AO20" s="18">
        <f t="shared" ca="1" si="10"/>
        <v>23.752093080295204</v>
      </c>
      <c r="AP20" s="18">
        <f ca="1">SMALL($AO$3:$AO$30,ROWS(AO$3:AO20))</f>
        <v>25.561551240634923</v>
      </c>
      <c r="AQ20" s="39">
        <f t="shared" ca="1" si="11"/>
        <v>2.3839148500667502</v>
      </c>
      <c r="AR20" s="39">
        <f t="shared" si="20"/>
        <v>1.5</v>
      </c>
      <c r="AS20" s="7">
        <f t="shared" ca="1" si="12"/>
        <v>61</v>
      </c>
      <c r="AT20" s="7">
        <f t="shared" ca="1" si="13"/>
        <v>0.41570035722669174</v>
      </c>
      <c r="AU20" s="7">
        <f ca="1">INDEX($AS$3:$AS$30,MATCH(SMALL($AT$3:$AT$30,ROWS(AT$3:AT20)),$AT$3:$AT$30,0))</f>
        <v>50</v>
      </c>
      <c r="AV20" s="7">
        <f ca="1">SMALL($AS$3:$AS$30,ROWS(AV$3:AV20))</f>
        <v>51</v>
      </c>
      <c r="AW20" s="15">
        <f ca="1">VLOOKUP(SMALL($BB$17:$BB$30,AX20),$BB$17:$BC$30,2,0)</f>
        <v>50</v>
      </c>
      <c r="AX20" s="15">
        <f t="shared" si="23"/>
        <v>9</v>
      </c>
      <c r="BA20" s="15">
        <v>18</v>
      </c>
      <c r="BB20" s="15">
        <f t="shared" ca="1" si="14"/>
        <v>1.0123874688377166E-2</v>
      </c>
      <c r="BC20" s="15">
        <f t="shared" ca="1" si="15"/>
        <v>51</v>
      </c>
    </row>
    <row r="21" spans="1:63" ht="16.5" x14ac:dyDescent="0.3">
      <c r="A21" s="2">
        <v>19</v>
      </c>
      <c r="B21" s="30">
        <v>90</v>
      </c>
      <c r="C21" s="31">
        <v>56</v>
      </c>
      <c r="D21" s="75">
        <v>67</v>
      </c>
      <c r="E21" s="77">
        <v>90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N21" s="18">
        <v>19</v>
      </c>
      <c r="AO21" s="18">
        <f t="shared" ca="1" si="10"/>
        <v>25.741501687294861</v>
      </c>
      <c r="AP21" s="18">
        <f ca="1">SMALL($AO$3:$AO$30,ROWS(AO$3:AO21))</f>
        <v>25.741501687294861</v>
      </c>
      <c r="AQ21" s="39">
        <f t="shared" ca="1" si="11"/>
        <v>2.4261147135231393</v>
      </c>
      <c r="AR21" s="39">
        <f t="shared" si="20"/>
        <v>2</v>
      </c>
      <c r="AS21" s="7">
        <f t="shared" ca="1" si="12"/>
        <v>63</v>
      </c>
      <c r="AT21" s="7">
        <f t="shared" ca="1" si="13"/>
        <v>0.10117453460066606</v>
      </c>
      <c r="AU21" s="7">
        <f ca="1">INDEX($AS$3:$AS$30,MATCH(SMALL($AT$3:$AT$30,ROWS(AT$3:AT21)),$AT$3:$AT$30,0))</f>
        <v>75</v>
      </c>
      <c r="AV21" s="7">
        <f ca="1">SMALL($AS$3:$AS$30,ROWS(AV$3:AV21))</f>
        <v>51</v>
      </c>
      <c r="AW21" s="15">
        <f ca="1">VLOOKUP(SMALL($BB$17:$BB$30,AX21),$BB$17:$BC$30,2,0)</f>
        <v>58</v>
      </c>
      <c r="AX21" s="15">
        <f t="shared" si="23"/>
        <v>10</v>
      </c>
      <c r="BA21" s="15">
        <v>19</v>
      </c>
      <c r="BB21" s="15">
        <f t="shared" ca="1" si="14"/>
        <v>0.88829996357100971</v>
      </c>
      <c r="BC21" s="15">
        <f t="shared" ca="1" si="15"/>
        <v>51</v>
      </c>
    </row>
    <row r="22" spans="1:63" ht="16.5" x14ac:dyDescent="0.3">
      <c r="A22" s="2">
        <v>20</v>
      </c>
      <c r="B22" s="30">
        <v>56</v>
      </c>
      <c r="C22" s="31">
        <v>61</v>
      </c>
      <c r="D22" s="75">
        <v>51</v>
      </c>
      <c r="E22" s="77">
        <v>33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N22" s="18">
        <v>20</v>
      </c>
      <c r="AO22" s="18">
        <f t="shared" ca="1" si="10"/>
        <v>19.568402513374387</v>
      </c>
      <c r="AP22" s="18">
        <f ca="1">SMALL($AO$3:$AO$30,ROWS(AO$3:AO22))</f>
        <v>26.47687688447937</v>
      </c>
      <c r="AQ22" s="39">
        <f t="shared" ca="1" si="11"/>
        <v>1.6049128500942216</v>
      </c>
      <c r="AR22" s="39">
        <f t="shared" si="20"/>
        <v>1</v>
      </c>
      <c r="AS22" s="7">
        <f t="shared" ca="1" si="12"/>
        <v>43</v>
      </c>
      <c r="AT22" s="7">
        <f t="shared" ca="1" si="13"/>
        <v>0.90007928965314765</v>
      </c>
      <c r="AU22" s="7">
        <f ca="1">INDEX($AS$3:$AS$30,MATCH(SMALL($AT$3:$AT$30,ROWS(AT$3:AT22)),$AT$3:$AT$30,0))</f>
        <v>37</v>
      </c>
      <c r="AV22" s="7">
        <f ca="1">SMALL($AS$3:$AS$30,ROWS(AV$3:AV22))</f>
        <v>55</v>
      </c>
      <c r="AW22" s="15">
        <f ca="1">VLOOKUP(SMALL($BB$3:$BB$16,AX22),$BB$3:$BC$30,2,0)</f>
        <v>37</v>
      </c>
      <c r="AX22" s="15">
        <f t="shared" si="23"/>
        <v>10</v>
      </c>
      <c r="BA22" s="15">
        <v>20</v>
      </c>
      <c r="BB22" s="15">
        <f t="shared" ca="1" si="14"/>
        <v>8.5423963979190276E-2</v>
      </c>
      <c r="BC22" s="15">
        <f t="shared" ca="1" si="15"/>
        <v>55</v>
      </c>
    </row>
    <row r="23" spans="1:63" ht="16.5" x14ac:dyDescent="0.3">
      <c r="A23" s="2">
        <v>21</v>
      </c>
      <c r="B23" s="30">
        <v>51</v>
      </c>
      <c r="C23" s="31">
        <v>62</v>
      </c>
      <c r="D23" s="75">
        <v>56</v>
      </c>
      <c r="E23" s="77">
        <v>31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N23" s="18">
        <v>24</v>
      </c>
      <c r="AO23" s="18">
        <f t="shared" ca="1" si="10"/>
        <v>28.335070682917937</v>
      </c>
      <c r="AP23" s="18">
        <f ca="1">SMALL($AO$3:$AO$30,ROWS(AO$3:AO23))</f>
        <v>26.706369829717527</v>
      </c>
      <c r="AQ23" s="39">
        <f t="shared" ca="1" si="11"/>
        <v>1.1455447983299116</v>
      </c>
      <c r="AR23" s="39">
        <f t="shared" si="20"/>
        <v>1</v>
      </c>
      <c r="AS23" s="7">
        <f t="shared" ca="1" si="12"/>
        <v>31</v>
      </c>
      <c r="AT23" s="7">
        <f t="shared" ca="1" si="13"/>
        <v>0.55002853614375169</v>
      </c>
      <c r="AU23" s="7">
        <f ca="1">INDEX($AS$3:$AS$30,MATCH(SMALL($AT$3:$AT$30,ROWS(AT$3:AT23)),$AT$3:$AT$30,0))</f>
        <v>51</v>
      </c>
      <c r="AV23" s="7">
        <f ca="1">SMALL($AS$3:$AS$30,ROWS(AV$3:AV23))</f>
        <v>55</v>
      </c>
      <c r="AW23" s="15">
        <f ca="1">VLOOKUP(SMALL($BB$3:$BB$16,AX23),$BB$3:$BC$30,2,0)</f>
        <v>31</v>
      </c>
      <c r="AX23" s="15">
        <f t="shared" si="23"/>
        <v>11</v>
      </c>
      <c r="BA23" s="15">
        <v>21</v>
      </c>
      <c r="BB23" s="15">
        <f t="shared" ca="1" si="14"/>
        <v>0.48018490025763849</v>
      </c>
      <c r="BC23" s="15">
        <f t="shared" ca="1" si="15"/>
        <v>55</v>
      </c>
    </row>
    <row r="24" spans="1:63" ht="16.5" x14ac:dyDescent="0.3">
      <c r="A24" s="2">
        <v>22</v>
      </c>
      <c r="B24" s="30">
        <v>40</v>
      </c>
      <c r="C24" s="31">
        <v>65</v>
      </c>
      <c r="D24" s="75">
        <v>69</v>
      </c>
      <c r="E24" s="77">
        <v>82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N24" s="18">
        <v>22</v>
      </c>
      <c r="AO24" s="18">
        <f t="shared" ca="1" si="10"/>
        <v>29.981113165752198</v>
      </c>
      <c r="AP24" s="18">
        <f ca="1">SMALL($AO$3:$AO$30,ROWS(AO$3:AO24))</f>
        <v>27.750319692492454</v>
      </c>
      <c r="AQ24" s="39">
        <f t="shared" ca="1" si="11"/>
        <v>1.8017375072576036</v>
      </c>
      <c r="AR24" s="39">
        <f t="shared" si="20"/>
        <v>1.5</v>
      </c>
      <c r="AS24" s="7">
        <f t="shared" ca="1" si="12"/>
        <v>50</v>
      </c>
      <c r="AT24" s="7">
        <f t="shared" ca="1" si="13"/>
        <v>0.14026519657104175</v>
      </c>
      <c r="AU24" s="7">
        <f ca="1">INDEX($AS$3:$AS$30,MATCH(SMALL($AT$3:$AT$30,ROWS(AT$3:AT24)),$AT$3:$AT$30,0))</f>
        <v>38</v>
      </c>
      <c r="AV24" s="7">
        <f ca="1">SMALL($AS$3:$AS$30,ROWS(AV$3:AV24))</f>
        <v>57</v>
      </c>
      <c r="AW24" s="15">
        <f ca="1">VLOOKUP(SMALL($BB$17:$BB$30,AX24),$BB$17:$BC$30,2,0)</f>
        <v>57</v>
      </c>
      <c r="AX24" s="15">
        <f t="shared" si="23"/>
        <v>11</v>
      </c>
      <c r="BA24" s="15">
        <v>22</v>
      </c>
      <c r="BB24" s="15">
        <f t="shared" ca="1" si="14"/>
        <v>0.77322290945789762</v>
      </c>
      <c r="BC24" s="15">
        <f t="shared" ca="1" si="15"/>
        <v>57</v>
      </c>
    </row>
    <row r="25" spans="1:63" ht="16.5" x14ac:dyDescent="0.3">
      <c r="A25" s="2">
        <v>23</v>
      </c>
      <c r="B25" s="30">
        <v>61</v>
      </c>
      <c r="C25" s="31">
        <v>67</v>
      </c>
      <c r="D25" s="75">
        <v>82</v>
      </c>
      <c r="E25" s="77">
        <v>62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N25" s="18">
        <v>23</v>
      </c>
      <c r="AO25" s="18">
        <f t="shared" ca="1" si="10"/>
        <v>31.792792409460255</v>
      </c>
      <c r="AP25" s="18">
        <f ca="1">SMALL($AO$3:$AO$30,ROWS(AO$3:AO25))</f>
        <v>28.335070682917937</v>
      </c>
      <c r="AQ25" s="39">
        <f t="shared" ca="1" si="11"/>
        <v>2.8595415153152919</v>
      </c>
      <c r="AR25" s="39">
        <f t="shared" si="20"/>
        <v>2</v>
      </c>
      <c r="AS25" s="7">
        <f t="shared" ca="1" si="12"/>
        <v>82</v>
      </c>
      <c r="AT25" s="7">
        <f t="shared" ca="1" si="13"/>
        <v>1.8038900579848027E-2</v>
      </c>
      <c r="AU25" s="7">
        <f ca="1">INDEX($AS$3:$AS$30,MATCH(SMALL($AT$3:$AT$30,ROWS(AT$3:AT25)),$AT$3:$AT$30,0))</f>
        <v>26</v>
      </c>
      <c r="AV25" s="7">
        <f ca="1">SMALL($AS$3:$AS$30,ROWS(AV$3:AV25))</f>
        <v>58</v>
      </c>
      <c r="AW25" s="15">
        <f ca="1">VLOOKUP(SMALL($BB$17:$BB$30,AX25),$BB$17:$BC$30,2,0)</f>
        <v>44</v>
      </c>
      <c r="AX25" s="15">
        <f t="shared" si="23"/>
        <v>12</v>
      </c>
      <c r="BA25" s="15">
        <v>23</v>
      </c>
      <c r="BB25" s="15">
        <f t="shared" ca="1" si="14"/>
        <v>0.77284403195812401</v>
      </c>
      <c r="BC25" s="15">
        <f t="shared" ca="1" si="15"/>
        <v>58</v>
      </c>
    </row>
    <row r="26" spans="1:63" ht="16.5" x14ac:dyDescent="0.3">
      <c r="A26" s="2">
        <v>24</v>
      </c>
      <c r="B26" s="30">
        <v>72</v>
      </c>
      <c r="C26" s="31">
        <v>69</v>
      </c>
      <c r="D26" s="75">
        <v>39</v>
      </c>
      <c r="E26" s="77">
        <v>47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N26" s="18">
        <v>25</v>
      </c>
      <c r="AO26" s="18">
        <f t="shared" ca="1" si="10"/>
        <v>20.336050756177865</v>
      </c>
      <c r="AP26" s="18">
        <f ca="1">SMALL($AO$3:$AO$30,ROWS(AO$3:AO26))</f>
        <v>28.597749057232807</v>
      </c>
      <c r="AQ26" s="39">
        <f t="shared" ca="1" si="11"/>
        <v>1.4820488172385184</v>
      </c>
      <c r="AR26" s="39">
        <f t="shared" si="20"/>
        <v>1</v>
      </c>
      <c r="AS26" s="7">
        <f t="shared" ca="1" si="12"/>
        <v>43</v>
      </c>
      <c r="AT26" s="7">
        <f t="shared" ca="1" si="13"/>
        <v>0.2953545728011211</v>
      </c>
      <c r="AU26" s="7">
        <f ca="1">INDEX($AS$3:$AS$30,MATCH(SMALL($AT$3:$AT$30,ROWS(AT$3:AT26)),$AT$3:$AT$30,0))</f>
        <v>42</v>
      </c>
      <c r="AV26" s="7">
        <f ca="1">SMALL($AS$3:$AS$30,ROWS(AV$3:AV26))</f>
        <v>61</v>
      </c>
      <c r="AW26" s="15">
        <f ca="1">VLOOKUP(SMALL($BB$3:$BB$16,AX26),$BB$3:$BC$30,2,0)</f>
        <v>26</v>
      </c>
      <c r="AX26" s="15">
        <f t="shared" si="23"/>
        <v>12</v>
      </c>
      <c r="BA26" s="15">
        <v>24</v>
      </c>
      <c r="BB26" s="15">
        <f t="shared" ca="1" si="14"/>
        <v>0.91027663092413813</v>
      </c>
      <c r="BC26" s="15">
        <f t="shared" ca="1" si="15"/>
        <v>61</v>
      </c>
    </row>
    <row r="27" spans="1:63" ht="16.5" x14ac:dyDescent="0.3">
      <c r="A27" s="2">
        <v>25</v>
      </c>
      <c r="B27" s="30">
        <v>39</v>
      </c>
      <c r="C27" s="31">
        <v>72</v>
      </c>
      <c r="D27" s="75">
        <v>47</v>
      </c>
      <c r="E27" s="77">
        <v>39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8">
        <v>21</v>
      </c>
      <c r="AO27" s="18">
        <f t="shared" ca="1" si="10"/>
        <v>24.971181676215064</v>
      </c>
      <c r="AP27" s="18">
        <f ca="1">SMALL($AO$3:$AO$30,ROWS(AO$3:AO27))</f>
        <v>29.981113165752198</v>
      </c>
      <c r="AQ27" s="39">
        <f t="shared" ca="1" si="11"/>
        <v>1.3890384296602036</v>
      </c>
      <c r="AR27" s="39">
        <f t="shared" si="20"/>
        <v>1</v>
      </c>
      <c r="AS27" s="7">
        <f t="shared" ca="1" si="12"/>
        <v>42</v>
      </c>
      <c r="AT27" s="7">
        <f t="shared" ca="1" si="13"/>
        <v>0.86491946316835921</v>
      </c>
      <c r="AU27" s="7">
        <f ca="1">INDEX($AS$3:$AS$30,MATCH(SMALL($AT$3:$AT$30,ROWS(AT$3:AT27)),$AT$3:$AT$30,0))</f>
        <v>43</v>
      </c>
      <c r="AV27" s="7">
        <f ca="1">SMALL($AS$3:$AS$30,ROWS(AV$3:AV27))</f>
        <v>63</v>
      </c>
      <c r="AW27" s="15">
        <f ca="1">VLOOKUP(SMALL($BB$3:$BB$16,AX27),$BB$3:$BC$30,2,0)</f>
        <v>36</v>
      </c>
      <c r="AX27" s="15">
        <f t="shared" si="23"/>
        <v>13</v>
      </c>
      <c r="BA27" s="15">
        <v>25</v>
      </c>
      <c r="BB27" s="15">
        <f t="shared" ca="1" si="14"/>
        <v>0.61696492017914761</v>
      </c>
      <c r="BC27" s="15">
        <f t="shared" ca="1" si="15"/>
        <v>63</v>
      </c>
    </row>
    <row r="28" spans="1:63" ht="16.5" x14ac:dyDescent="0.3">
      <c r="A28" s="2">
        <v>26</v>
      </c>
      <c r="B28" s="30">
        <v>31</v>
      </c>
      <c r="C28" s="31">
        <v>72</v>
      </c>
      <c r="D28" s="75">
        <v>61</v>
      </c>
      <c r="E28" s="77">
        <v>51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8">
        <v>27</v>
      </c>
      <c r="AO28" s="18">
        <f t="shared" ca="1" si="10"/>
        <v>26.47687688447937</v>
      </c>
      <c r="AP28" s="18">
        <f ca="1">SMALL($AO$3:$AO$30,ROWS(AO$3:AO28))</f>
        <v>30.719007484913039</v>
      </c>
      <c r="AQ28" s="39">
        <f t="shared" ca="1" si="11"/>
        <v>1.6393931392261103</v>
      </c>
      <c r="AR28" s="39">
        <f t="shared" si="20"/>
        <v>1.5</v>
      </c>
      <c r="AS28" s="7">
        <f t="shared" ca="1" si="12"/>
        <v>51</v>
      </c>
      <c r="AT28" s="7">
        <f t="shared" ca="1" si="13"/>
        <v>0.25397761368660443</v>
      </c>
      <c r="AU28" s="7">
        <f ca="1">INDEX($AS$3:$AS$30,MATCH(SMALL($AT$3:$AT$30,ROWS(AT$3:AT28)),$AT$3:$AT$30,0))</f>
        <v>25</v>
      </c>
      <c r="AV28" s="7">
        <f ca="1">SMALL($AS$3:$AS$30,ROWS(AV$3:AV28))</f>
        <v>68</v>
      </c>
      <c r="AW28" s="15">
        <f ca="1">VLOOKUP(SMALL($BB$17:$BB$30,AX28),$BB$17:$BC$30,2,0)</f>
        <v>51</v>
      </c>
      <c r="AX28" s="15">
        <f t="shared" si="23"/>
        <v>13</v>
      </c>
      <c r="BA28" s="15">
        <v>26</v>
      </c>
      <c r="BB28" s="15">
        <f t="shared" ca="1" si="14"/>
        <v>0.63321151030130973</v>
      </c>
      <c r="BC28" s="15">
        <f t="shared" ca="1" si="15"/>
        <v>68</v>
      </c>
    </row>
    <row r="29" spans="1:63" ht="16.5" x14ac:dyDescent="0.3">
      <c r="A29" s="2">
        <v>27</v>
      </c>
      <c r="B29" s="30">
        <v>62</v>
      </c>
      <c r="C29" s="31">
        <v>82</v>
      </c>
      <c r="D29" s="75">
        <v>90</v>
      </c>
      <c r="E29" s="77">
        <v>65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18">
        <v>26</v>
      </c>
      <c r="AO29" s="18">
        <f t="shared" ca="1" si="10"/>
        <v>21.273861220139803</v>
      </c>
      <c r="AP29" s="18">
        <f ca="1">SMALL($AO$3:$AO$30,ROWS(AO$3:AO29))</f>
        <v>31.792792409460255</v>
      </c>
      <c r="AQ29" s="39">
        <f t="shared" ca="1" si="11"/>
        <v>2.332497945847992</v>
      </c>
      <c r="AR29" s="39">
        <f t="shared" si="20"/>
        <v>2</v>
      </c>
      <c r="AS29" s="7">
        <f t="shared" ca="1" si="12"/>
        <v>75</v>
      </c>
      <c r="AT29" s="7">
        <f t="shared" ca="1" si="13"/>
        <v>0.6009883583174398</v>
      </c>
      <c r="AU29" s="7">
        <f ca="1">INDEX($AS$3:$AS$30,MATCH(SMALL($AT$3:$AT$30,ROWS(AT$3:AT29)),$AT$3:$AT$30,0))</f>
        <v>36</v>
      </c>
      <c r="AV29" s="7">
        <f ca="1">SMALL($AS$3:$AS$30,ROWS(AV$3:AV29))</f>
        <v>75</v>
      </c>
      <c r="AW29" s="15">
        <f ca="1">VLOOKUP(SMALL($BB$17:$BB$30,AX29),$BB$17:$BC$30,2,0)</f>
        <v>61</v>
      </c>
      <c r="AX29" s="15">
        <f t="shared" si="23"/>
        <v>14</v>
      </c>
      <c r="BA29" s="15">
        <v>27</v>
      </c>
      <c r="BB29" s="15">
        <f t="shared" ca="1" si="14"/>
        <v>0.61692602641593575</v>
      </c>
      <c r="BC29" s="15">
        <f t="shared" ca="1" si="15"/>
        <v>75</v>
      </c>
    </row>
    <row r="30" spans="1:63" ht="16.5" x14ac:dyDescent="0.3">
      <c r="A30" s="2">
        <v>28</v>
      </c>
      <c r="B30" s="30">
        <v>48</v>
      </c>
      <c r="C30" s="31">
        <v>90</v>
      </c>
      <c r="D30" s="75">
        <v>62</v>
      </c>
      <c r="E30" s="77">
        <v>44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8">
        <v>33</v>
      </c>
      <c r="AO30" s="18">
        <f t="shared" ca="1" si="10"/>
        <v>27.750319692492454</v>
      </c>
      <c r="AP30" s="18">
        <f ca="1">SMALL($AO$3:$AO$30,ROWS(AO$3:AO30))</f>
        <v>34.147822857063971</v>
      </c>
      <c r="AQ30" s="39">
        <f t="shared" ca="1" si="11"/>
        <v>1.4703719562161197</v>
      </c>
      <c r="AR30" s="39">
        <f t="shared" si="20"/>
        <v>1</v>
      </c>
      <c r="AS30" s="7">
        <f t="shared" ca="1" si="12"/>
        <v>51</v>
      </c>
      <c r="AT30" s="7">
        <f t="shared" ca="1" si="13"/>
        <v>0.71639823190083785</v>
      </c>
      <c r="AU30" s="7">
        <f ca="1">INDEX($AS$3:$AS$30,MATCH(SMALL($AT$3:$AT$30,ROWS(AT$3:AT30)),$AT$3:$AT$30,0))</f>
        <v>58</v>
      </c>
      <c r="AV30" s="7">
        <f ca="1">SMALL($AS$3:$AS$30,ROWS(AV$3:AV30))</f>
        <v>82</v>
      </c>
      <c r="AW30" s="15">
        <f ca="1">VLOOKUP(SMALL($BB$3:$BB$16,AX30),$BB$3:$BC$30,2,0)</f>
        <v>39</v>
      </c>
      <c r="AX30" s="15">
        <f t="shared" si="23"/>
        <v>14</v>
      </c>
      <c r="BA30" s="15">
        <v>28</v>
      </c>
      <c r="BB30" s="15">
        <f t="shared" ca="1" si="14"/>
        <v>0.50579799844346141</v>
      </c>
      <c r="BC30" s="15">
        <f t="shared" ca="1" si="15"/>
        <v>82</v>
      </c>
    </row>
    <row r="31" spans="1:63" ht="15" x14ac:dyDescent="0.25">
      <c r="A31"/>
      <c r="B31"/>
      <c r="C31"/>
      <c r="D31"/>
      <c r="E3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/>
      <c r="AO32"/>
      <c r="AP32"/>
      <c r="AQ32"/>
      <c r="AR32"/>
      <c r="AS32" s="60">
        <f ca="1">SUM(AS3:AS30)</f>
        <v>1295</v>
      </c>
      <c r="AT32"/>
      <c r="AU32" s="60">
        <f ca="1">SUM(AU3:AU30)</f>
        <v>1295</v>
      </c>
      <c r="AV32" s="60">
        <f ca="1">SUM(AV3:AV30)</f>
        <v>1295</v>
      </c>
      <c r="AW32" s="60">
        <f ca="1">SUM(AW3:AW30)</f>
        <v>1295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6"/>
      <c r="C35" s="6"/>
      <c r="D35" s="6"/>
      <c r="E35" s="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6"/>
      <c r="C36" s="6"/>
      <c r="D36" s="6"/>
      <c r="E36" s="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6"/>
      <c r="C37" s="6"/>
      <c r="D37" s="6"/>
      <c r="E37" s="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6"/>
      <c r="C38" s="6"/>
      <c r="D38" s="6"/>
      <c r="E38" s="6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6"/>
      <c r="C39" s="6"/>
      <c r="D39" s="6"/>
      <c r="E39" s="6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6"/>
      <c r="C40" s="6"/>
      <c r="D40" s="6"/>
      <c r="E40" s="6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6"/>
      <c r="C41" s="6"/>
      <c r="D41" s="6"/>
      <c r="E41" s="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6"/>
      <c r="C42" s="6"/>
      <c r="D42" s="6"/>
      <c r="E42" s="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6"/>
      <c r="C43" s="6"/>
      <c r="D43" s="6"/>
      <c r="E43" s="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6"/>
      <c r="C44" s="6"/>
      <c r="D44" s="6"/>
      <c r="E44" s="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6"/>
      <c r="C45" s="6"/>
      <c r="D45" s="6"/>
      <c r="E45" s="6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6"/>
      <c r="C46" s="6"/>
      <c r="D46" s="6"/>
      <c r="E46" s="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6"/>
      <c r="C47" s="6"/>
      <c r="D47" s="6"/>
      <c r="E47" s="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6"/>
      <c r="C48" s="6"/>
      <c r="D48" s="6"/>
      <c r="E48" s="6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6"/>
      <c r="C49" s="6"/>
      <c r="D49" s="6"/>
      <c r="E49" s="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6"/>
      <c r="C50" s="6"/>
      <c r="D50" s="6"/>
      <c r="E50" s="6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6"/>
      <c r="C51" s="6"/>
      <c r="D51" s="6"/>
      <c r="E51" s="6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6"/>
      <c r="C52" s="6"/>
      <c r="D52" s="6"/>
      <c r="E52" s="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6"/>
      <c r="C53" s="6"/>
      <c r="D53" s="6"/>
      <c r="E53" s="6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6"/>
      <c r="C54" s="6"/>
      <c r="D54" s="6"/>
      <c r="E54" s="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6"/>
      <c r="C55" s="6"/>
      <c r="D55" s="6"/>
      <c r="E55" s="6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6"/>
      <c r="C56" s="6"/>
      <c r="D56" s="6"/>
      <c r="E56" s="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6"/>
      <c r="C57" s="6"/>
      <c r="D57" s="6"/>
      <c r="E57" s="6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6"/>
      <c r="C58" s="6"/>
      <c r="D58" s="6"/>
      <c r="E58" s="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6"/>
      <c r="C59" s="6"/>
      <c r="D59" s="6"/>
      <c r="E59" s="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6"/>
      <c r="C60" s="6"/>
      <c r="D60" s="6"/>
      <c r="E60" s="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6"/>
      <c r="C61" s="6"/>
      <c r="D61" s="6"/>
      <c r="E61" s="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6"/>
      <c r="C62" s="6"/>
      <c r="D62" s="6"/>
      <c r="E62" s="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/>
      <c r="AQ87"/>
      <c r="AR87"/>
      <c r="AS87"/>
      <c r="AT87"/>
      <c r="AU87"/>
      <c r="AV87" s="6"/>
      <c r="AX87"/>
    </row>
    <row r="88" spans="27:63" ht="17.25" thickBot="1" x14ac:dyDescent="0.35"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/>
      <c r="AQ88"/>
      <c r="AR88"/>
      <c r="AS88" s="60">
        <f ca="1">SUM(AS3:AS86)</f>
        <v>2590</v>
      </c>
      <c r="AT88" s="60">
        <f t="shared" ref="AT88:AW88" ca="1" si="24">SUM(AT3:AT86)</f>
        <v>13.179279742079002</v>
      </c>
      <c r="AU88" s="60">
        <f t="shared" ca="1" si="24"/>
        <v>2590</v>
      </c>
      <c r="AV88" s="60">
        <f t="shared" ca="1" si="24"/>
        <v>2590</v>
      </c>
      <c r="AW88" s="60">
        <f t="shared" ca="1" si="24"/>
        <v>2590</v>
      </c>
      <c r="AX88"/>
    </row>
    <row r="89" spans="27:63" ht="17.25" thickBot="1" x14ac:dyDescent="0.35"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/>
      <c r="AQ89"/>
      <c r="AR89"/>
      <c r="AS89" s="22" t="s">
        <v>41</v>
      </c>
      <c r="AT89" s="7" t="s">
        <v>42</v>
      </c>
      <c r="AU89" s="20" t="s">
        <v>43</v>
      </c>
      <c r="AV89" s="21" t="s">
        <v>19</v>
      </c>
      <c r="AW89" s="15" t="s">
        <v>49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9"/>
      <c r="AR93" s="39"/>
      <c r="AS93"/>
      <c r="AT93"/>
      <c r="AU93"/>
      <c r="AX93"/>
    </row>
    <row r="94" spans="27:63" ht="16.5" x14ac:dyDescent="0.3">
      <c r="AP94"/>
      <c r="AQ94" s="39"/>
      <c r="AR94" s="39"/>
      <c r="AS94"/>
      <c r="AT94"/>
      <c r="AU94"/>
      <c r="AX94"/>
    </row>
    <row r="95" spans="27:63" ht="16.5" x14ac:dyDescent="0.3">
      <c r="AP95"/>
      <c r="AQ95" s="39"/>
      <c r="AR95" s="39"/>
      <c r="AS95"/>
      <c r="AT95"/>
      <c r="AU95"/>
      <c r="AX95"/>
    </row>
    <row r="96" spans="27:63" ht="16.5" x14ac:dyDescent="0.3">
      <c r="AP96"/>
      <c r="AQ96" s="39"/>
      <c r="AR96" s="39"/>
      <c r="AS96"/>
      <c r="AT96"/>
      <c r="AU96"/>
      <c r="AX96"/>
    </row>
    <row r="97" spans="42:50" ht="16.5" x14ac:dyDescent="0.3">
      <c r="AP97"/>
      <c r="AQ97" s="39"/>
      <c r="AR97" s="39"/>
      <c r="AS97"/>
      <c r="AT97"/>
      <c r="AU97"/>
      <c r="AX97"/>
    </row>
    <row r="98" spans="42:50" ht="16.5" x14ac:dyDescent="0.3">
      <c r="AP98"/>
      <c r="AQ98" s="39"/>
      <c r="AR98" s="39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6"/>
      <c r="B126" s="6"/>
      <c r="C126" s="6"/>
      <c r="D126" s="6"/>
      <c r="E126" s="6"/>
      <c r="AP126"/>
      <c r="AQ126"/>
      <c r="AR126"/>
      <c r="AS126"/>
      <c r="AT126"/>
      <c r="AU126"/>
    </row>
    <row r="127" spans="1:47" ht="16.5" x14ac:dyDescent="0.3">
      <c r="A127" s="6"/>
      <c r="B127" s="6"/>
      <c r="C127" s="6"/>
      <c r="D127" s="6"/>
      <c r="E127" s="6"/>
      <c r="AP127"/>
      <c r="AQ127"/>
      <c r="AR127"/>
      <c r="AS127"/>
      <c r="AT127"/>
      <c r="AU127"/>
    </row>
    <row r="128" spans="1:47" ht="16.5" x14ac:dyDescent="0.3">
      <c r="A128" s="6"/>
      <c r="B128" s="6"/>
      <c r="C128" s="6"/>
      <c r="D128" s="6"/>
      <c r="E128" s="6"/>
      <c r="AP128"/>
      <c r="AQ128"/>
      <c r="AR128"/>
      <c r="AS128"/>
      <c r="AT128"/>
      <c r="AU128"/>
    </row>
    <row r="129" spans="1:47" ht="16.5" x14ac:dyDescent="0.3">
      <c r="A129" s="6"/>
      <c r="B129" s="6"/>
      <c r="C129" s="6"/>
      <c r="D129" s="6"/>
      <c r="E129" s="6"/>
      <c r="AP129"/>
      <c r="AQ129"/>
      <c r="AR129"/>
      <c r="AS129"/>
      <c r="AT129"/>
      <c r="AU129"/>
    </row>
    <row r="130" spans="1:47" ht="16.5" x14ac:dyDescent="0.3">
      <c r="A130" s="6"/>
      <c r="B130" s="6"/>
      <c r="C130" s="6"/>
      <c r="D130" s="6"/>
      <c r="E130" s="6"/>
      <c r="AP130"/>
      <c r="AQ130"/>
      <c r="AR130"/>
      <c r="AS130"/>
      <c r="AT130"/>
      <c r="AU130"/>
    </row>
    <row r="131" spans="1:47" ht="16.5" x14ac:dyDescent="0.3">
      <c r="A131" s="6"/>
      <c r="B131" s="6"/>
      <c r="C131" s="6"/>
      <c r="D131" s="6"/>
      <c r="E131" s="6"/>
      <c r="AP131"/>
      <c r="AQ131"/>
      <c r="AR131"/>
      <c r="AS131"/>
      <c r="AT131"/>
      <c r="AU131"/>
    </row>
    <row r="132" spans="1:47" ht="16.5" x14ac:dyDescent="0.3">
      <c r="A132" s="6"/>
      <c r="B132" s="6"/>
      <c r="C132" s="6"/>
      <c r="D132" s="6"/>
      <c r="E132" s="6"/>
      <c r="AP132"/>
      <c r="AQ132"/>
      <c r="AR132"/>
      <c r="AS132"/>
      <c r="AT132"/>
      <c r="AU132"/>
    </row>
    <row r="133" spans="1:47" ht="16.5" x14ac:dyDescent="0.3">
      <c r="A133" s="6"/>
      <c r="B133" s="6"/>
      <c r="C133" s="6"/>
      <c r="D133" s="6"/>
      <c r="E133" s="6"/>
      <c r="AP133"/>
      <c r="AQ133"/>
      <c r="AR133"/>
      <c r="AS133"/>
      <c r="AT133"/>
      <c r="AU133"/>
    </row>
    <row r="134" spans="1:47" ht="16.5" x14ac:dyDescent="0.3">
      <c r="A134" s="6"/>
      <c r="B134" s="6"/>
      <c r="C134" s="6"/>
      <c r="D134" s="6"/>
      <c r="E134" s="6"/>
      <c r="AP134"/>
      <c r="AQ134"/>
      <c r="AR134"/>
      <c r="AS134"/>
      <c r="AT134"/>
      <c r="AU134"/>
    </row>
    <row r="135" spans="1:47" ht="16.5" x14ac:dyDescent="0.3">
      <c r="A135" s="6"/>
      <c r="B135" s="6"/>
      <c r="C135" s="6"/>
      <c r="D135" s="6"/>
      <c r="E135" s="6"/>
      <c r="AP135"/>
      <c r="AQ135"/>
      <c r="AR135"/>
      <c r="AS135"/>
      <c r="AT135"/>
      <c r="AU135"/>
    </row>
    <row r="136" spans="1:47" ht="16.5" x14ac:dyDescent="0.3">
      <c r="A136" s="6"/>
      <c r="B136" s="6"/>
      <c r="C136" s="6"/>
      <c r="D136" s="6"/>
      <c r="E136" s="6"/>
      <c r="AP136"/>
      <c r="AQ136"/>
      <c r="AR136"/>
      <c r="AS136"/>
      <c r="AT136"/>
      <c r="AU136"/>
    </row>
    <row r="137" spans="1:47" ht="16.5" x14ac:dyDescent="0.3">
      <c r="A137" s="6"/>
      <c r="B137" s="6"/>
      <c r="C137" s="6"/>
      <c r="D137" s="6"/>
      <c r="E137" s="6"/>
      <c r="AP137"/>
      <c r="AQ137"/>
      <c r="AR137"/>
      <c r="AS137"/>
      <c r="AT137"/>
      <c r="AU137"/>
    </row>
    <row r="138" spans="1:47" ht="16.5" x14ac:dyDescent="0.3">
      <c r="A138" s="6"/>
      <c r="B138" s="6"/>
      <c r="C138" s="6"/>
      <c r="D138" s="6"/>
      <c r="E138" s="6"/>
      <c r="AP138"/>
      <c r="AQ138"/>
      <c r="AR138"/>
      <c r="AS138"/>
      <c r="AT138"/>
      <c r="AU138"/>
    </row>
    <row r="139" spans="1:47" ht="16.5" x14ac:dyDescent="0.3">
      <c r="A139" s="6"/>
      <c r="B139" s="6"/>
      <c r="C139" s="6"/>
      <c r="D139" s="6"/>
      <c r="E139" s="6"/>
      <c r="AP139"/>
      <c r="AQ139"/>
      <c r="AR139"/>
      <c r="AS139"/>
      <c r="AT139"/>
      <c r="AU139"/>
    </row>
    <row r="140" spans="1:47" ht="16.5" x14ac:dyDescent="0.3">
      <c r="A140" s="6"/>
      <c r="B140" s="6"/>
      <c r="C140" s="6"/>
      <c r="D140" s="6"/>
      <c r="E140" s="6"/>
      <c r="AP140"/>
      <c r="AQ140"/>
      <c r="AR140"/>
      <c r="AS140"/>
      <c r="AT140"/>
      <c r="AU140"/>
    </row>
    <row r="141" spans="1:47" ht="16.5" x14ac:dyDescent="0.3">
      <c r="A141" s="6"/>
      <c r="B141" s="6"/>
      <c r="C141" s="6"/>
      <c r="D141" s="6"/>
      <c r="E141" s="6"/>
      <c r="AP141"/>
      <c r="AQ141"/>
      <c r="AR141"/>
      <c r="AS141"/>
      <c r="AT141"/>
      <c r="AU141"/>
    </row>
    <row r="142" spans="1:47" ht="16.5" x14ac:dyDescent="0.3">
      <c r="A142" s="6"/>
      <c r="B142" s="6"/>
      <c r="C142" s="6"/>
      <c r="D142" s="6"/>
      <c r="E142" s="6"/>
      <c r="AP142"/>
      <c r="AQ142"/>
      <c r="AR142"/>
      <c r="AS142"/>
      <c r="AT142"/>
      <c r="AU142"/>
    </row>
    <row r="143" spans="1:47" ht="16.5" x14ac:dyDescent="0.3">
      <c r="A143" s="6"/>
      <c r="B143" s="6"/>
      <c r="C143" s="6"/>
      <c r="D143" s="6"/>
      <c r="E143" s="6"/>
      <c r="AP143"/>
      <c r="AQ143"/>
      <c r="AR143"/>
      <c r="AS143"/>
      <c r="AT143"/>
      <c r="AU143"/>
    </row>
    <row r="144" spans="1:47" ht="16.5" x14ac:dyDescent="0.3">
      <c r="A144" s="6"/>
      <c r="B144" s="6"/>
      <c r="C144" s="6"/>
      <c r="D144" s="6"/>
      <c r="E144" s="6"/>
      <c r="AP144"/>
      <c r="AQ144"/>
      <c r="AR144"/>
      <c r="AS144"/>
      <c r="AT144"/>
      <c r="AU144"/>
    </row>
    <row r="145" spans="1:47" ht="16.5" x14ac:dyDescent="0.3">
      <c r="A145" s="6"/>
      <c r="B145" s="6"/>
      <c r="C145" s="6"/>
      <c r="D145" s="6"/>
      <c r="E145" s="6"/>
      <c r="AP145"/>
      <c r="AQ145"/>
      <c r="AR145"/>
      <c r="AS145"/>
      <c r="AT145"/>
      <c r="AU145"/>
    </row>
    <row r="146" spans="1:47" ht="16.5" x14ac:dyDescent="0.3">
      <c r="A146" s="6"/>
      <c r="B146" s="6"/>
      <c r="C146" s="6"/>
      <c r="D146" s="6"/>
      <c r="E146" s="6"/>
      <c r="AP146"/>
      <c r="AQ146"/>
      <c r="AR146"/>
      <c r="AS146"/>
      <c r="AT146"/>
      <c r="AU146"/>
    </row>
    <row r="147" spans="1:47" ht="16.5" x14ac:dyDescent="0.3">
      <c r="A147" s="6"/>
      <c r="B147" s="6"/>
      <c r="C147" s="6"/>
      <c r="D147" s="6"/>
      <c r="E147" s="6"/>
      <c r="AP147"/>
      <c r="AQ147"/>
      <c r="AR147"/>
      <c r="AS147"/>
      <c r="AT147"/>
      <c r="AU147"/>
    </row>
    <row r="148" spans="1:47" ht="16.5" x14ac:dyDescent="0.3">
      <c r="A148" s="6"/>
      <c r="B148" s="6"/>
      <c r="C148" s="6"/>
      <c r="D148" s="6"/>
      <c r="E148" s="6"/>
      <c r="AP148"/>
      <c r="AQ148"/>
      <c r="AR148"/>
      <c r="AS148"/>
      <c r="AT148"/>
      <c r="AU148"/>
    </row>
    <row r="149" spans="1:47" ht="16.5" x14ac:dyDescent="0.3">
      <c r="A149" s="6"/>
      <c r="B149" s="6"/>
      <c r="C149" s="6"/>
      <c r="D149" s="6"/>
      <c r="E149" s="6"/>
      <c r="AP149"/>
      <c r="AQ149"/>
      <c r="AR149"/>
      <c r="AS149"/>
      <c r="AT149"/>
      <c r="AU149"/>
    </row>
    <row r="150" spans="1:47" ht="16.5" x14ac:dyDescent="0.3">
      <c r="A150" s="6"/>
      <c r="B150" s="6"/>
      <c r="C150" s="6"/>
      <c r="D150" s="6"/>
      <c r="E150" s="6"/>
      <c r="AP150"/>
      <c r="AQ150"/>
      <c r="AR150"/>
      <c r="AS150"/>
      <c r="AT150"/>
      <c r="AU150"/>
    </row>
    <row r="151" spans="1:47" ht="16.5" x14ac:dyDescent="0.3">
      <c r="A151" s="6"/>
      <c r="B151" s="6"/>
      <c r="C151" s="6"/>
      <c r="D151" s="6"/>
      <c r="E151" s="6"/>
      <c r="AP151"/>
      <c r="AQ151"/>
      <c r="AR151"/>
      <c r="AS151"/>
      <c r="AT151"/>
      <c r="AU151"/>
    </row>
    <row r="152" spans="1:47" ht="16.5" x14ac:dyDescent="0.3">
      <c r="A152" s="6"/>
      <c r="B152" s="6"/>
      <c r="C152" s="6"/>
      <c r="D152" s="6"/>
      <c r="E152" s="6"/>
      <c r="AP152"/>
      <c r="AQ152"/>
      <c r="AR152"/>
      <c r="AS152"/>
      <c r="AT152"/>
      <c r="AU152"/>
    </row>
    <row r="153" spans="1:47" ht="16.5" x14ac:dyDescent="0.3">
      <c r="A153" s="6"/>
      <c r="B153" s="6"/>
      <c r="C153" s="6"/>
      <c r="D153" s="6"/>
      <c r="E153" s="6"/>
      <c r="AP153"/>
      <c r="AQ153"/>
      <c r="AR153"/>
      <c r="AS153"/>
      <c r="AT153"/>
      <c r="AU153"/>
    </row>
    <row r="154" spans="1:47" ht="16.5" x14ac:dyDescent="0.3">
      <c r="A154" s="6"/>
      <c r="B154" s="6"/>
      <c r="C154" s="6"/>
      <c r="D154" s="6"/>
      <c r="E154" s="6"/>
      <c r="AP154"/>
      <c r="AQ154"/>
      <c r="AR154"/>
      <c r="AS154"/>
      <c r="AT154"/>
      <c r="AU154"/>
    </row>
    <row r="155" spans="1:47" ht="16.5" x14ac:dyDescent="0.3">
      <c r="A155" s="6"/>
      <c r="B155" s="6"/>
      <c r="C155" s="6"/>
      <c r="D155" s="6"/>
      <c r="E155" s="6"/>
      <c r="AP155"/>
      <c r="AQ155"/>
      <c r="AR155"/>
      <c r="AS155"/>
      <c r="AT155"/>
      <c r="AU155"/>
    </row>
    <row r="156" spans="1:47" ht="16.5" x14ac:dyDescent="0.3">
      <c r="A156" s="6"/>
      <c r="B156" s="6"/>
      <c r="C156" s="6"/>
      <c r="D156" s="6"/>
      <c r="E156" s="6"/>
      <c r="AP156"/>
      <c r="AQ156"/>
      <c r="AR156"/>
      <c r="AS156"/>
      <c r="AT156"/>
      <c r="AU156"/>
    </row>
    <row r="157" spans="1:47" ht="16.5" x14ac:dyDescent="0.3">
      <c r="A157" s="6"/>
      <c r="B157" s="6"/>
      <c r="C157" s="6"/>
      <c r="D157" s="6"/>
      <c r="E157" s="6"/>
      <c r="AP157"/>
      <c r="AQ157"/>
      <c r="AR157"/>
      <c r="AS157"/>
      <c r="AT157"/>
      <c r="AU157"/>
    </row>
    <row r="158" spans="1:47" ht="16.5" x14ac:dyDescent="0.3">
      <c r="A158" s="6"/>
      <c r="B158" s="6"/>
      <c r="C158" s="6"/>
      <c r="D158" s="6"/>
      <c r="E158" s="6"/>
      <c r="AP158"/>
      <c r="AQ158"/>
      <c r="AR158"/>
      <c r="AS158"/>
      <c r="AT158"/>
      <c r="AU158"/>
    </row>
    <row r="159" spans="1:47" ht="16.5" x14ac:dyDescent="0.3">
      <c r="A159" s="6"/>
      <c r="B159" s="6"/>
      <c r="C159" s="6"/>
      <c r="D159" s="6"/>
      <c r="E159" s="6"/>
      <c r="AP159"/>
      <c r="AQ159"/>
      <c r="AR159"/>
      <c r="AS159"/>
      <c r="AT159"/>
      <c r="AU159"/>
    </row>
    <row r="160" spans="1:47" ht="16.5" x14ac:dyDescent="0.3">
      <c r="A160" s="6"/>
      <c r="B160" s="6"/>
      <c r="C160" s="6"/>
      <c r="D160" s="6"/>
      <c r="E160" s="6"/>
      <c r="AP160"/>
      <c r="AQ160"/>
      <c r="AR160"/>
      <c r="AS160"/>
      <c r="AT160"/>
      <c r="AU160"/>
    </row>
    <row r="161" spans="1:47" ht="16.5" x14ac:dyDescent="0.3">
      <c r="A161" s="6"/>
      <c r="B161" s="6"/>
      <c r="C161" s="6"/>
      <c r="D161" s="6"/>
      <c r="E161" s="6"/>
      <c r="AP161"/>
      <c r="AQ161"/>
      <c r="AR161"/>
      <c r="AS161"/>
      <c r="AT161"/>
      <c r="AU161"/>
    </row>
    <row r="162" spans="1:47" ht="16.5" x14ac:dyDescent="0.3">
      <c r="A162" s="6"/>
      <c r="B162" s="6"/>
      <c r="C162" s="6"/>
      <c r="D162" s="6"/>
      <c r="E162" s="6"/>
      <c r="AP162"/>
      <c r="AQ162"/>
      <c r="AR162"/>
      <c r="AS162"/>
      <c r="AT162"/>
      <c r="AU162"/>
    </row>
    <row r="163" spans="1:47" ht="16.5" x14ac:dyDescent="0.3">
      <c r="A163" s="6"/>
      <c r="B163" s="6"/>
      <c r="C163" s="6"/>
      <c r="D163" s="6"/>
      <c r="E163" s="6"/>
      <c r="AP163"/>
      <c r="AQ163"/>
      <c r="AR163"/>
      <c r="AS163"/>
      <c r="AT163"/>
      <c r="AU163"/>
    </row>
    <row r="164" spans="1:47" ht="16.5" x14ac:dyDescent="0.3">
      <c r="A164" s="6"/>
      <c r="B164" s="6"/>
      <c r="C164" s="6"/>
      <c r="D164" s="6"/>
      <c r="E164" s="6"/>
      <c r="AP164"/>
      <c r="AQ164"/>
      <c r="AR164"/>
      <c r="AS164"/>
      <c r="AT164"/>
      <c r="AU164"/>
    </row>
    <row r="165" spans="1:47" ht="16.5" x14ac:dyDescent="0.3">
      <c r="A165" s="6"/>
      <c r="B165" s="6"/>
      <c r="C165" s="6"/>
      <c r="D165" s="6"/>
      <c r="E165" s="6"/>
      <c r="AP165"/>
      <c r="AQ165"/>
      <c r="AR165"/>
      <c r="AS165"/>
      <c r="AT165"/>
      <c r="AU165"/>
    </row>
    <row r="166" spans="1:47" ht="16.5" x14ac:dyDescent="0.3">
      <c r="A166" s="6"/>
      <c r="B166" s="6"/>
      <c r="C166" s="6"/>
      <c r="D166" s="6"/>
      <c r="E166" s="6"/>
      <c r="AP166"/>
      <c r="AQ166"/>
      <c r="AR166"/>
      <c r="AS166"/>
      <c r="AT166"/>
      <c r="AU166"/>
    </row>
    <row r="167" spans="1:47" ht="16.5" x14ac:dyDescent="0.3">
      <c r="A167" s="6"/>
      <c r="B167" s="6"/>
      <c r="C167" s="6"/>
      <c r="D167" s="6"/>
      <c r="E167" s="6"/>
      <c r="AP167"/>
      <c r="AQ167"/>
      <c r="AR167"/>
      <c r="AS167"/>
      <c r="AT167"/>
      <c r="AU167"/>
    </row>
    <row r="168" spans="1:47" ht="16.5" x14ac:dyDescent="0.3">
      <c r="A168" s="6"/>
      <c r="B168" s="6"/>
      <c r="C168" s="6"/>
      <c r="D168" s="6"/>
      <c r="E168" s="6"/>
      <c r="AP168"/>
      <c r="AQ168"/>
      <c r="AR168"/>
      <c r="AS168"/>
      <c r="AT168"/>
      <c r="AU168"/>
    </row>
    <row r="169" spans="1:47" ht="16.5" x14ac:dyDescent="0.3">
      <c r="A169" s="6"/>
      <c r="B169" s="6"/>
      <c r="C169" s="6"/>
      <c r="D169" s="6"/>
      <c r="E169" s="6"/>
      <c r="AP169"/>
      <c r="AQ169"/>
      <c r="AR169"/>
      <c r="AS169"/>
      <c r="AT169"/>
      <c r="AU169"/>
    </row>
    <row r="170" spans="1:47" ht="16.5" x14ac:dyDescent="0.3">
      <c r="A170" s="6"/>
      <c r="B170" s="6"/>
      <c r="C170" s="6"/>
      <c r="D170" s="6"/>
      <c r="E170" s="6"/>
      <c r="AP170"/>
      <c r="AQ170"/>
      <c r="AR170"/>
      <c r="AS170"/>
      <c r="AT170"/>
      <c r="AU170"/>
    </row>
    <row r="171" spans="1:47" ht="16.5" x14ac:dyDescent="0.3">
      <c r="A171" s="6"/>
      <c r="B171" s="6"/>
      <c r="C171" s="6"/>
      <c r="D171" s="6"/>
      <c r="E171" s="6"/>
      <c r="AP171"/>
      <c r="AQ171"/>
      <c r="AR171"/>
      <c r="AS171"/>
      <c r="AT171"/>
      <c r="AU171"/>
    </row>
    <row r="172" spans="1:47" ht="16.5" x14ac:dyDescent="0.3">
      <c r="A172" s="6"/>
      <c r="B172" s="6"/>
      <c r="C172" s="6"/>
      <c r="D172" s="6"/>
      <c r="E172" s="6"/>
      <c r="AP172"/>
      <c r="AQ172"/>
      <c r="AR172"/>
      <c r="AS172"/>
      <c r="AT172"/>
      <c r="AU172"/>
    </row>
    <row r="173" spans="1:47" ht="16.5" x14ac:dyDescent="0.3">
      <c r="A173" s="6"/>
      <c r="B173" s="6"/>
      <c r="C173" s="6"/>
      <c r="D173" s="6"/>
      <c r="E173" s="6"/>
      <c r="AP173"/>
      <c r="AQ173"/>
      <c r="AR173"/>
      <c r="AS173"/>
      <c r="AT173"/>
      <c r="AU173"/>
    </row>
    <row r="174" spans="1:47" ht="16.5" x14ac:dyDescent="0.3">
      <c r="A174" s="6"/>
      <c r="B174" s="6"/>
      <c r="C174" s="6"/>
      <c r="D174" s="6"/>
      <c r="E174" s="6"/>
      <c r="AP174"/>
      <c r="AQ174"/>
      <c r="AR174"/>
      <c r="AS174"/>
      <c r="AT174"/>
      <c r="AU174"/>
    </row>
    <row r="175" spans="1:47" ht="16.5" x14ac:dyDescent="0.3">
      <c r="A175" s="6"/>
      <c r="B175" s="6"/>
      <c r="C175" s="6"/>
      <c r="D175" s="6"/>
      <c r="E175" s="6"/>
      <c r="AP175"/>
      <c r="AQ175"/>
      <c r="AR175"/>
      <c r="AS175"/>
      <c r="AT175"/>
      <c r="AU175"/>
    </row>
    <row r="176" spans="1:47" ht="16.5" x14ac:dyDescent="0.3">
      <c r="A176" s="6"/>
      <c r="B176" s="6"/>
      <c r="C176" s="6"/>
      <c r="D176" s="6"/>
      <c r="E176" s="6"/>
      <c r="AP176"/>
      <c r="AQ176"/>
      <c r="AR176"/>
      <c r="AS176"/>
      <c r="AT176"/>
      <c r="AU176"/>
    </row>
    <row r="177" spans="1:47" ht="16.5" x14ac:dyDescent="0.3">
      <c r="A177" s="6"/>
      <c r="B177" s="6"/>
      <c r="C177" s="6"/>
      <c r="D177" s="6"/>
      <c r="E177" s="6"/>
      <c r="AP177"/>
      <c r="AQ177"/>
      <c r="AR177"/>
      <c r="AS177"/>
      <c r="AT177"/>
      <c r="AU177"/>
    </row>
    <row r="178" spans="1:47" ht="16.5" x14ac:dyDescent="0.3">
      <c r="A178" s="6"/>
      <c r="B178" s="6"/>
      <c r="C178" s="6"/>
      <c r="D178" s="6"/>
      <c r="E178" s="6"/>
      <c r="AP178"/>
      <c r="AQ178"/>
      <c r="AR178"/>
      <c r="AS178"/>
      <c r="AT178"/>
      <c r="AU178"/>
    </row>
    <row r="179" spans="1:47" ht="16.5" x14ac:dyDescent="0.3">
      <c r="A179" s="6"/>
      <c r="B179" s="6"/>
      <c r="C179" s="6"/>
      <c r="D179" s="6"/>
      <c r="E179" s="6"/>
      <c r="AP179"/>
      <c r="AQ179"/>
      <c r="AR179"/>
      <c r="AS179"/>
      <c r="AT179"/>
      <c r="AU179"/>
    </row>
    <row r="180" spans="1:47" ht="16.5" x14ac:dyDescent="0.3">
      <c r="A180" s="6"/>
      <c r="B180" s="6"/>
      <c r="C180" s="6"/>
      <c r="D180" s="6"/>
      <c r="E180" s="6"/>
      <c r="AP180"/>
      <c r="AQ180"/>
      <c r="AR180"/>
      <c r="AS180"/>
      <c r="AT180"/>
      <c r="AU180"/>
    </row>
    <row r="181" spans="1:47" ht="16.5" x14ac:dyDescent="0.3">
      <c r="A181" s="6"/>
      <c r="B181" s="6"/>
      <c r="C181" s="6"/>
      <c r="D181" s="6"/>
      <c r="E181" s="6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sheetPr>
    <tabColor rgb="FFFFFF00"/>
  </sheetPr>
  <dimension ref="A1:BH300"/>
  <sheetViews>
    <sheetView tabSelected="1" zoomScale="96" zoomScaleNormal="96" workbookViewId="0">
      <selection activeCell="B9" sqref="B9"/>
    </sheetView>
  </sheetViews>
  <sheetFormatPr defaultColWidth="9.140625" defaultRowHeight="15" x14ac:dyDescent="0.25"/>
  <cols>
    <col min="1" max="1" width="4.5703125" style="15" bestFit="1" customWidth="1"/>
    <col min="2" max="2" width="11.140625" style="15" customWidth="1"/>
    <col min="3" max="4" width="9.7109375" style="15" customWidth="1"/>
    <col min="5" max="5" width="11" style="15" bestFit="1" customWidth="1"/>
    <col min="6" max="6" width="12.42578125" style="15" bestFit="1" customWidth="1"/>
    <col min="7" max="8" width="9.7109375" style="15" customWidth="1"/>
    <col min="9" max="9" width="9.140625" style="15"/>
    <col min="10" max="10" width="4.28515625" style="15" customWidth="1"/>
    <col min="11" max="11" width="32.28515625" style="15" bestFit="1" customWidth="1"/>
    <col min="12" max="12" width="46.5703125" style="15" bestFit="1" customWidth="1"/>
    <col min="13" max="13" width="33.5703125" style="15" bestFit="1" customWidth="1"/>
    <col min="14" max="14" width="31.42578125" bestFit="1" customWidth="1"/>
    <col min="15" max="15" width="10" style="15" bestFit="1" customWidth="1"/>
    <col min="16" max="16" width="9.28515625" style="15" bestFit="1" customWidth="1"/>
    <col min="17" max="17" width="10.42578125" style="15" bestFit="1" customWidth="1"/>
    <col min="18" max="18" width="9.28515625" style="15" bestFit="1" customWidth="1"/>
    <col min="19" max="20" width="9.140625" style="15"/>
    <col min="21" max="21" width="9.28515625" style="15" bestFit="1" customWidth="1"/>
    <col min="22" max="32" width="9.140625" style="15"/>
    <col min="33" max="33" width="9.140625" style="15" customWidth="1"/>
    <col min="34" max="36" width="9.140625" style="1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15"/>
  </cols>
  <sheetData>
    <row r="1" spans="1:60" ht="21.75" thickBot="1" x14ac:dyDescent="0.4">
      <c r="K1" s="187" t="s">
        <v>138</v>
      </c>
      <c r="L1" s="186" t="s">
        <v>139</v>
      </c>
      <c r="O1" s="15" t="s">
        <v>38</v>
      </c>
      <c r="P1" s="81" t="s">
        <v>71</v>
      </c>
      <c r="Q1" s="55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70" t="s">
        <v>4</v>
      </c>
      <c r="B2" s="71" t="s">
        <v>74</v>
      </c>
      <c r="C2" s="58" t="s">
        <v>25</v>
      </c>
      <c r="D2" s="58" t="s">
        <v>19</v>
      </c>
      <c r="E2" s="58" t="s">
        <v>56</v>
      </c>
      <c r="F2" s="1" t="s">
        <v>51</v>
      </c>
      <c r="G2" s="1" t="s">
        <v>3</v>
      </c>
      <c r="H2" s="1" t="s">
        <v>52</v>
      </c>
      <c r="I2" s="1" t="s">
        <v>53</v>
      </c>
      <c r="J2" s="15"/>
      <c r="K2" s="15"/>
      <c r="L2" s="15"/>
      <c r="M2" s="15"/>
      <c r="O2" s="15" t="s">
        <v>69</v>
      </c>
      <c r="P2" s="82" t="s">
        <v>70</v>
      </c>
      <c r="Q2" s="143">
        <v>0.5</v>
      </c>
      <c r="R2" s="15"/>
      <c r="S2" s="15"/>
    </row>
    <row r="3" spans="1:60" customFormat="1" ht="16.5" x14ac:dyDescent="0.3">
      <c r="A3" s="58">
        <v>0</v>
      </c>
      <c r="B3" s="23"/>
      <c r="C3" s="139">
        <f>AVERAGE(B4:B7)</f>
        <v>28.5</v>
      </c>
      <c r="D3" s="140">
        <f>(AVERAGE(B28:B31)-AVERAGE(B4:B7))/(A31-Q1)</f>
        <v>1.4895833333333333</v>
      </c>
      <c r="E3" s="72"/>
      <c r="F3" s="47"/>
      <c r="G3" s="47"/>
      <c r="H3" s="47"/>
      <c r="I3" s="47"/>
      <c r="J3" s="1"/>
      <c r="K3" s="144" t="str">
        <f ca="1">_xlfn.FORMULATEXT(C3)</f>
        <v>=AVERAGE(B4:B7)</v>
      </c>
      <c r="L3" s="146" t="str">
        <f ca="1">_xlfn.FORMULATEXT(D3)</f>
        <v>=(AVERAGE(B28:B31)-AVERAGE(B4:B7))/(A31-Q1)</v>
      </c>
      <c r="M3" s="83"/>
      <c r="O3" s="15" t="s">
        <v>67</v>
      </c>
      <c r="P3" s="82" t="s">
        <v>72</v>
      </c>
      <c r="Q3" s="83">
        <v>0.5</v>
      </c>
      <c r="R3" s="15"/>
      <c r="S3" s="15"/>
      <c r="AH3" s="15"/>
      <c r="AI3" s="15"/>
      <c r="AJ3" s="15"/>
      <c r="BD3" s="15"/>
      <c r="BE3" s="15"/>
      <c r="BF3" s="15"/>
      <c r="BG3" s="15"/>
      <c r="BH3" s="15"/>
    </row>
    <row r="4" spans="1:60" customFormat="1" ht="16.5" x14ac:dyDescent="0.3">
      <c r="A4" s="32">
        <v>1</v>
      </c>
      <c r="B4" s="79">
        <v>21</v>
      </c>
      <c r="C4" s="149">
        <f t="shared" ref="C4:C10" si="0">(1-$Q$2)*(C3+D3)+$Q$2*B4/E4</f>
        <v>29.244791666666664</v>
      </c>
      <c r="D4" s="151">
        <f t="shared" ref="D4:D31" si="1">(1-$Q$3)*D3+$Q$3*(C4-C3)</f>
        <v>1.1171874999999987</v>
      </c>
      <c r="E4" s="154">
        <f>B4/AVERAGE($B$4:$B$7)</f>
        <v>0.73684210526315785</v>
      </c>
      <c r="F4" s="142">
        <f>(C3+D3)*E4</f>
        <v>22.097587719298243</v>
      </c>
      <c r="G4" s="65">
        <f t="shared" ref="G4:G31" si="2">B4-F4</f>
        <v>-1.0975877192982431</v>
      </c>
      <c r="H4" s="65">
        <f>G4^2</f>
        <v>1.2046988015543187</v>
      </c>
      <c r="I4" s="65">
        <f>AVERAGE(H4:H$4)</f>
        <v>1.2046988015543187</v>
      </c>
      <c r="J4" s="85"/>
      <c r="K4" s="148" t="str">
        <f ca="1">_xlfn.FORMULATEXT(C4)</f>
        <v>=(1-$Q$2)*(C3+D3)+$Q$2*B4/E4</v>
      </c>
      <c r="L4" s="152" t="str">
        <f ca="1">_xlfn.FORMULATEXT(D4)</f>
        <v>=(1-$Q$3)*D3+$Q$3*(C4-C3)</v>
      </c>
      <c r="M4" s="153" t="str">
        <f ca="1">_xlfn.FORMULATEXT(E4)</f>
        <v>=B4/AVERAGE($B$4:$B$7)</v>
      </c>
      <c r="O4" s="15" t="s">
        <v>68</v>
      </c>
      <c r="P4" s="82" t="s">
        <v>73</v>
      </c>
      <c r="Q4" s="80">
        <v>0.5</v>
      </c>
      <c r="R4" s="15"/>
      <c r="S4" s="15"/>
      <c r="AH4" s="15"/>
      <c r="AI4" s="15"/>
      <c r="AJ4" s="15"/>
      <c r="BD4" s="15"/>
      <c r="BE4" s="15"/>
      <c r="BF4" s="15"/>
      <c r="BG4" s="15"/>
      <c r="BH4" s="15"/>
    </row>
    <row r="5" spans="1:60" customFormat="1" ht="16.5" x14ac:dyDescent="0.3">
      <c r="A5" s="32">
        <v>2</v>
      </c>
      <c r="B5" s="79">
        <v>27</v>
      </c>
      <c r="C5" s="73">
        <f t="shared" si="0"/>
        <v>29.430989583333332</v>
      </c>
      <c r="D5" s="84">
        <f>(1-$Q$3)*D4+$Q$3*(C5-C4)</f>
        <v>0.65169270833333326</v>
      </c>
      <c r="E5" s="154">
        <f>B5/AVERAGE($B$4:$B$7)</f>
        <v>0.94736842105263153</v>
      </c>
      <c r="F5" s="142">
        <f t="shared" ref="F5:F31" si="3">(C4+D4)*E5</f>
        <v>28.76398026315789</v>
      </c>
      <c r="G5" s="65">
        <f t="shared" si="2"/>
        <v>-1.7639802631578902</v>
      </c>
      <c r="H5" s="65">
        <f t="shared" ref="H5:H31" si="4">G5^2</f>
        <v>3.1116263688105796</v>
      </c>
      <c r="I5" s="65">
        <f>AVERAGE(H$4:H5)</f>
        <v>2.1581625851824491</v>
      </c>
      <c r="J5" s="85"/>
      <c r="K5" s="147"/>
      <c r="L5" s="147"/>
      <c r="M5" s="153" t="str">
        <f t="shared" ref="M5:M8" ca="1" si="5">_xlfn.FORMULATEXT(E5)</f>
        <v>=B5/AVERAGE($B$4:$B$7)</v>
      </c>
      <c r="O5" s="85"/>
      <c r="AH5" s="15"/>
      <c r="AI5" s="15"/>
      <c r="AJ5" s="15"/>
      <c r="BD5" s="15"/>
      <c r="BE5" s="15"/>
      <c r="BF5" s="15"/>
      <c r="BG5" s="15"/>
      <c r="BH5" s="15"/>
    </row>
    <row r="6" spans="1:60" customFormat="1" ht="16.5" x14ac:dyDescent="0.3">
      <c r="A6" s="32">
        <v>3</v>
      </c>
      <c r="B6" s="79">
        <v>38</v>
      </c>
      <c r="C6" s="73">
        <f t="shared" si="0"/>
        <v>29.291341145833332</v>
      </c>
      <c r="D6" s="84">
        <f t="shared" ref="D6:D8" si="6">(1-$Q$3)*D5+$Q$3*(C6-C5)</f>
        <v>0.25602213541666663</v>
      </c>
      <c r="E6" s="154">
        <f>B6/AVERAGE($B$4:$B$7)</f>
        <v>1.3333333333333333</v>
      </c>
      <c r="F6" s="142">
        <f t="shared" si="3"/>
        <v>40.11024305555555</v>
      </c>
      <c r="G6" s="65">
        <f t="shared" si="2"/>
        <v>-2.11024305555555</v>
      </c>
      <c r="H6" s="65">
        <f t="shared" si="4"/>
        <v>4.4531257535204238</v>
      </c>
      <c r="I6" s="65">
        <f>AVERAGE(H$4:H6)</f>
        <v>2.9231503079617744</v>
      </c>
      <c r="J6" s="85"/>
      <c r="K6" s="147"/>
      <c r="L6" s="147"/>
      <c r="M6" s="153" t="str">
        <f t="shared" ca="1" si="5"/>
        <v>=B6/AVERAGE($B$4:$B$7)</v>
      </c>
      <c r="O6" s="85"/>
      <c r="AH6" s="15"/>
      <c r="AI6" s="15"/>
      <c r="AJ6" s="15"/>
      <c r="BD6" s="15"/>
      <c r="BE6" s="15"/>
      <c r="BF6" s="15"/>
      <c r="BG6" s="15"/>
      <c r="BH6" s="15"/>
    </row>
    <row r="7" spans="1:60" customFormat="1" ht="16.5" x14ac:dyDescent="0.3">
      <c r="A7" s="32">
        <v>4</v>
      </c>
      <c r="B7" s="79">
        <v>28</v>
      </c>
      <c r="C7" s="73">
        <f t="shared" si="0"/>
        <v>29.023681640625</v>
      </c>
      <c r="D7" s="84">
        <f t="shared" si="6"/>
        <v>-5.8186848958327597E-3</v>
      </c>
      <c r="E7" s="154">
        <f>B7/AVERAGE($B$4:$B$7)</f>
        <v>0.98245614035087714</v>
      </c>
      <c r="F7" s="142">
        <f t="shared" si="3"/>
        <v>29.028988486842103</v>
      </c>
      <c r="G7" s="65">
        <f t="shared" si="2"/>
        <v>-1.0289884868421026</v>
      </c>
      <c r="H7" s="65">
        <f t="shared" si="4"/>
        <v>1.0588173060536001</v>
      </c>
      <c r="I7" s="65">
        <f>AVERAGE(H$4:H7)</f>
        <v>2.4570670574847306</v>
      </c>
      <c r="K7" s="83"/>
      <c r="L7" s="83"/>
      <c r="M7" s="153" t="str">
        <f t="shared" ca="1" si="5"/>
        <v>=B7/AVERAGE($B$4:$B$7)</v>
      </c>
      <c r="AH7" s="15"/>
      <c r="AI7" s="15"/>
      <c r="AJ7" s="15"/>
      <c r="BD7" s="15"/>
      <c r="BE7" s="15"/>
      <c r="BF7" s="15"/>
      <c r="BG7" s="15"/>
      <c r="BH7" s="15"/>
    </row>
    <row r="8" spans="1:60" customFormat="1" ht="16.5" x14ac:dyDescent="0.3">
      <c r="A8" s="32">
        <v>5</v>
      </c>
      <c r="B8" s="79">
        <v>38</v>
      </c>
      <c r="C8" s="73">
        <f t="shared" si="0"/>
        <v>40.951343384746657</v>
      </c>
      <c r="D8" s="84">
        <f t="shared" si="6"/>
        <v>5.9609215296129126</v>
      </c>
      <c r="E8" s="141">
        <f t="shared" ref="E8:E31" si="7">(1-$Q$4)*E4+$Q$4*B4/SUM(C3:D3)</f>
        <v>0.71854262262115864</v>
      </c>
      <c r="F8" s="142">
        <f t="shared" si="3"/>
        <v>20.850571351071004</v>
      </c>
      <c r="G8" s="65">
        <f t="shared" si="2"/>
        <v>17.149428648928996</v>
      </c>
      <c r="H8" s="65">
        <f t="shared" si="4"/>
        <v>294.10290298470659</v>
      </c>
      <c r="I8" s="65">
        <f>AVERAGE(H$4:H8)</f>
        <v>60.786234242929105</v>
      </c>
      <c r="K8" s="83"/>
      <c r="L8" s="83"/>
      <c r="M8" s="145" t="str">
        <f t="shared" ca="1" si="5"/>
        <v>=(1-$Q$4)*E4+$Q$4*B4/SUM(C3:D3)</v>
      </c>
      <c r="AH8" s="15"/>
      <c r="AI8" s="15"/>
      <c r="AJ8" s="15"/>
      <c r="BD8" s="15"/>
      <c r="BE8" s="15"/>
      <c r="BF8" s="15"/>
      <c r="BG8" s="15"/>
      <c r="BH8" s="15"/>
    </row>
    <row r="9" spans="1:60" customFormat="1" ht="16.5" x14ac:dyDescent="0.3">
      <c r="A9" s="32">
        <v>6</v>
      </c>
      <c r="B9" s="79">
        <v>49</v>
      </c>
      <c r="C9" s="73">
        <f t="shared" si="0"/>
        <v>50.135307296311268</v>
      </c>
      <c r="D9" s="84">
        <f t="shared" si="1"/>
        <v>7.5724427205887617</v>
      </c>
      <c r="E9" s="142">
        <f t="shared" si="7"/>
        <v>0.91831925641361312</v>
      </c>
      <c r="F9" s="142">
        <f t="shared" si="3"/>
        <v>43.080436232833108</v>
      </c>
      <c r="G9" s="65">
        <f t="shared" si="2"/>
        <v>5.9195637671668919</v>
      </c>
      <c r="H9" s="65">
        <f t="shared" si="4"/>
        <v>35.041235193555082</v>
      </c>
      <c r="I9" s="65">
        <f>AVERAGE(H$4:H9)</f>
        <v>56.495401068033438</v>
      </c>
      <c r="K9" s="83"/>
      <c r="L9" s="83"/>
      <c r="M9" s="83"/>
      <c r="AH9" s="15"/>
      <c r="AI9" s="15"/>
      <c r="AJ9" s="15"/>
      <c r="BD9" s="15"/>
      <c r="BE9" s="15"/>
      <c r="BF9" s="15"/>
      <c r="BG9" s="15"/>
      <c r="BH9" s="15"/>
    </row>
    <row r="10" spans="1:60" customFormat="1" ht="16.5" x14ac:dyDescent="0.3">
      <c r="A10" s="32">
        <v>7</v>
      </c>
      <c r="B10" s="79">
        <v>47</v>
      </c>
      <c r="C10" s="73">
        <f t="shared" si="0"/>
        <v>46.955035783263035</v>
      </c>
      <c r="D10" s="84">
        <f t="shared" si="1"/>
        <v>2.1960856037702645</v>
      </c>
      <c r="E10" s="142">
        <f t="shared" si="7"/>
        <v>1.2982592825040939</v>
      </c>
      <c r="F10" s="142">
        <f t="shared" si="3"/>
        <v>74.919622131866248</v>
      </c>
      <c r="G10" s="65">
        <f t="shared" si="2"/>
        <v>-27.919622131866248</v>
      </c>
      <c r="H10" s="65">
        <f t="shared" si="4"/>
        <v>779.50529998619561</v>
      </c>
      <c r="I10" s="65">
        <f>AVERAGE(H$4:H10)</f>
        <v>159.78252948491374</v>
      </c>
      <c r="K10" s="83"/>
      <c r="L10" s="83"/>
      <c r="M10" s="83"/>
      <c r="AH10" s="15"/>
      <c r="AI10" s="15"/>
      <c r="AJ10" s="15"/>
      <c r="BD10" s="15"/>
      <c r="BE10" s="15"/>
      <c r="BF10" s="15"/>
      <c r="BG10" s="15"/>
      <c r="BH10" s="15"/>
    </row>
    <row r="11" spans="1:60" customFormat="1" ht="16.5" x14ac:dyDescent="0.3">
      <c r="A11" s="32">
        <v>8</v>
      </c>
      <c r="B11" s="79">
        <v>35</v>
      </c>
      <c r="C11" s="73">
        <f t="shared" ref="C11:C31" si="8">(1-$Q$2)*SUM(C10:D10)+$Q$2*B11/E11</f>
        <v>42.709456143588568</v>
      </c>
      <c r="D11" s="84">
        <f t="shared" si="1"/>
        <v>-1.0247470179521014</v>
      </c>
      <c r="E11" s="142">
        <f t="shared" si="7"/>
        <v>0.96504361394289351</v>
      </c>
      <c r="F11" s="142">
        <f t="shared" si="3"/>
        <v>47.432975812688461</v>
      </c>
      <c r="G11" s="65">
        <f t="shared" si="2"/>
        <v>-12.432975812688461</v>
      </c>
      <c r="H11" s="65">
        <f t="shared" si="4"/>
        <v>154.5788875588963</v>
      </c>
      <c r="I11" s="65">
        <f>AVERAGE(H$4:H11)</f>
        <v>159.13207424416154</v>
      </c>
      <c r="K11" s="83"/>
      <c r="L11" s="83"/>
      <c r="M11" s="83"/>
      <c r="AH11" s="15"/>
      <c r="AI11" s="15"/>
      <c r="AJ11" s="15"/>
      <c r="BD11" s="15"/>
      <c r="BE11" s="15"/>
      <c r="BF11" s="15"/>
      <c r="BG11" s="15"/>
      <c r="BH11" s="15"/>
    </row>
    <row r="12" spans="1:60" customFormat="1" ht="16.5" x14ac:dyDescent="0.3">
      <c r="A12" s="32">
        <v>9</v>
      </c>
      <c r="B12" s="79">
        <v>42</v>
      </c>
      <c r="C12" s="73">
        <f t="shared" si="8"/>
        <v>41.551588409847746</v>
      </c>
      <c r="D12" s="84">
        <f t="shared" si="1"/>
        <v>-1.091307375846462</v>
      </c>
      <c r="E12" s="142">
        <f t="shared" si="7"/>
        <v>1.0140404109161283</v>
      </c>
      <c r="F12" s="142">
        <f t="shared" si="3"/>
        <v>42.269979570679688</v>
      </c>
      <c r="G12" s="65">
        <f t="shared" si="2"/>
        <v>-0.2699795706796877</v>
      </c>
      <c r="H12" s="65">
        <f t="shared" si="4"/>
        <v>7.288896858438848E-2</v>
      </c>
      <c r="I12" s="65">
        <f>AVERAGE(H$4:H12)</f>
        <v>141.4588314357641</v>
      </c>
      <c r="K12" s="83"/>
      <c r="L12" s="83"/>
      <c r="M12" s="83"/>
      <c r="AH12" s="15"/>
      <c r="AI12" s="15"/>
      <c r="AJ12" s="15"/>
      <c r="BD12" s="15"/>
      <c r="BE12" s="15"/>
      <c r="BF12" s="15"/>
      <c r="BG12" s="15"/>
      <c r="BH12" s="15"/>
    </row>
    <row r="13" spans="1:60" customFormat="1" ht="16.5" x14ac:dyDescent="0.3">
      <c r="A13" s="32">
        <v>10</v>
      </c>
      <c r="B13" s="79">
        <v>55</v>
      </c>
      <c r="C13" s="73">
        <f t="shared" si="8"/>
        <v>48.251017435585041</v>
      </c>
      <c r="D13" s="84">
        <f t="shared" si="1"/>
        <v>2.8040608249454166</v>
      </c>
      <c r="E13" s="142">
        <f t="shared" si="7"/>
        <v>0.98141111286067784</v>
      </c>
      <c r="F13" s="142">
        <f t="shared" si="3"/>
        <v>39.708169436234975</v>
      </c>
      <c r="G13" s="65">
        <f t="shared" si="2"/>
        <v>15.291830563765025</v>
      </c>
      <c r="H13" s="65">
        <f t="shared" si="4"/>
        <v>233.84008199089817</v>
      </c>
      <c r="I13" s="65">
        <f>AVERAGE(H$4:H13)</f>
        <v>150.69695649127749</v>
      </c>
      <c r="K13" s="83"/>
      <c r="L13" s="83"/>
      <c r="M13" s="83"/>
      <c r="AH13" s="15"/>
      <c r="AI13" s="15"/>
      <c r="AJ13" s="15"/>
      <c r="BD13" s="15"/>
      <c r="BE13" s="15"/>
      <c r="BF13" s="15"/>
      <c r="BG13" s="15"/>
      <c r="BH13" s="15"/>
    </row>
    <row r="14" spans="1:60" customFormat="1" ht="16.5" x14ac:dyDescent="0.3">
      <c r="A14" s="32">
        <v>11</v>
      </c>
      <c r="B14" s="79">
        <v>56</v>
      </c>
      <c r="C14" s="73">
        <f t="shared" si="8"/>
        <v>52.033805672422972</v>
      </c>
      <c r="D14" s="84">
        <f t="shared" si="1"/>
        <v>3.2934245308916736</v>
      </c>
      <c r="E14" s="142">
        <f t="shared" si="7"/>
        <v>1.0563539740863352</v>
      </c>
      <c r="F14" s="142">
        <f t="shared" si="3"/>
        <v>53.932234817800207</v>
      </c>
      <c r="G14" s="65">
        <f t="shared" si="2"/>
        <v>2.0677651821997927</v>
      </c>
      <c r="H14" s="65">
        <f t="shared" si="4"/>
        <v>4.2756528487177414</v>
      </c>
      <c r="I14" s="65">
        <f>AVERAGE(H$4:H14)</f>
        <v>137.38592888740843</v>
      </c>
      <c r="AH14" s="15"/>
      <c r="AI14" s="15"/>
      <c r="AJ14" s="15"/>
      <c r="BD14" s="15"/>
      <c r="BE14" s="15"/>
      <c r="BF14" s="15"/>
      <c r="BG14" s="15"/>
      <c r="BH14" s="15"/>
    </row>
    <row r="15" spans="1:60" customFormat="1" ht="16.5" x14ac:dyDescent="0.3">
      <c r="A15" s="32">
        <v>12</v>
      </c>
      <c r="B15" s="79">
        <v>32</v>
      </c>
      <c r="C15" s="73">
        <f t="shared" si="8"/>
        <v>46.743793499668854</v>
      </c>
      <c r="D15" s="84">
        <f t="shared" si="1"/>
        <v>-0.99829382093122199</v>
      </c>
      <c r="E15" s="142">
        <f t="shared" si="7"/>
        <v>0.83856658288202701</v>
      </c>
      <c r="F15" s="142">
        <f t="shared" si="3"/>
        <v>46.395566371920836</v>
      </c>
      <c r="G15" s="65">
        <f t="shared" si="2"/>
        <v>-14.395566371920836</v>
      </c>
      <c r="H15" s="65">
        <f t="shared" si="4"/>
        <v>207.23233116837801</v>
      </c>
      <c r="I15" s="65">
        <f>AVERAGE(H$4:H15)</f>
        <v>143.20646241082258</v>
      </c>
      <c r="AH15" s="15"/>
      <c r="AI15" s="15"/>
      <c r="AJ15" s="15"/>
      <c r="BD15" s="15"/>
      <c r="BE15" s="15"/>
      <c r="BF15" s="15"/>
      <c r="BG15" s="15"/>
      <c r="BH15" s="15"/>
    </row>
    <row r="16" spans="1:60" customFormat="1" ht="16.5" x14ac:dyDescent="0.3">
      <c r="A16" s="32">
        <v>13</v>
      </c>
      <c r="B16" s="79">
        <v>35</v>
      </c>
      <c r="C16" s="73">
        <f t="shared" si="8"/>
        <v>40.185733974764275</v>
      </c>
      <c r="D16" s="84">
        <f t="shared" si="1"/>
        <v>-3.7781766729179003</v>
      </c>
      <c r="E16" s="142">
        <f t="shared" si="7"/>
        <v>1.0108020583362172</v>
      </c>
      <c r="F16" s="142">
        <f t="shared" si="3"/>
        <v>46.239645234886758</v>
      </c>
      <c r="G16" s="65">
        <f t="shared" si="2"/>
        <v>-11.239645234886758</v>
      </c>
      <c r="H16" s="65">
        <f t="shared" si="4"/>
        <v>126.32962500611261</v>
      </c>
      <c r="I16" s="65">
        <f>AVERAGE(H$4:H16)</f>
        <v>141.9082441489218</v>
      </c>
      <c r="AH16" s="15"/>
      <c r="AI16" s="15"/>
      <c r="AJ16" s="15"/>
      <c r="BD16" s="15"/>
      <c r="BE16" s="15"/>
      <c r="BF16" s="15"/>
      <c r="BG16" s="15"/>
      <c r="BH16" s="15"/>
    </row>
    <row r="17" spans="1:60" customFormat="1" ht="16.5" x14ac:dyDescent="0.3">
      <c r="A17" s="32">
        <v>14</v>
      </c>
      <c r="B17" s="79">
        <v>55</v>
      </c>
      <c r="C17" s="73">
        <f t="shared" si="8"/>
        <v>41.700330955931349</v>
      </c>
      <c r="D17" s="84">
        <f t="shared" si="1"/>
        <v>-1.1317898458754132</v>
      </c>
      <c r="E17" s="142">
        <f t="shared" si="7"/>
        <v>1.1703844735611924</v>
      </c>
      <c r="F17" s="142">
        <f t="shared" si="3"/>
        <v>42.610839786370413</v>
      </c>
      <c r="G17" s="65">
        <f t="shared" si="2"/>
        <v>12.389160213629587</v>
      </c>
      <c r="H17" s="65">
        <f t="shared" si="4"/>
        <v>153.49129079898233</v>
      </c>
      <c r="I17" s="65">
        <f>AVERAGE(H$4:H17)</f>
        <v>142.73560462392612</v>
      </c>
      <c r="AH17" s="23"/>
      <c r="AI17" s="23"/>
      <c r="AJ17" s="23"/>
      <c r="AK17" s="3"/>
      <c r="AL17" s="3"/>
      <c r="AM17" s="3"/>
      <c r="AN17" s="3"/>
      <c r="AO17" s="3"/>
      <c r="AP17" s="3"/>
      <c r="AQ17" s="3"/>
      <c r="BD17" s="15"/>
      <c r="BE17" s="15"/>
      <c r="BF17" s="15"/>
      <c r="BG17" s="15"/>
      <c r="BH17" s="15"/>
    </row>
    <row r="18" spans="1:60" ht="16.5" x14ac:dyDescent="0.3">
      <c r="A18" s="32">
        <v>15</v>
      </c>
      <c r="B18" s="79">
        <v>50</v>
      </c>
      <c r="C18" s="73">
        <f t="shared" si="8"/>
        <v>43.505429637779386</v>
      </c>
      <c r="D18" s="84">
        <f t="shared" si="1"/>
        <v>0.33665441798631179</v>
      </c>
      <c r="E18" s="142">
        <f t="shared" si="7"/>
        <v>1.0766043120806101</v>
      </c>
      <c r="F18" s="142">
        <f t="shared" si="3"/>
        <v>43.676266293905726</v>
      </c>
      <c r="G18" s="65">
        <f t="shared" si="2"/>
        <v>6.3237337060942735</v>
      </c>
      <c r="H18" s="65">
        <f t="shared" si="4"/>
        <v>39.989607985592819</v>
      </c>
      <c r="I18" s="65">
        <f>AVERAGE(H$4:H18)</f>
        <v>135.88587151470389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23"/>
      <c r="AI18" s="23"/>
      <c r="AJ18" s="23"/>
      <c r="AK18" s="3"/>
      <c r="AL18" s="3"/>
      <c r="AM18" s="3"/>
      <c r="AN18" s="3"/>
      <c r="AO18" s="3"/>
      <c r="AP18" s="3"/>
      <c r="AQ18" s="3"/>
    </row>
    <row r="19" spans="1:60" ht="16.5" x14ac:dyDescent="0.3">
      <c r="A19" s="32">
        <v>16</v>
      </c>
      <c r="B19" s="79">
        <v>46</v>
      </c>
      <c r="C19" s="73">
        <f t="shared" si="8"/>
        <v>54.385283401921093</v>
      </c>
      <c r="D19" s="84">
        <f t="shared" si="1"/>
        <v>5.6082540910640093</v>
      </c>
      <c r="E19" s="142">
        <f t="shared" si="7"/>
        <v>0.70847181472699294</v>
      </c>
      <c r="F19" s="142">
        <f t="shared" si="3"/>
        <v>31.060880852401684</v>
      </c>
      <c r="G19" s="65">
        <f t="shared" si="2"/>
        <v>14.939119147598316</v>
      </c>
      <c r="H19" s="65">
        <f t="shared" si="4"/>
        <v>223.17728090613863</v>
      </c>
      <c r="I19" s="65">
        <f>AVERAGE(H$4:H19)</f>
        <v>141.34158460166859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23"/>
      <c r="AI19" s="23"/>
      <c r="AJ19" s="23"/>
      <c r="AK19" s="3"/>
      <c r="AL19" s="3"/>
      <c r="AM19" s="3"/>
      <c r="AN19" s="3"/>
      <c r="AO19" s="3"/>
      <c r="AP19" s="3"/>
      <c r="AQ19" s="3"/>
    </row>
    <row r="20" spans="1:60" ht="16.5" x14ac:dyDescent="0.3">
      <c r="A20" s="32">
        <v>17</v>
      </c>
      <c r="B20" s="79">
        <v>44</v>
      </c>
      <c r="C20" s="73">
        <f t="shared" si="8"/>
        <v>54.772873812496677</v>
      </c>
      <c r="D20" s="84">
        <f t="shared" si="1"/>
        <v>2.9979222508197965</v>
      </c>
      <c r="E20" s="142">
        <f t="shared" si="7"/>
        <v>0.88795232105254174</v>
      </c>
      <c r="F20" s="142">
        <f t="shared" si="3"/>
        <v>53.271400865048811</v>
      </c>
      <c r="G20" s="65">
        <f t="shared" si="2"/>
        <v>-9.2714008650488111</v>
      </c>
      <c r="H20" s="65">
        <f t="shared" si="4"/>
        <v>85.958874000427841</v>
      </c>
      <c r="I20" s="65">
        <f>AVERAGE(H$4:H20)</f>
        <v>138.08377809571326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23"/>
      <c r="AI20" s="23"/>
      <c r="AJ20" s="23"/>
      <c r="AK20" s="3"/>
      <c r="AL20" s="3"/>
      <c r="AM20" s="3"/>
      <c r="AN20" s="3"/>
      <c r="AO20" s="3"/>
      <c r="AP20" s="3"/>
      <c r="AQ20" s="3"/>
    </row>
    <row r="21" spans="1:60" ht="16.5" x14ac:dyDescent="0.3">
      <c r="A21" s="32">
        <v>18</v>
      </c>
      <c r="B21" s="79">
        <v>45</v>
      </c>
      <c r="C21" s="73">
        <f t="shared" si="8"/>
        <v>45.66980519554221</v>
      </c>
      <c r="D21" s="84">
        <f t="shared" si="1"/>
        <v>-3.0525731830673353</v>
      </c>
      <c r="E21" s="142">
        <f t="shared" si="7"/>
        <v>1.340529920437977</v>
      </c>
      <c r="F21" s="142">
        <f t="shared" si="3"/>
        <v>77.443480650396225</v>
      </c>
      <c r="G21" s="65">
        <f t="shared" si="2"/>
        <v>-32.443480650396225</v>
      </c>
      <c r="H21" s="65">
        <f t="shared" si="4"/>
        <v>1052.5794367126343</v>
      </c>
      <c r="I21" s="65">
        <f>AVERAGE(H$4:H21)</f>
        <v>188.88909246332</v>
      </c>
      <c r="J21"/>
      <c r="K21"/>
      <c r="L21"/>
      <c r="M21"/>
      <c r="O21" s="23"/>
      <c r="P21" s="23"/>
      <c r="Q21" s="23"/>
      <c r="R21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3"/>
      <c r="AL21" s="3"/>
      <c r="AM21" s="3"/>
      <c r="AN21" s="3"/>
      <c r="AO21" s="3"/>
      <c r="AP21" s="3"/>
      <c r="AQ21" s="3"/>
    </row>
    <row r="22" spans="1:60" ht="16.5" x14ac:dyDescent="0.3">
      <c r="A22" s="32">
        <v>19</v>
      </c>
      <c r="B22" s="79">
        <v>59</v>
      </c>
      <c r="C22" s="73">
        <f t="shared" si="8"/>
        <v>46.859847072424969</v>
      </c>
      <c r="D22" s="84">
        <f t="shared" si="1"/>
        <v>-0.93126565309228804</v>
      </c>
      <c r="E22" s="142">
        <f t="shared" si="7"/>
        <v>1.1545431969044322</v>
      </c>
      <c r="F22" s="142">
        <f t="shared" si="3"/>
        <v>49.20343529090065</v>
      </c>
      <c r="G22" s="65">
        <f t="shared" si="2"/>
        <v>9.79656470909935</v>
      </c>
      <c r="H22" s="65">
        <f t="shared" si="4"/>
        <v>95.972680099570837</v>
      </c>
      <c r="I22" s="65">
        <f>AVERAGE(H$4:H22)</f>
        <v>183.99875497049109</v>
      </c>
      <c r="J22"/>
      <c r="K22"/>
      <c r="L22"/>
      <c r="M22"/>
      <c r="O22" s="23"/>
      <c r="P22" s="23"/>
      <c r="Q22" s="23"/>
      <c r="R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3"/>
      <c r="AL22" s="3"/>
      <c r="AM22" s="3"/>
      <c r="AN22" s="3"/>
      <c r="AO22" s="3"/>
      <c r="AP22" s="3"/>
      <c r="AQ22" s="3"/>
    </row>
    <row r="23" spans="1:60" ht="16.5" x14ac:dyDescent="0.3">
      <c r="A23" s="32">
        <v>20</v>
      </c>
      <c r="B23" s="79">
        <v>49</v>
      </c>
      <c r="C23" s="73">
        <f t="shared" si="8"/>
        <v>50.841757135818227</v>
      </c>
      <c r="D23" s="84">
        <f t="shared" si="1"/>
        <v>1.5253222051504849</v>
      </c>
      <c r="E23" s="142">
        <f t="shared" si="7"/>
        <v>0.87884600506653343</v>
      </c>
      <c r="F23" s="142">
        <f t="shared" si="3"/>
        <v>40.364150298753543</v>
      </c>
      <c r="G23" s="65">
        <f t="shared" si="2"/>
        <v>8.6358497012464568</v>
      </c>
      <c r="H23" s="65">
        <f t="shared" si="4"/>
        <v>74.577900062518523</v>
      </c>
      <c r="I23" s="65">
        <f>AVERAGE(H$4:H23)</f>
        <v>178.52771222509244</v>
      </c>
      <c r="J23"/>
      <c r="K23"/>
      <c r="L23"/>
      <c r="M23"/>
      <c r="O23" s="23"/>
      <c r="P23" s="23"/>
      <c r="Q23" s="23"/>
      <c r="R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3"/>
      <c r="AL23" s="3"/>
      <c r="AM23" s="3"/>
      <c r="AN23" s="3"/>
      <c r="AO23" s="3"/>
      <c r="AP23" s="3"/>
      <c r="AQ23" s="3"/>
    </row>
    <row r="24" spans="1:60" ht="16.5" x14ac:dyDescent="0.3">
      <c r="A24" s="32">
        <v>21</v>
      </c>
      <c r="B24" s="79">
        <v>39</v>
      </c>
      <c r="C24" s="73">
        <f t="shared" si="8"/>
        <v>50.237351391285102</v>
      </c>
      <c r="D24" s="84">
        <f t="shared" si="1"/>
        <v>0.46045823030868005</v>
      </c>
      <c r="E24" s="142">
        <f t="shared" si="7"/>
        <v>0.81068232454556055</v>
      </c>
      <c r="F24" s="142">
        <f t="shared" si="3"/>
        <v>42.453065609798315</v>
      </c>
      <c r="G24" s="65">
        <f t="shared" si="2"/>
        <v>-3.4530656097983154</v>
      </c>
      <c r="H24" s="65">
        <f t="shared" si="4"/>
        <v>11.923662105571813</v>
      </c>
      <c r="I24" s="65">
        <f>AVERAGE(H$4:H24)</f>
        <v>170.59418602892481</v>
      </c>
      <c r="J24"/>
      <c r="K24"/>
      <c r="L24"/>
      <c r="M24"/>
      <c r="O24" s="23"/>
      <c r="P24" s="23"/>
      <c r="Q24" s="23"/>
      <c r="R2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3"/>
      <c r="AL24" s="3"/>
      <c r="AM24" s="3"/>
      <c r="AN24" s="3"/>
      <c r="AO24" s="3"/>
      <c r="AP24" s="3"/>
      <c r="AQ24" s="3"/>
    </row>
    <row r="25" spans="1:60" ht="16.5" x14ac:dyDescent="0.3">
      <c r="A25" s="32">
        <v>22</v>
      </c>
      <c r="B25" s="79">
        <v>73</v>
      </c>
      <c r="C25" s="73">
        <f t="shared" si="8"/>
        <v>59.791474478212308</v>
      </c>
      <c r="D25" s="84">
        <f t="shared" si="1"/>
        <v>5.0072906586179426</v>
      </c>
      <c r="E25" s="142">
        <f t="shared" si="7"/>
        <v>1.0597350996877284</v>
      </c>
      <c r="F25" s="142">
        <f t="shared" si="3"/>
        <v>53.726248333289163</v>
      </c>
      <c r="G25" s="65">
        <f t="shared" si="2"/>
        <v>19.273751666710837</v>
      </c>
      <c r="H25" s="65">
        <f t="shared" si="4"/>
        <v>371.47750331003874</v>
      </c>
      <c r="I25" s="65">
        <f>AVERAGE(H$4:H25)</f>
        <v>179.72524590533908</v>
      </c>
      <c r="J25"/>
      <c r="K25"/>
      <c r="L25"/>
      <c r="M25"/>
      <c r="O25" s="23"/>
      <c r="P25" s="23"/>
      <c r="Q25" s="23"/>
      <c r="R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3"/>
      <c r="AL25" s="3"/>
      <c r="AM25" s="3"/>
      <c r="AN25" s="3"/>
      <c r="AO25" s="3"/>
      <c r="AP25" s="3"/>
      <c r="AQ25" s="3"/>
    </row>
    <row r="26" spans="1:60" ht="16.5" x14ac:dyDescent="0.3">
      <c r="A26" s="32">
        <v>23</v>
      </c>
      <c r="B26" s="79">
        <v>75</v>
      </c>
      <c r="C26" s="73">
        <f t="shared" si="8"/>
        <v>61.939039903161571</v>
      </c>
      <c r="D26" s="84">
        <f t="shared" si="1"/>
        <v>3.5774280417836031</v>
      </c>
      <c r="E26" s="142">
        <f t="shared" si="7"/>
        <v>1.2694798580445985</v>
      </c>
      <c r="F26" s="142">
        <f t="shared" si="3"/>
        <v>82.260727167368557</v>
      </c>
      <c r="G26" s="65">
        <f t="shared" si="2"/>
        <v>-7.2607271673685574</v>
      </c>
      <c r="H26" s="65">
        <f t="shared" si="4"/>
        <v>52.718158998963837</v>
      </c>
      <c r="I26" s="65">
        <f>AVERAGE(H$4:H26)</f>
        <v>174.20319864854014</v>
      </c>
      <c r="J26"/>
      <c r="K26"/>
      <c r="L26"/>
      <c r="M26"/>
      <c r="O26" s="23"/>
      <c r="P26" s="23"/>
      <c r="Q26" s="23"/>
      <c r="R26"/>
      <c r="S26" s="23"/>
      <c r="T26" s="23"/>
      <c r="U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"/>
      <c r="AL26" s="3"/>
      <c r="AM26" s="3"/>
      <c r="AN26" s="3"/>
      <c r="AO26" s="3"/>
      <c r="AP26" s="3"/>
      <c r="AQ26" s="3"/>
    </row>
    <row r="27" spans="1:60" ht="16.5" x14ac:dyDescent="0.3">
      <c r="A27" s="32">
        <v>24</v>
      </c>
      <c r="B27" s="79">
        <v>56</v>
      </c>
      <c r="C27" s="73">
        <f t="shared" si="8"/>
        <v>61.53935650185565</v>
      </c>
      <c r="D27" s="84">
        <f t="shared" si="1"/>
        <v>1.5888723202388408</v>
      </c>
      <c r="E27" s="142">
        <f t="shared" si="7"/>
        <v>0.97285990049256743</v>
      </c>
      <c r="F27" s="142">
        <f t="shared" si="3"/>
        <v>63.738344485543848</v>
      </c>
      <c r="G27" s="65">
        <f t="shared" si="2"/>
        <v>-7.7383444855438484</v>
      </c>
      <c r="H27" s="65">
        <f t="shared" si="4"/>
        <v>59.88197537694689</v>
      </c>
      <c r="I27" s="65">
        <f>AVERAGE(H$4:H27)</f>
        <v>169.4398143455571</v>
      </c>
      <c r="J27"/>
      <c r="K27"/>
      <c r="L27"/>
      <c r="M27"/>
      <c r="O27" s="23"/>
      <c r="P27" s="23"/>
      <c r="Q27" s="23"/>
      <c r="R27"/>
      <c r="S27" s="23"/>
      <c r="T27" s="23"/>
      <c r="U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"/>
      <c r="AL27" s="3"/>
      <c r="AM27" s="3"/>
      <c r="AN27" s="3"/>
      <c r="AO27" s="3"/>
      <c r="AP27" s="3"/>
      <c r="AQ27" s="3"/>
    </row>
    <row r="28" spans="1:60" ht="16.5" x14ac:dyDescent="0.3">
      <c r="A28" s="32">
        <v>25</v>
      </c>
      <c r="B28" s="79">
        <v>60</v>
      </c>
      <c r="C28" s="73">
        <f t="shared" si="8"/>
        <v>70.138779918543577</v>
      </c>
      <c r="D28" s="84">
        <f t="shared" si="1"/>
        <v>5.0941478684633834</v>
      </c>
      <c r="E28" s="142">
        <f t="shared" si="7"/>
        <v>0.77771251170460598</v>
      </c>
      <c r="F28" s="142">
        <f t="shared" si="3"/>
        <v>49.095613396694205</v>
      </c>
      <c r="G28" s="65">
        <f t="shared" si="2"/>
        <v>10.904386603305795</v>
      </c>
      <c r="H28" s="65">
        <f t="shared" si="4"/>
        <v>118.9056471943549</v>
      </c>
      <c r="I28" s="65">
        <f>AVERAGE(H$4:H28)</f>
        <v>167.41844765950901</v>
      </c>
      <c r="J28"/>
      <c r="K28"/>
      <c r="L28"/>
      <c r="M28"/>
      <c r="O28" s="23"/>
      <c r="P28" s="23"/>
      <c r="Q28" s="23"/>
      <c r="R28"/>
      <c r="S28" s="23"/>
      <c r="T28" s="23"/>
      <c r="U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3"/>
      <c r="AL28" s="3"/>
      <c r="AM28" s="3"/>
      <c r="AN28" s="3"/>
      <c r="AO28" s="3"/>
      <c r="AP28" s="3"/>
      <c r="AQ28" s="3"/>
    </row>
    <row r="29" spans="1:60" ht="16.5" x14ac:dyDescent="0.3">
      <c r="A29" s="32">
        <v>26</v>
      </c>
      <c r="B29" s="79">
        <v>71</v>
      </c>
      <c r="C29" s="73">
        <f t="shared" si="8"/>
        <v>66.020559575925802</v>
      </c>
      <c r="D29" s="84">
        <f t="shared" si="1"/>
        <v>0.48796376292280419</v>
      </c>
      <c r="E29" s="142">
        <f t="shared" si="7"/>
        <v>1.2498197582811594</v>
      </c>
      <c r="F29" s="142">
        <f t="shared" si="3"/>
        <v>94.027599621540958</v>
      </c>
      <c r="G29" s="65">
        <f t="shared" si="2"/>
        <v>-23.027599621540958</v>
      </c>
      <c r="H29" s="65">
        <f t="shared" si="4"/>
        <v>530.27034432999324</v>
      </c>
      <c r="I29" s="65">
        <f>AVERAGE(H$4:H29)</f>
        <v>181.37428983914302</v>
      </c>
      <c r="J29"/>
      <c r="K29"/>
      <c r="L29"/>
      <c r="M29"/>
      <c r="O29" s="23"/>
      <c r="P29" s="23"/>
      <c r="Q29" s="23"/>
      <c r="R29"/>
      <c r="S29" s="23"/>
      <c r="T29" s="23"/>
      <c r="U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"/>
      <c r="AL29" s="3"/>
      <c r="AM29" s="3"/>
      <c r="AN29" s="3"/>
      <c r="AO29" s="3"/>
      <c r="AP29" s="3"/>
      <c r="AQ29" s="3"/>
    </row>
    <row r="30" spans="1:60" ht="16.5" x14ac:dyDescent="0.3">
      <c r="A30" s="32">
        <v>27</v>
      </c>
      <c r="B30" s="79">
        <v>84</v>
      </c>
      <c r="C30" s="73">
        <f t="shared" si="8"/>
        <v>67.866185253503829</v>
      </c>
      <c r="D30" s="84">
        <f t="shared" si="1"/>
        <v>1.1667947202504159</v>
      </c>
      <c r="E30" s="142">
        <f t="shared" si="7"/>
        <v>1.2134546610208847</v>
      </c>
      <c r="F30" s="142">
        <f t="shared" si="3"/>
        <v>80.705077643142133</v>
      </c>
      <c r="G30" s="65">
        <f t="shared" si="2"/>
        <v>3.2949223568578674</v>
      </c>
      <c r="H30" s="65">
        <f t="shared" si="4"/>
        <v>10.856513337721804</v>
      </c>
      <c r="I30" s="65">
        <f>AVERAGE(H$4:H30)</f>
        <v>175.05881663538665</v>
      </c>
      <c r="J30"/>
      <c r="K30"/>
      <c r="L30"/>
      <c r="M3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"/>
      <c r="AL30" s="3"/>
      <c r="AM30" s="3"/>
      <c r="AN30" s="3"/>
      <c r="AO30" s="3"/>
      <c r="AP30" s="3"/>
      <c r="AQ30" s="3"/>
    </row>
    <row r="31" spans="1:60" ht="16.5" x14ac:dyDescent="0.3">
      <c r="A31" s="32">
        <v>28</v>
      </c>
      <c r="B31" s="79">
        <v>42</v>
      </c>
      <c r="C31" s="73">
        <f t="shared" si="8"/>
        <v>57.497362701548013</v>
      </c>
      <c r="D31" s="84">
        <f t="shared" si="1"/>
        <v>-4.6010139158527004</v>
      </c>
      <c r="E31" s="142">
        <f t="shared" si="7"/>
        <v>0.91380341646441021</v>
      </c>
      <c r="F31" s="142">
        <f t="shared" si="3"/>
        <v>63.082572948735844</v>
      </c>
      <c r="G31" s="65">
        <f t="shared" si="2"/>
        <v>-21.082572948735844</v>
      </c>
      <c r="H31" s="65">
        <f t="shared" si="4"/>
        <v>444.47488213876841</v>
      </c>
      <c r="I31" s="65">
        <f>AVERAGE(H$4:H31)</f>
        <v>184.68081897479314</v>
      </c>
      <c r="J31"/>
      <c r="K31"/>
      <c r="L31"/>
      <c r="M3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3"/>
      <c r="AL31" s="3"/>
      <c r="AM31" s="3"/>
      <c r="AN31" s="3"/>
      <c r="AO31" s="3"/>
      <c r="AP31" s="3"/>
      <c r="AQ31" s="3"/>
    </row>
    <row r="32" spans="1:60" ht="16.5" x14ac:dyDescent="0.3">
      <c r="A32" s="32">
        <v>29</v>
      </c>
      <c r="B32"/>
      <c r="C32" s="3"/>
      <c r="D32" s="3"/>
      <c r="E32" s="155">
        <f>(1-$Q$4)*E28+$Q$4*B28/(C27+D27)</f>
        <v>0.86407947310024491</v>
      </c>
      <c r="F32" s="156">
        <f>($C$31+$D$31*(A32-$A$31))*E32</f>
        <v>45.706649187670379</v>
      </c>
      <c r="G32" s="58"/>
      <c r="H32" s="58"/>
      <c r="I32"/>
      <c r="J32"/>
      <c r="K32"/>
      <c r="L32"/>
      <c r="M32" s="150" t="str">
        <f t="shared" ref="M32:M35" ca="1" si="9">_xlfn.FORMULATEXT(E32)</f>
        <v>=(1-$Q$4)*E28+$Q$4*B28/(C27+D27)</v>
      </c>
      <c r="N32" s="157" t="str">
        <f ca="1">_xlfn.FORMULATEXT(F32)</f>
        <v>=($C$31+$D$31*(A32-$A$31))*E32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3"/>
      <c r="AL32" s="3"/>
      <c r="AM32" s="3"/>
      <c r="AN32" s="3"/>
      <c r="AO32" s="3"/>
      <c r="AP32" s="3"/>
      <c r="AQ32" s="3"/>
      <c r="BD32"/>
      <c r="BE32"/>
      <c r="BF32"/>
      <c r="BG32"/>
      <c r="BH32"/>
    </row>
    <row r="33" spans="1:60" ht="16.5" x14ac:dyDescent="0.3">
      <c r="A33" s="32">
        <v>30</v>
      </c>
      <c r="B33"/>
      <c r="C33"/>
      <c r="D33"/>
      <c r="E33" s="155">
        <f>(1-$Q$4)*E29+$Q$4*B29/(C28+D28)</f>
        <v>1.0967777306816573</v>
      </c>
      <c r="F33" s="156">
        <f>($C$31+$D$31*(A33-$A$31))*E33</f>
        <v>52.969247781056694</v>
      </c>
      <c r="G33" s="23"/>
      <c r="H33" s="23"/>
      <c r="I33" s="23"/>
      <c r="J33" s="23"/>
      <c r="K33" s="23"/>
      <c r="L33" s="23"/>
      <c r="M33" s="150" t="str">
        <f t="shared" ca="1" si="9"/>
        <v>=(1-$Q$4)*E29+$Q$4*B29/(C28+D28)</v>
      </c>
      <c r="N33" s="157" t="str">
        <f t="shared" ref="N33:N35" ca="1" si="10">_xlfn.FORMULATEXT(F33)</f>
        <v>=($C$31+$D$31*(A33-$A$31))*E33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3"/>
      <c r="AL33" s="3"/>
      <c r="AM33" s="3"/>
      <c r="AN33" s="3"/>
      <c r="AO33" s="3"/>
      <c r="AP33" s="3"/>
      <c r="AQ33" s="3"/>
      <c r="BD33"/>
      <c r="BE33"/>
      <c r="BF33"/>
      <c r="BG33"/>
      <c r="BH33"/>
    </row>
    <row r="34" spans="1:60" ht="16.5" x14ac:dyDescent="0.3">
      <c r="A34" s="32">
        <v>31</v>
      </c>
      <c r="E34" s="155">
        <f>(1-$Q$4)*E30+$Q$4*B30/(C29+D29)</f>
        <v>1.2382253384577513</v>
      </c>
      <c r="F34" s="156">
        <f>($C$31+$D$31*(A34-$A$31))*E34</f>
        <v>54.10341535193578</v>
      </c>
      <c r="M34" s="150" t="str">
        <f t="shared" ca="1" si="9"/>
        <v>=(1-$Q$4)*E30+$Q$4*B30/(C29+D29)</v>
      </c>
      <c r="N34" s="157" t="str">
        <f t="shared" ca="1" si="10"/>
        <v>=($C$31+$D$31*(A34-$A$31))*E34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3"/>
      <c r="AL34" s="3"/>
      <c r="AM34" s="3"/>
      <c r="AN34" s="3"/>
      <c r="AO34" s="3"/>
      <c r="AP34" s="3"/>
      <c r="AQ34" s="3"/>
      <c r="BD34"/>
      <c r="BE34"/>
      <c r="BF34"/>
      <c r="BG34"/>
      <c r="BH34"/>
    </row>
    <row r="35" spans="1:60" ht="16.5" x14ac:dyDescent="0.3">
      <c r="A35" s="32">
        <v>32</v>
      </c>
      <c r="E35" s="155">
        <f>(1-$Q$4)*E31+$Q$4*B31/(C30+D30)</f>
        <v>0.7611041344925813</v>
      </c>
      <c r="F35" s="156">
        <f>($C$31+$D$31*(A35-$A$31))*E35</f>
        <v>29.754077617714159</v>
      </c>
      <c r="M35" s="150" t="str">
        <f t="shared" ca="1" si="9"/>
        <v>=(1-$Q$4)*E31+$Q$4*B31/(C30+D30)</v>
      </c>
      <c r="N35" s="157" t="str">
        <f t="shared" ca="1" si="10"/>
        <v>=($C$31+$D$31*(A35-$A$31))*E35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3"/>
      <c r="AL35" s="3"/>
      <c r="AM35" s="3"/>
      <c r="AN35" s="3"/>
      <c r="AO35" s="3"/>
      <c r="AP35" s="3"/>
      <c r="AQ35" s="3"/>
      <c r="BD35"/>
      <c r="BE35"/>
      <c r="BF35"/>
      <c r="BG35"/>
      <c r="BH35"/>
    </row>
    <row r="36" spans="1:60" x14ac:dyDescent="0.25">
      <c r="A36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3"/>
      <c r="AL36" s="3"/>
      <c r="AM36" s="3"/>
      <c r="AN36" s="3"/>
      <c r="AO36" s="3"/>
      <c r="AP36" s="3"/>
      <c r="AQ36" s="3"/>
      <c r="BD36"/>
      <c r="BE36"/>
      <c r="BF36"/>
      <c r="BG36"/>
      <c r="BH36"/>
    </row>
    <row r="37" spans="1:60" x14ac:dyDescent="0.25">
      <c r="A37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3"/>
      <c r="AL37" s="3"/>
      <c r="AM37" s="3"/>
      <c r="AN37" s="3"/>
      <c r="AO37" s="3"/>
      <c r="AP37" s="3"/>
      <c r="AQ37" s="3"/>
      <c r="BD37"/>
      <c r="BE37"/>
      <c r="BF37"/>
      <c r="BG37"/>
      <c r="BH37"/>
    </row>
    <row r="38" spans="1:60" x14ac:dyDescent="0.25">
      <c r="A38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"/>
      <c r="AL38" s="3"/>
      <c r="AM38" s="3"/>
      <c r="AN38" s="3"/>
      <c r="AO38" s="3"/>
      <c r="AP38" s="3"/>
      <c r="AQ38" s="3"/>
      <c r="BD38"/>
      <c r="BE38"/>
      <c r="BF38"/>
      <c r="BG38"/>
      <c r="BH38"/>
    </row>
    <row r="39" spans="1:60" x14ac:dyDescent="0.25">
      <c r="A39"/>
      <c r="B39" t="s">
        <v>59</v>
      </c>
      <c r="C39"/>
      <c r="D39"/>
      <c r="E39"/>
      <c r="F39" s="23"/>
      <c r="G39" s="23"/>
      <c r="H39" s="23"/>
      <c r="I39" s="23"/>
      <c r="J39" s="23"/>
      <c r="K39" s="23"/>
      <c r="L39" s="23"/>
      <c r="M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"/>
      <c r="AL39" s="3"/>
      <c r="AM39" s="3"/>
      <c r="AN39" s="3"/>
      <c r="AO39" s="3"/>
      <c r="AP39" s="3"/>
      <c r="AQ39" s="3"/>
      <c r="BD39"/>
      <c r="BE39"/>
      <c r="BF39"/>
      <c r="BG39"/>
      <c r="BH39"/>
    </row>
    <row r="40" spans="1:60" x14ac:dyDescent="0.25">
      <c r="A40"/>
      <c r="B40" s="15" t="s">
        <v>60</v>
      </c>
      <c r="C40"/>
      <c r="D40"/>
      <c r="E40"/>
      <c r="F40" s="23"/>
      <c r="G40" s="23"/>
      <c r="H40" s="23"/>
      <c r="I40" s="23"/>
      <c r="J40" s="23"/>
      <c r="K40" s="23"/>
      <c r="L40" s="23"/>
      <c r="M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"/>
      <c r="AL40" s="3"/>
      <c r="AM40" s="3"/>
      <c r="AN40" s="3"/>
      <c r="AO40" s="3"/>
      <c r="AP40" s="3"/>
      <c r="AQ40" s="3"/>
      <c r="BD40"/>
      <c r="BE40"/>
      <c r="BF40"/>
      <c r="BG40"/>
      <c r="BH40"/>
    </row>
    <row r="41" spans="1:60" x14ac:dyDescent="0.25">
      <c r="A41"/>
      <c r="B41" s="15" t="s">
        <v>61</v>
      </c>
      <c r="C41" s="64"/>
      <c r="D41"/>
      <c r="E41"/>
      <c r="F41" s="23"/>
      <c r="G41" s="23"/>
      <c r="H41" s="23"/>
      <c r="I41" s="23"/>
      <c r="J41" s="23"/>
      <c r="K41" s="23"/>
      <c r="L41" s="23"/>
      <c r="M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3"/>
      <c r="AL41" s="3"/>
      <c r="AM41" s="3"/>
      <c r="AN41" s="3"/>
      <c r="AO41" s="3"/>
      <c r="AP41" s="3"/>
      <c r="AQ41" s="3"/>
      <c r="BD41"/>
      <c r="BE41"/>
      <c r="BF41"/>
      <c r="BG41"/>
      <c r="BH41"/>
    </row>
    <row r="42" spans="1:60" x14ac:dyDescent="0.25">
      <c r="A42"/>
      <c r="B42" s="15" t="s">
        <v>62</v>
      </c>
      <c r="C42"/>
      <c r="D42"/>
      <c r="E42"/>
      <c r="F42" s="23"/>
      <c r="G42" s="23"/>
      <c r="H42" s="23"/>
      <c r="I42" s="23"/>
      <c r="J42" s="23"/>
      <c r="K42" s="23"/>
      <c r="L42" s="23"/>
      <c r="M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"/>
      <c r="AL42" s="3"/>
      <c r="AM42" s="3"/>
      <c r="AN42" s="3"/>
      <c r="AO42" s="3"/>
      <c r="AP42" s="3"/>
      <c r="AQ42" s="3"/>
      <c r="BD42"/>
      <c r="BE42"/>
      <c r="BF42"/>
      <c r="BG42"/>
      <c r="BH42"/>
    </row>
    <row r="43" spans="1:60" x14ac:dyDescent="0.25">
      <c r="A43"/>
      <c r="B43" s="69" t="s">
        <v>57</v>
      </c>
      <c r="C43"/>
      <c r="D43"/>
      <c r="E43"/>
      <c r="F43" s="23"/>
      <c r="G43" s="23"/>
      <c r="H43" s="23"/>
      <c r="I43" s="23"/>
      <c r="J43" s="23"/>
      <c r="K43" s="23"/>
      <c r="L43" s="23"/>
      <c r="M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3"/>
      <c r="AL43" s="3"/>
      <c r="AM43" s="3"/>
      <c r="AN43" s="3"/>
      <c r="AO43" s="3"/>
      <c r="AP43" s="3"/>
      <c r="AQ43" s="3"/>
      <c r="BD43"/>
      <c r="BE43"/>
      <c r="BF43"/>
      <c r="BG43"/>
      <c r="BH43"/>
    </row>
    <row r="44" spans="1:60" x14ac:dyDescent="0.25">
      <c r="A44"/>
      <c r="B44" t="s">
        <v>63</v>
      </c>
      <c r="C44"/>
      <c r="D44"/>
      <c r="E44"/>
      <c r="F44" s="23"/>
      <c r="G44" s="23"/>
      <c r="H44" s="23"/>
      <c r="I44" s="23"/>
      <c r="J44" s="23"/>
      <c r="K44" s="23"/>
      <c r="L44" s="23"/>
      <c r="M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3"/>
      <c r="AL44" s="3"/>
      <c r="AM44" s="3"/>
      <c r="AN44" s="3"/>
      <c r="AO44" s="3"/>
      <c r="AP44" s="3"/>
      <c r="AQ44" s="3"/>
      <c r="BD44"/>
      <c r="BE44"/>
      <c r="BF44"/>
      <c r="BG44"/>
      <c r="BH44"/>
    </row>
    <row r="45" spans="1:60" x14ac:dyDescent="0.25">
      <c r="A45"/>
      <c r="B45" t="s">
        <v>58</v>
      </c>
      <c r="C45"/>
      <c r="D45"/>
      <c r="E45"/>
      <c r="F45" s="23"/>
      <c r="G45" s="23"/>
      <c r="H45" s="23"/>
      <c r="I45" s="23"/>
      <c r="J45" s="23"/>
      <c r="K45" s="23"/>
      <c r="L45" s="23"/>
      <c r="M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3"/>
      <c r="AL45" s="3"/>
      <c r="AM45" s="3"/>
      <c r="AN45" s="3"/>
      <c r="AO45" s="3"/>
      <c r="AP45" s="3"/>
      <c r="AQ45" s="3"/>
      <c r="BD45"/>
      <c r="BE45"/>
      <c r="BF45"/>
      <c r="BG45"/>
      <c r="BH45"/>
    </row>
    <row r="46" spans="1:60" x14ac:dyDescent="0.25">
      <c r="A46"/>
      <c r="B46" t="s">
        <v>64</v>
      </c>
      <c r="C46"/>
      <c r="D46"/>
      <c r="E46"/>
      <c r="F46" s="23"/>
      <c r="G46" s="23"/>
      <c r="H46" s="23"/>
      <c r="I46" s="23"/>
      <c r="J46" s="23"/>
      <c r="K46" s="23"/>
      <c r="L46" s="23"/>
      <c r="M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3"/>
      <c r="AL46" s="3"/>
      <c r="AM46" s="3"/>
      <c r="AN46" s="3"/>
      <c r="AO46" s="3"/>
      <c r="AP46" s="3"/>
      <c r="AQ46" s="3"/>
      <c r="BD46"/>
      <c r="BE46"/>
      <c r="BF46"/>
      <c r="BG46"/>
      <c r="BH46"/>
    </row>
    <row r="47" spans="1:60" x14ac:dyDescent="0.25">
      <c r="A47"/>
      <c r="B47" t="s">
        <v>65</v>
      </c>
      <c r="C47"/>
      <c r="D47"/>
      <c r="E47"/>
      <c r="F47" s="23"/>
      <c r="G47" s="23"/>
      <c r="H47" s="23"/>
      <c r="I47" s="23"/>
      <c r="J47" s="23"/>
      <c r="K47" s="23"/>
      <c r="L47" s="23"/>
      <c r="M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3"/>
      <c r="AL47" s="3"/>
      <c r="AM47" s="3"/>
      <c r="AN47" s="3"/>
      <c r="AO47" s="3"/>
      <c r="AP47" s="3"/>
      <c r="AQ47" s="3"/>
      <c r="BD47"/>
      <c r="BE47"/>
      <c r="BF47"/>
      <c r="BG47"/>
      <c r="BH47"/>
    </row>
    <row r="48" spans="1:60" x14ac:dyDescent="0.25">
      <c r="A48"/>
      <c r="B48" t="s">
        <v>66</v>
      </c>
      <c r="C48"/>
      <c r="D48"/>
      <c r="E48"/>
      <c r="F48" s="23"/>
      <c r="G48" s="23"/>
      <c r="H48" s="23"/>
      <c r="I48" s="23"/>
      <c r="J48" s="23"/>
      <c r="K48" s="23"/>
      <c r="L48" s="23"/>
      <c r="M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3"/>
      <c r="AL48" s="3"/>
      <c r="AM48" s="3"/>
      <c r="AN48" s="3"/>
      <c r="AO48" s="3"/>
      <c r="AP48" s="3"/>
      <c r="AQ48" s="3"/>
      <c r="BD48"/>
      <c r="BE48"/>
      <c r="BF48"/>
      <c r="BG48"/>
      <c r="BH48"/>
    </row>
    <row r="49" spans="1:60" x14ac:dyDescent="0.25">
      <c r="A49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3"/>
      <c r="AL49" s="3"/>
      <c r="AM49" s="3"/>
      <c r="AN49" s="3"/>
      <c r="AO49" s="3"/>
      <c r="AP49" s="3"/>
      <c r="AQ49" s="3"/>
      <c r="BD49"/>
      <c r="BE49"/>
      <c r="BF49"/>
      <c r="BG49"/>
      <c r="BH49"/>
    </row>
    <row r="50" spans="1:60" x14ac:dyDescent="0.25">
      <c r="A5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3"/>
      <c r="AL50" s="3"/>
      <c r="AM50" s="3"/>
      <c r="AN50" s="3"/>
      <c r="AO50" s="3"/>
      <c r="AP50" s="3"/>
      <c r="AQ50" s="3"/>
      <c r="BD50"/>
      <c r="BE50"/>
      <c r="BF50"/>
      <c r="BG50"/>
      <c r="BH50"/>
    </row>
    <row r="51" spans="1:60" x14ac:dyDescent="0.25">
      <c r="A5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3"/>
      <c r="AL51" s="3"/>
      <c r="AM51" s="3"/>
      <c r="AN51" s="3"/>
      <c r="AO51" s="3"/>
      <c r="AP51" s="3"/>
      <c r="AQ51" s="3"/>
      <c r="BD51"/>
      <c r="BE51"/>
      <c r="BF51"/>
      <c r="BG51"/>
      <c r="BH51"/>
    </row>
    <row r="52" spans="1:60" x14ac:dyDescent="0.25">
      <c r="A52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3"/>
      <c r="AL52" s="3"/>
      <c r="AM52" s="3"/>
      <c r="AN52" s="3"/>
      <c r="AO52" s="3"/>
      <c r="AP52" s="3"/>
      <c r="AQ52" s="3"/>
      <c r="BD52"/>
      <c r="BE52"/>
      <c r="BF52"/>
      <c r="BG52"/>
      <c r="BH52"/>
    </row>
    <row r="53" spans="1:60" x14ac:dyDescent="0.25">
      <c r="A5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3"/>
      <c r="AL53" s="3"/>
      <c r="AM53" s="3"/>
      <c r="AN53" s="3"/>
      <c r="AO53" s="3"/>
      <c r="AP53" s="3"/>
      <c r="AQ53" s="3"/>
      <c r="BD53"/>
      <c r="BE53"/>
      <c r="BF53"/>
      <c r="BG53"/>
      <c r="BH53"/>
    </row>
    <row r="54" spans="1:60" x14ac:dyDescent="0.25">
      <c r="A5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"/>
      <c r="AL54" s="3"/>
      <c r="AM54" s="3"/>
      <c r="AN54" s="3"/>
      <c r="AO54" s="3"/>
      <c r="AP54" s="3"/>
      <c r="AQ54" s="3"/>
      <c r="BD54"/>
      <c r="BE54"/>
      <c r="BF54"/>
      <c r="BG54"/>
      <c r="BH54"/>
    </row>
    <row r="55" spans="1:60" x14ac:dyDescent="0.25">
      <c r="A55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"/>
      <c r="AL55" s="3"/>
      <c r="AM55" s="3"/>
      <c r="AN55" s="3"/>
      <c r="AO55" s="3"/>
      <c r="AP55" s="3"/>
      <c r="AQ55" s="3"/>
      <c r="BD55"/>
      <c r="BE55"/>
      <c r="BF55"/>
      <c r="BG55"/>
      <c r="BH55"/>
    </row>
    <row r="56" spans="1:60" x14ac:dyDescent="0.25">
      <c r="A56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3"/>
      <c r="AL56" s="3"/>
      <c r="AM56" s="3"/>
      <c r="AN56" s="3"/>
      <c r="AO56" s="3"/>
      <c r="AP56" s="3"/>
      <c r="AQ56" s="3"/>
      <c r="BD56"/>
      <c r="BE56"/>
      <c r="BF56"/>
      <c r="BG56"/>
      <c r="BH56"/>
    </row>
    <row r="57" spans="1:60" x14ac:dyDescent="0.25">
      <c r="A57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3"/>
      <c r="AL57" s="3"/>
      <c r="AM57" s="3"/>
      <c r="AN57" s="3"/>
      <c r="AO57" s="3"/>
      <c r="AP57" s="3"/>
      <c r="AQ57" s="3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23"/>
      <c r="G58" s="23"/>
      <c r="H58" s="23"/>
      <c r="I58" s="23"/>
      <c r="J58" s="23"/>
      <c r="K58" s="23"/>
      <c r="L58" s="23"/>
      <c r="M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3"/>
      <c r="AL58" s="3"/>
      <c r="AM58" s="3"/>
      <c r="AN58" s="3"/>
      <c r="AO58" s="3"/>
      <c r="AP58" s="3"/>
      <c r="AQ58" s="3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23"/>
      <c r="G59" s="23"/>
      <c r="H59" s="23"/>
      <c r="I59" s="23"/>
      <c r="J59" s="23"/>
      <c r="K59" s="23"/>
      <c r="L59" s="23"/>
      <c r="M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3"/>
      <c r="AL59" s="3"/>
      <c r="AM59" s="3"/>
      <c r="AN59" s="3"/>
      <c r="AO59" s="3"/>
      <c r="AP59" s="3"/>
      <c r="AQ59" s="3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23"/>
      <c r="G60" s="23"/>
      <c r="H60" s="23"/>
      <c r="I60" s="23"/>
      <c r="J60" s="23"/>
      <c r="K60" s="23"/>
      <c r="L60" s="23"/>
      <c r="M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3"/>
      <c r="AL60" s="3"/>
      <c r="AM60" s="3"/>
      <c r="AN60" s="3"/>
      <c r="AO60" s="3"/>
      <c r="AP60" s="3"/>
      <c r="AQ60" s="3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23"/>
      <c r="G61" s="23"/>
      <c r="H61" s="23"/>
      <c r="I61" s="23"/>
      <c r="J61" s="23"/>
      <c r="K61" s="23"/>
      <c r="L61" s="23"/>
      <c r="M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3"/>
      <c r="AL61" s="3"/>
      <c r="AM61" s="3"/>
      <c r="AN61" s="3"/>
      <c r="AO61" s="3"/>
      <c r="AP61" s="3"/>
      <c r="AQ61" s="3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23"/>
      <c r="G62" s="23"/>
      <c r="H62" s="23"/>
      <c r="I62" s="23"/>
      <c r="J62" s="23"/>
      <c r="K62" s="23"/>
      <c r="L62" s="23"/>
      <c r="M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3"/>
      <c r="AL62" s="3"/>
      <c r="AM62" s="3"/>
      <c r="AN62" s="3"/>
      <c r="AO62" s="3"/>
      <c r="AP62" s="3"/>
      <c r="AQ62" s="3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23"/>
      <c r="G63" s="23"/>
      <c r="H63" s="23"/>
      <c r="I63" s="23"/>
      <c r="J63" s="23"/>
      <c r="K63" s="23"/>
      <c r="L63" s="23"/>
      <c r="M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3"/>
      <c r="AL63" s="3"/>
      <c r="AM63" s="3"/>
      <c r="AN63" s="3"/>
      <c r="AO63" s="3"/>
      <c r="AP63" s="3"/>
      <c r="AQ63" s="3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23"/>
      <c r="G64" s="23"/>
      <c r="H64" s="23"/>
      <c r="I64" s="23"/>
      <c r="J64" s="23"/>
      <c r="K64" s="23"/>
      <c r="L64" s="23"/>
      <c r="M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3"/>
      <c r="AL64" s="3"/>
      <c r="AM64" s="3"/>
      <c r="AN64" s="3"/>
      <c r="AO64" s="3"/>
      <c r="AP64" s="3"/>
      <c r="AQ64" s="3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23"/>
      <c r="G65" s="23"/>
      <c r="H65" s="23"/>
      <c r="I65" s="23"/>
      <c r="J65" s="23"/>
      <c r="K65" s="23"/>
      <c r="L65" s="23"/>
      <c r="M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3"/>
      <c r="AL65" s="3"/>
      <c r="AM65" s="3"/>
      <c r="AN65" s="3"/>
      <c r="AO65" s="3"/>
      <c r="AP65" s="3"/>
      <c r="AQ65" s="3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23"/>
      <c r="G66" s="23"/>
      <c r="H66" s="23"/>
      <c r="I66" s="23"/>
      <c r="J66" s="23"/>
      <c r="K66" s="23"/>
      <c r="L66" s="23"/>
      <c r="M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3"/>
      <c r="AL66" s="3"/>
      <c r="AM66" s="3"/>
      <c r="AN66" s="3"/>
      <c r="AO66" s="3"/>
      <c r="AP66" s="3"/>
      <c r="AQ66" s="3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23"/>
      <c r="G67" s="23"/>
      <c r="H67" s="23"/>
      <c r="I67" s="23"/>
      <c r="J67" s="23"/>
      <c r="K67" s="23"/>
      <c r="L67" s="23"/>
      <c r="M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"/>
      <c r="AL67" s="3"/>
      <c r="AM67" s="3"/>
      <c r="AN67" s="3"/>
      <c r="AO67" s="3"/>
      <c r="AP67" s="3"/>
      <c r="AQ67" s="3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23"/>
      <c r="G68" s="23"/>
      <c r="H68" s="23"/>
      <c r="I68" s="23"/>
      <c r="J68" s="23"/>
      <c r="K68" s="23"/>
      <c r="L68" s="23"/>
      <c r="M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3"/>
      <c r="AL68" s="3"/>
      <c r="AM68" s="3"/>
      <c r="AN68" s="3"/>
      <c r="AO68" s="3"/>
      <c r="AP68" s="3"/>
      <c r="AQ68" s="3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23"/>
      <c r="G69" s="23"/>
      <c r="H69" s="23"/>
      <c r="I69" s="23"/>
      <c r="J69" s="23"/>
      <c r="K69" s="23"/>
      <c r="L69" s="23"/>
      <c r="M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"/>
      <c r="AL69" s="3"/>
      <c r="AM69" s="3"/>
      <c r="AN69" s="3"/>
      <c r="AO69" s="3"/>
      <c r="AP69" s="3"/>
      <c r="AQ69" s="3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23"/>
      <c r="G70" s="23"/>
      <c r="H70" s="23"/>
      <c r="I70" s="23"/>
      <c r="J70" s="23"/>
      <c r="K70" s="23"/>
      <c r="L70" s="23"/>
      <c r="M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3"/>
      <c r="AL70" s="3"/>
      <c r="AM70" s="3"/>
      <c r="AN70" s="3"/>
      <c r="AO70" s="3"/>
      <c r="AP70" s="3"/>
      <c r="AQ70" s="3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23"/>
      <c r="G71" s="23"/>
      <c r="H71" s="23"/>
      <c r="I71" s="23"/>
      <c r="J71" s="23"/>
      <c r="K71" s="23"/>
      <c r="L71" s="23"/>
      <c r="M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"/>
      <c r="AL71" s="3"/>
      <c r="AM71" s="3"/>
      <c r="AN71" s="3"/>
      <c r="AO71" s="3"/>
      <c r="AP71" s="3"/>
      <c r="AQ71" s="3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23"/>
      <c r="G72" s="23"/>
      <c r="H72" s="23"/>
      <c r="I72" s="23"/>
      <c r="J72" s="23"/>
      <c r="K72" s="23"/>
      <c r="L72" s="23"/>
      <c r="M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3"/>
      <c r="AL72" s="3"/>
      <c r="AM72" s="3"/>
      <c r="AN72" s="3"/>
      <c r="AO72" s="3"/>
      <c r="AP72" s="3"/>
      <c r="AQ72" s="3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23"/>
      <c r="G73" s="23"/>
      <c r="H73" s="23"/>
      <c r="I73" s="23"/>
      <c r="J73" s="23"/>
      <c r="K73" s="23"/>
      <c r="L73" s="23"/>
      <c r="M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"/>
      <c r="AL73" s="3"/>
      <c r="AM73" s="3"/>
      <c r="AN73" s="3"/>
      <c r="AO73" s="3"/>
      <c r="AP73" s="3"/>
      <c r="AQ73" s="3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60" ht="16.5" x14ac:dyDescent="0.3">
      <c r="A89"/>
      <c r="B89"/>
      <c r="C89"/>
      <c r="D89"/>
      <c r="E8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60" ht="16.5" x14ac:dyDescent="0.3">
      <c r="A90"/>
      <c r="B90"/>
      <c r="C90"/>
      <c r="D90"/>
      <c r="E9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hyperlinks>
    <hyperlink ref="L1" r:id="rId1" display="https://youtu.be/9L7PgZBdsWE" xr:uid="{E1AA5160-49F8-43B7-B679-9DE3CFB328DE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sheetPr>
    <tabColor rgb="FFFFFF00"/>
  </sheetPr>
  <dimension ref="A1:AK31"/>
  <sheetViews>
    <sheetView workbookViewId="0">
      <selection activeCell="P29" sqref="P29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86" t="s">
        <v>79</v>
      </c>
      <c r="B1" s="5" t="s">
        <v>0</v>
      </c>
      <c r="C1" s="5" t="s">
        <v>80</v>
      </c>
      <c r="D1" s="5" t="s">
        <v>81</v>
      </c>
      <c r="E1" s="5" t="s">
        <v>82</v>
      </c>
      <c r="F1" s="5" t="s">
        <v>51</v>
      </c>
      <c r="H1" s="86" t="s">
        <v>79</v>
      </c>
      <c r="I1" s="5" t="s">
        <v>0</v>
      </c>
      <c r="J1" s="5" t="s">
        <v>80</v>
      </c>
      <c r="K1" s="5" t="s">
        <v>81</v>
      </c>
      <c r="L1" s="5" t="s">
        <v>82</v>
      </c>
      <c r="M1" s="5" t="s">
        <v>51</v>
      </c>
      <c r="N1" s="1"/>
      <c r="P1" s="86" t="s">
        <v>79</v>
      </c>
      <c r="Q1" s="5" t="s">
        <v>0</v>
      </c>
      <c r="R1" s="5" t="s">
        <v>80</v>
      </c>
      <c r="S1" s="5" t="s">
        <v>81</v>
      </c>
      <c r="T1" s="5" t="s">
        <v>82</v>
      </c>
      <c r="U1" s="5" t="s">
        <v>51</v>
      </c>
      <c r="W1" s="86" t="s">
        <v>79</v>
      </c>
      <c r="X1" s="5" t="s">
        <v>0</v>
      </c>
      <c r="Y1" s="5" t="s">
        <v>80</v>
      </c>
      <c r="Z1" s="5" t="s">
        <v>81</v>
      </c>
      <c r="AA1" s="5" t="s">
        <v>82</v>
      </c>
      <c r="AB1" s="5" t="s">
        <v>51</v>
      </c>
      <c r="AC1" s="1"/>
      <c r="AD1" s="1"/>
      <c r="AE1" s="86" t="s">
        <v>79</v>
      </c>
      <c r="AF1" s="5" t="s">
        <v>0</v>
      </c>
      <c r="AG1" s="5" t="s">
        <v>80</v>
      </c>
      <c r="AH1" s="5" t="s">
        <v>81</v>
      </c>
      <c r="AI1" s="5" t="s">
        <v>82</v>
      </c>
      <c r="AJ1" s="5" t="s">
        <v>51</v>
      </c>
    </row>
    <row r="2" spans="1:37" x14ac:dyDescent="0.25">
      <c r="A2" s="87">
        <v>0</v>
      </c>
      <c r="B2" s="88"/>
      <c r="C2" s="89">
        <f>AVERAGE(B3:B6)</f>
        <v>9.75</v>
      </c>
      <c r="D2" s="90">
        <f>(AVERAGE(B11:B14)-AVERAGE(B3:B6))/(A14-$B$15)</f>
        <v>0.84375</v>
      </c>
      <c r="E2" s="91"/>
      <c r="F2" s="89"/>
      <c r="G2" s="92"/>
      <c r="H2" s="87">
        <v>0</v>
      </c>
      <c r="I2" s="88"/>
      <c r="J2" s="88">
        <f>AVERAGE(I3:I6)</f>
        <v>9.75</v>
      </c>
      <c r="K2" s="93">
        <f>(AVERAGE(I11:I14)-J2)/(H14-I15)</f>
        <v>0.84375</v>
      </c>
      <c r="L2" s="91"/>
      <c r="M2" s="89"/>
      <c r="N2" s="92"/>
      <c r="O2" s="92"/>
      <c r="P2" s="87">
        <v>0</v>
      </c>
      <c r="Q2" s="88"/>
      <c r="R2" s="88">
        <f>AVERAGE(Q3:Q6)</f>
        <v>9.75</v>
      </c>
      <c r="S2" s="93">
        <f>(AVERAGE(Q11:Q14)-R2)/(P14-Q15)</f>
        <v>0.84375</v>
      </c>
      <c r="T2" s="91"/>
      <c r="U2" s="89"/>
      <c r="W2" s="87">
        <v>0</v>
      </c>
      <c r="X2" s="88"/>
      <c r="Y2" s="88">
        <f>AVERAGE(X3:X6)</f>
        <v>9.75</v>
      </c>
      <c r="Z2" s="93">
        <f>(AVERAGE(X11:X14)-Y2)/(W14-X15)</f>
        <v>0.84375</v>
      </c>
      <c r="AA2" s="91"/>
      <c r="AB2" s="89"/>
      <c r="AC2" s="91"/>
      <c r="AD2" s="91"/>
      <c r="AE2" s="87">
        <v>0</v>
      </c>
      <c r="AF2" s="88"/>
      <c r="AG2" s="88">
        <f>AVERAGE(AF3:AF6)</f>
        <v>9.75</v>
      </c>
      <c r="AH2" s="93">
        <f>(AVERAGE(AF11:AF14)-AG2)/(AE14-AF15)</f>
        <v>0.84375</v>
      </c>
      <c r="AI2" s="91"/>
      <c r="AJ2" s="89"/>
    </row>
    <row r="3" spans="1:37" x14ac:dyDescent="0.25">
      <c r="A3" s="94">
        <v>1</v>
      </c>
      <c r="B3" s="95">
        <v>4</v>
      </c>
      <c r="C3" s="96"/>
      <c r="D3" s="89"/>
      <c r="E3" s="90">
        <f>B3/AVERAGE($B$3:$B$6)</f>
        <v>0.41025641025641024</v>
      </c>
      <c r="F3" s="97">
        <f>(C2+D2)*E3</f>
        <v>4.3461538461538458</v>
      </c>
      <c r="G3" s="92"/>
      <c r="H3" s="94">
        <v>1</v>
      </c>
      <c r="I3" s="95">
        <v>4</v>
      </c>
      <c r="J3" s="96">
        <f>(1-$B$24)*(J2+K2)+$B$24*I3/L3</f>
        <v>10.3828125</v>
      </c>
      <c r="K3" s="89">
        <f>(1-$B$25)*K2+$B$25*(J3-J2)</f>
        <v>0.791015625</v>
      </c>
      <c r="L3" s="93">
        <f>I3/AVERAGE($B$3:$B$6)</f>
        <v>0.41025641025641024</v>
      </c>
      <c r="M3" s="98">
        <f>(J2+K2)*L3</f>
        <v>4.3461538461538458</v>
      </c>
      <c r="N3" s="92"/>
      <c r="O3" s="92"/>
      <c r="P3" s="94">
        <v>1</v>
      </c>
      <c r="Q3" s="95">
        <v>4</v>
      </c>
      <c r="R3" s="99">
        <f>(1-$B$24)*(R2+S2)+$B$24*Q3/T3</f>
        <v>10.3828125</v>
      </c>
      <c r="S3" s="100">
        <f>(1-$B$25)*S2+$B$25*(R3-R2)</f>
        <v>0.791015625</v>
      </c>
      <c r="T3" s="93">
        <f>Q3/AVERAGE($B$3:$B$6)</f>
        <v>0.41025641025641024</v>
      </c>
      <c r="U3" s="98">
        <f>(R2+S2)*T3</f>
        <v>4.3461538461538458</v>
      </c>
      <c r="W3" s="94">
        <v>1</v>
      </c>
      <c r="X3" s="95">
        <v>4</v>
      </c>
      <c r="Y3" s="99">
        <f>(1-$B$24)*(Y2+Z2)+$B$24*X3/AA3</f>
        <v>10.3828125</v>
      </c>
      <c r="Z3" s="100">
        <f>(1-$B$25)*Z2+$B$25*(Y3-Y2)</f>
        <v>0.791015625</v>
      </c>
      <c r="AA3" s="93">
        <f>X3/AVERAGE($B$3:$B$6)</f>
        <v>0.41025641025641024</v>
      </c>
      <c r="AB3" s="98">
        <f>(Y2+Z2)*AA3</f>
        <v>4.3461538461538458</v>
      </c>
      <c r="AC3" s="101"/>
      <c r="AD3" s="101"/>
      <c r="AE3" s="94">
        <v>1</v>
      </c>
      <c r="AF3" s="95">
        <v>4</v>
      </c>
      <c r="AG3" s="99">
        <f>(1-$B$24)*(AG2+AH2)+$B$24*AF3/AI3</f>
        <v>10.3828125</v>
      </c>
      <c r="AH3" s="100">
        <f>(1-$B$25)*AH2+$B$25*(AG3-AG2)</f>
        <v>0.791015625</v>
      </c>
      <c r="AI3" s="100">
        <f>AF3/AVERAGE($B$3:$B$6)</f>
        <v>0.41025641025641024</v>
      </c>
      <c r="AJ3" s="102">
        <f>(AG2+AH2)*AI3</f>
        <v>4.3461538461538458</v>
      </c>
    </row>
    <row r="4" spans="1:37" x14ac:dyDescent="0.25">
      <c r="A4" s="94">
        <v>2</v>
      </c>
      <c r="B4" s="95">
        <v>9</v>
      </c>
      <c r="C4" s="96"/>
      <c r="D4" s="89"/>
      <c r="E4" s="90">
        <f>B4/AVERAGE($B$3:$B$6)</f>
        <v>0.92307692307692313</v>
      </c>
      <c r="F4" s="103"/>
      <c r="G4" s="92"/>
      <c r="H4" s="94">
        <v>2</v>
      </c>
      <c r="I4" s="95">
        <v>9</v>
      </c>
      <c r="J4" s="96"/>
      <c r="K4" s="89"/>
      <c r="L4" s="93">
        <f>I4/AVERAGE($B$3:$B$6)</f>
        <v>0.92307692307692313</v>
      </c>
      <c r="M4" s="97">
        <f>(J3+K3)*L4</f>
        <v>10.314302884615385</v>
      </c>
      <c r="N4" s="92"/>
      <c r="O4" s="92"/>
      <c r="P4" s="94">
        <v>2</v>
      </c>
      <c r="Q4" s="95">
        <v>9</v>
      </c>
      <c r="R4" s="104">
        <f>(1-$B$24)*(R3+S3)+$B$24*Q4/T4</f>
        <v>10.81787109375</v>
      </c>
      <c r="S4" s="90">
        <f>(1-$B$25)*S3+$B$25*(R4-R3)</f>
        <v>0.7020263671875</v>
      </c>
      <c r="T4" s="93">
        <f>Q4/AVERAGE($B$3:$B$6)</f>
        <v>0.92307692307692313</v>
      </c>
      <c r="U4" s="102">
        <f>(R3+S3)*T4</f>
        <v>10.314302884615385</v>
      </c>
      <c r="W4" s="94">
        <v>2</v>
      </c>
      <c r="X4" s="95">
        <v>9</v>
      </c>
      <c r="Y4" s="105">
        <f>(1-$B$24)*(Y3+Z3)+$B$24*X4/AA4</f>
        <v>10.81787109375</v>
      </c>
      <c r="Z4" s="93">
        <f>(1-$B$25)*Z3+$B$25*(Y4-Y3)</f>
        <v>0.7020263671875</v>
      </c>
      <c r="AA4" s="93">
        <f>X4/AVERAGE($B$3:$B$6)</f>
        <v>0.92307692307692313</v>
      </c>
      <c r="AB4" s="102">
        <f>(Y3+Z3)*AA4</f>
        <v>10.314302884615385</v>
      </c>
      <c r="AC4" s="106"/>
      <c r="AD4" s="106"/>
      <c r="AE4" s="94">
        <v>2</v>
      </c>
      <c r="AF4" s="95">
        <v>9</v>
      </c>
      <c r="AG4" s="105">
        <f>(1-$B$24)*(AG3+AH3)+$B$24*AF4/AI4</f>
        <v>10.81787109375</v>
      </c>
      <c r="AH4" s="93">
        <f>(1-$B$25)*AH3+$B$25*(AG4-AG3)</f>
        <v>0.7020263671875</v>
      </c>
      <c r="AI4" s="100">
        <f>AF4/AVERAGE($B$3:$B$6)</f>
        <v>0.92307692307692313</v>
      </c>
      <c r="AJ4" s="102">
        <f>(AG3+AH3)*AI4</f>
        <v>10.314302884615385</v>
      </c>
    </row>
    <row r="5" spans="1:37" x14ac:dyDescent="0.25">
      <c r="A5" s="94">
        <v>3</v>
      </c>
      <c r="B5" s="95">
        <v>15</v>
      </c>
      <c r="C5" s="96"/>
      <c r="D5" s="89"/>
      <c r="E5" s="90">
        <f>B5/AVERAGE($B$3:$B$6)</f>
        <v>1.5384615384615385</v>
      </c>
      <c r="F5" s="103"/>
      <c r="G5" s="92"/>
      <c r="H5" s="94">
        <v>3</v>
      </c>
      <c r="I5" s="95">
        <v>15</v>
      </c>
      <c r="J5" s="96"/>
      <c r="K5" s="89"/>
      <c r="L5" s="93">
        <f>I5/AVERAGE($B$3:$B$6)</f>
        <v>1.5384615384615385</v>
      </c>
      <c r="M5" s="103"/>
      <c r="N5" s="92"/>
      <c r="O5" s="92"/>
      <c r="P5" s="94">
        <v>3</v>
      </c>
      <c r="Q5" s="95">
        <v>15</v>
      </c>
      <c r="R5" s="96"/>
      <c r="S5" s="89"/>
      <c r="T5" s="93">
        <f>Q5/AVERAGE($B$3:$B$6)</f>
        <v>1.5384615384615385</v>
      </c>
      <c r="U5" s="97">
        <f>(R4+S4)*T5</f>
        <v>17.722919170673077</v>
      </c>
      <c r="W5" s="94">
        <v>3</v>
      </c>
      <c r="X5" s="95">
        <v>15</v>
      </c>
      <c r="Y5" s="104">
        <f>(1-$B$24)*(Y4+Z4)+$B$24*X5/AA5</f>
        <v>11.077423095703125</v>
      </c>
      <c r="Z5" s="90">
        <f>(1-$B$25)*Z4+$B$25*(Y5-Y4)</f>
        <v>0.59140777587890625</v>
      </c>
      <c r="AA5" s="93">
        <f>X5/AVERAGE($B$3:$B$6)</f>
        <v>1.5384615384615385</v>
      </c>
      <c r="AB5" s="98">
        <f>(Y4+Z4)*AA5</f>
        <v>17.722919170673077</v>
      </c>
      <c r="AC5" s="107"/>
      <c r="AD5" s="107"/>
      <c r="AE5" s="94">
        <v>3</v>
      </c>
      <c r="AF5" s="95">
        <v>15</v>
      </c>
      <c r="AG5" s="99">
        <f>(1-$B$24)*(AG4+AH4)+$B$24*AF5/AI5</f>
        <v>11.077423095703125</v>
      </c>
      <c r="AH5" s="100">
        <f>(1-$B$25)*AH4+$B$25*(AG5-AG4)</f>
        <v>0.59140777587890625</v>
      </c>
      <c r="AI5" s="100">
        <f>AF5/AVERAGE($B$3:$B$6)</f>
        <v>1.5384615384615385</v>
      </c>
      <c r="AJ5" s="102">
        <f>(AG4+AH4)*AI5</f>
        <v>17.722919170673077</v>
      </c>
    </row>
    <row r="6" spans="1:37" x14ac:dyDescent="0.25">
      <c r="A6" s="94">
        <v>4</v>
      </c>
      <c r="B6" s="95">
        <v>11</v>
      </c>
      <c r="C6" s="96"/>
      <c r="D6" s="89"/>
      <c r="E6" s="90">
        <f>B6/AVERAGE($B$3:$B$6)</f>
        <v>1.1282051282051282</v>
      </c>
      <c r="F6" s="103"/>
      <c r="G6" s="92"/>
      <c r="H6" s="94">
        <v>4</v>
      </c>
      <c r="I6" s="95">
        <v>11</v>
      </c>
      <c r="J6" s="96"/>
      <c r="K6" s="89"/>
      <c r="L6" s="93">
        <f>I6/AVERAGE($B$3:$B$6)</f>
        <v>1.1282051282051282</v>
      </c>
      <c r="M6" s="103"/>
      <c r="N6" s="92"/>
      <c r="O6" s="92"/>
      <c r="P6" s="94">
        <v>4</v>
      </c>
      <c r="Q6" s="95">
        <v>11</v>
      </c>
      <c r="R6" s="96"/>
      <c r="S6" s="89"/>
      <c r="T6" s="93">
        <f>Q6/AVERAGE($B$3:$B$6)</f>
        <v>1.1282051282051282</v>
      </c>
      <c r="U6" s="103"/>
      <c r="W6" s="94">
        <v>4</v>
      </c>
      <c r="X6" s="95">
        <v>11</v>
      </c>
      <c r="Y6" s="96"/>
      <c r="Z6" s="89"/>
      <c r="AA6" s="93">
        <f>X6/AVERAGE($B$3:$B$6)</f>
        <v>1.1282051282051282</v>
      </c>
      <c r="AB6" s="97">
        <f>(Y5+Z5)*AA6</f>
        <v>13.164834829477163</v>
      </c>
      <c r="AC6" s="91"/>
      <c r="AD6" s="91"/>
      <c r="AE6" s="94">
        <v>4</v>
      </c>
      <c r="AF6" s="95">
        <v>11</v>
      </c>
      <c r="AG6" s="104">
        <f>(1-$B$24)*(AG5+AH5)+$B$24*AF6/AI6</f>
        <v>11.189123153686523</v>
      </c>
      <c r="AH6" s="90">
        <f>(1-$B$25)*AH5+$B$25*(AG6-AG5)</f>
        <v>0.4714808464050293</v>
      </c>
      <c r="AI6" s="100">
        <f>AF6/AVERAGE($B$3:$B$6)</f>
        <v>1.1282051282051282</v>
      </c>
      <c r="AJ6" s="102">
        <f>(AG5+AH5)*AI6</f>
        <v>13.164834829477163</v>
      </c>
    </row>
    <row r="7" spans="1:37" x14ac:dyDescent="0.25">
      <c r="A7" s="94">
        <v>5</v>
      </c>
      <c r="B7" s="95">
        <v>6</v>
      </c>
      <c r="C7" s="87"/>
      <c r="D7" s="88"/>
      <c r="E7" s="88"/>
      <c r="F7" s="88"/>
      <c r="G7" s="92"/>
      <c r="H7" s="94">
        <v>5</v>
      </c>
      <c r="I7" s="95">
        <v>6</v>
      </c>
      <c r="J7" s="87"/>
      <c r="K7" s="88"/>
      <c r="L7" s="90">
        <f>(1-$B$26)*L3+$B$26*I3/(J2+K2)</f>
        <v>0.40208758792829591</v>
      </c>
      <c r="M7" s="88"/>
      <c r="N7" s="92"/>
      <c r="O7" s="92"/>
      <c r="P7" s="94">
        <v>5</v>
      </c>
      <c r="Q7" s="95">
        <v>6</v>
      </c>
      <c r="R7" s="87"/>
      <c r="S7" s="88"/>
      <c r="T7" s="100">
        <f>(1-$B$26)*T3+J26*Q3/(R2+S2)</f>
        <v>0.30769230769230771</v>
      </c>
      <c r="U7" s="88"/>
      <c r="W7" s="94">
        <v>5</v>
      </c>
      <c r="X7" s="95">
        <v>6</v>
      </c>
      <c r="Y7" s="87"/>
      <c r="Z7" s="88"/>
      <c r="AA7" s="100">
        <f>(1-$B$26)*AA3+Q26*X3/(Y2+Z2)</f>
        <v>0.30769230769230771</v>
      </c>
      <c r="AB7" s="88"/>
      <c r="AC7" s="92"/>
      <c r="AD7" s="92"/>
      <c r="AE7" s="94">
        <v>5</v>
      </c>
      <c r="AF7" s="95">
        <v>6</v>
      </c>
      <c r="AG7" s="87"/>
      <c r="AH7" s="88"/>
      <c r="AI7" s="100">
        <f>(1-$B$26)*AI3+Z26*AF3/(AG2+AH2)</f>
        <v>0.30769230769230771</v>
      </c>
      <c r="AJ7" s="97">
        <f>(AG6+AH6)*AI7</f>
        <v>3.5878781538743243</v>
      </c>
    </row>
    <row r="8" spans="1:37" x14ac:dyDescent="0.25">
      <c r="A8" s="94">
        <v>6</v>
      </c>
      <c r="B8" s="95">
        <v>14</v>
      </c>
      <c r="C8" s="87"/>
      <c r="D8" s="88"/>
      <c r="E8" s="88"/>
      <c r="F8" s="88"/>
      <c r="G8" s="92"/>
      <c r="H8" s="94">
        <v>6</v>
      </c>
      <c r="I8" s="95">
        <v>14</v>
      </c>
      <c r="J8" s="87"/>
      <c r="K8" s="88"/>
      <c r="L8" s="88"/>
      <c r="M8" s="88"/>
      <c r="N8" s="92"/>
      <c r="O8" s="92"/>
      <c r="P8" s="94">
        <v>6</v>
      </c>
      <c r="Q8" s="95">
        <v>14</v>
      </c>
      <c r="R8" s="87"/>
      <c r="S8" s="88"/>
      <c r="T8" s="90">
        <f>(1-$B$26)*T4+J27*Q4/(R3+S3)</f>
        <v>0.69230769230769229</v>
      </c>
      <c r="U8" s="88"/>
      <c r="W8" s="94">
        <v>6</v>
      </c>
      <c r="X8" s="95">
        <v>14</v>
      </c>
      <c r="Y8" s="87"/>
      <c r="Z8" s="88"/>
      <c r="AA8" s="93">
        <f>(1-$B$26)*AA4+Q27*X4/(Y3+Z3)</f>
        <v>0.69230769230769229</v>
      </c>
      <c r="AB8" s="88"/>
      <c r="AC8" s="92"/>
      <c r="AD8" s="92"/>
      <c r="AE8" s="94">
        <v>6</v>
      </c>
      <c r="AF8" s="95">
        <v>14</v>
      </c>
      <c r="AG8" s="87"/>
      <c r="AH8" s="88"/>
      <c r="AI8" s="100">
        <f>(1-$B$26)*AI4+Z27*AF4/(AG3+AH3)</f>
        <v>0.69230769230769229</v>
      </c>
      <c r="AJ8" s="88"/>
    </row>
    <row r="9" spans="1:37" x14ac:dyDescent="0.25">
      <c r="A9" s="94">
        <v>7</v>
      </c>
      <c r="B9" s="95">
        <v>23</v>
      </c>
      <c r="C9" s="87"/>
      <c r="D9" s="88"/>
      <c r="E9" s="88"/>
      <c r="F9" s="88"/>
      <c r="G9" s="92"/>
      <c r="H9" s="94">
        <v>7</v>
      </c>
      <c r="I9" s="95">
        <v>23</v>
      </c>
      <c r="J9" s="87"/>
      <c r="K9" s="88"/>
      <c r="L9" s="88"/>
      <c r="M9" s="88"/>
      <c r="N9" s="92"/>
      <c r="O9" s="92"/>
      <c r="P9" s="94">
        <v>7</v>
      </c>
      <c r="Q9" s="95">
        <v>23</v>
      </c>
      <c r="R9" s="87"/>
      <c r="S9" s="88"/>
      <c r="T9" s="88"/>
      <c r="U9" s="88"/>
      <c r="W9" s="94">
        <v>7</v>
      </c>
      <c r="X9" s="95">
        <v>23</v>
      </c>
      <c r="Y9" s="87"/>
      <c r="Z9" s="88"/>
      <c r="AA9" s="90">
        <f>(1-$B$26)*AA5+Q28*X5/(Y4+Z4)</f>
        <v>1.153846153846154</v>
      </c>
      <c r="AB9" s="88"/>
      <c r="AC9" s="92"/>
      <c r="AD9" s="92"/>
      <c r="AE9" s="94">
        <v>7</v>
      </c>
      <c r="AF9" s="95">
        <v>23</v>
      </c>
      <c r="AG9" s="87"/>
      <c r="AH9" s="88"/>
      <c r="AI9" s="100">
        <f>(1-$B$26)*AI5+Z28*AF5/(AG4+AH4)</f>
        <v>1.153846153846154</v>
      </c>
      <c r="AJ9" s="88"/>
    </row>
    <row r="10" spans="1:37" x14ac:dyDescent="0.25">
      <c r="A10" s="94">
        <v>8</v>
      </c>
      <c r="B10" s="95">
        <v>16</v>
      </c>
      <c r="C10" s="87"/>
      <c r="D10" s="88"/>
      <c r="E10" s="88"/>
      <c r="F10" s="88"/>
      <c r="G10" s="92"/>
      <c r="H10" s="94">
        <v>8</v>
      </c>
      <c r="I10" s="95">
        <v>16</v>
      </c>
      <c r="J10" s="87"/>
      <c r="K10" s="88"/>
      <c r="L10" s="88"/>
      <c r="M10" s="88"/>
      <c r="N10" s="92"/>
      <c r="O10" s="92"/>
      <c r="P10" s="94">
        <v>8</v>
      </c>
      <c r="Q10" s="95">
        <v>16</v>
      </c>
      <c r="R10" s="87"/>
      <c r="S10" s="88"/>
      <c r="T10" s="88"/>
      <c r="U10" s="88"/>
      <c r="W10" s="94">
        <v>8</v>
      </c>
      <c r="X10" s="95">
        <v>16</v>
      </c>
      <c r="Y10" s="87"/>
      <c r="Z10" s="88"/>
      <c r="AA10" s="88"/>
      <c r="AB10" s="88"/>
      <c r="AC10" s="92"/>
      <c r="AD10" s="92"/>
      <c r="AE10" s="94">
        <v>8</v>
      </c>
      <c r="AF10" s="95">
        <v>16</v>
      </c>
      <c r="AG10" s="87"/>
      <c r="AH10" s="88"/>
      <c r="AI10" s="90">
        <f>(1-$B$26)*AI6+Z29*AF6/(AG5+AH5)</f>
        <v>0.84615384615384615</v>
      </c>
      <c r="AJ10" s="88"/>
    </row>
    <row r="11" spans="1:37" x14ac:dyDescent="0.25">
      <c r="A11" s="94">
        <v>9</v>
      </c>
      <c r="B11" s="95">
        <v>8</v>
      </c>
      <c r="C11" s="87"/>
      <c r="D11" s="88"/>
      <c r="E11" s="88"/>
      <c r="F11" s="88"/>
      <c r="G11" s="92"/>
      <c r="H11" s="94">
        <v>9</v>
      </c>
      <c r="I11" s="95">
        <v>8</v>
      </c>
      <c r="J11" s="87"/>
      <c r="K11" s="88"/>
      <c r="L11" s="88"/>
      <c r="M11" s="88"/>
      <c r="N11" s="92"/>
      <c r="O11" s="92"/>
      <c r="P11" s="94">
        <v>9</v>
      </c>
      <c r="Q11" s="95">
        <v>8</v>
      </c>
      <c r="R11" s="87"/>
      <c r="S11" s="88"/>
      <c r="T11" s="88"/>
      <c r="U11" s="88"/>
      <c r="W11" s="94">
        <v>9</v>
      </c>
      <c r="X11" s="95">
        <v>8</v>
      </c>
      <c r="Y11" s="87"/>
      <c r="Z11" s="88"/>
      <c r="AA11" s="88"/>
      <c r="AB11" s="88"/>
      <c r="AC11" s="92"/>
      <c r="AD11" s="92"/>
      <c r="AE11" s="94">
        <v>9</v>
      </c>
      <c r="AF11" s="95">
        <v>8</v>
      </c>
      <c r="AG11" s="87"/>
      <c r="AH11" s="88"/>
      <c r="AI11" s="88"/>
      <c r="AJ11" s="88"/>
    </row>
    <row r="12" spans="1:37" x14ac:dyDescent="0.25">
      <c r="A12" s="94">
        <v>10</v>
      </c>
      <c r="B12" s="95">
        <v>17</v>
      </c>
      <c r="C12" s="87"/>
      <c r="D12" s="88"/>
      <c r="E12" s="88"/>
      <c r="F12" s="88"/>
      <c r="G12" s="92"/>
      <c r="H12" s="94">
        <v>10</v>
      </c>
      <c r="I12" s="95">
        <v>17</v>
      </c>
      <c r="J12" s="87"/>
      <c r="K12" s="88"/>
      <c r="L12" s="88"/>
      <c r="M12" s="88"/>
      <c r="N12" s="92"/>
      <c r="O12" s="92"/>
      <c r="P12" s="94">
        <v>10</v>
      </c>
      <c r="Q12" s="95">
        <v>17</v>
      </c>
      <c r="R12" s="87"/>
      <c r="S12" s="88"/>
      <c r="T12" s="88"/>
      <c r="U12" s="88"/>
      <c r="W12" s="94">
        <v>10</v>
      </c>
      <c r="X12" s="95">
        <v>17</v>
      </c>
      <c r="Y12" s="87"/>
      <c r="Z12" s="88"/>
      <c r="AA12" s="88"/>
      <c r="AB12" s="88"/>
      <c r="AC12" s="92"/>
      <c r="AD12" s="92"/>
      <c r="AE12" s="94">
        <v>10</v>
      </c>
      <c r="AF12" s="95">
        <v>17</v>
      </c>
      <c r="AG12" s="87"/>
      <c r="AH12" s="88"/>
      <c r="AI12" s="88"/>
      <c r="AJ12" s="88"/>
    </row>
    <row r="13" spans="1:37" x14ac:dyDescent="0.25">
      <c r="A13" s="94">
        <v>11</v>
      </c>
      <c r="B13" s="95">
        <v>24</v>
      </c>
      <c r="C13" s="87"/>
      <c r="D13" s="88"/>
      <c r="E13" s="88"/>
      <c r="F13" s="88"/>
      <c r="G13" s="92"/>
      <c r="H13" s="94">
        <v>11</v>
      </c>
      <c r="I13" s="95">
        <v>24</v>
      </c>
      <c r="J13" s="87"/>
      <c r="K13" s="88"/>
      <c r="L13" s="88"/>
      <c r="M13" s="88"/>
      <c r="N13" s="92"/>
      <c r="O13" s="92"/>
      <c r="P13" s="94">
        <v>11</v>
      </c>
      <c r="Q13" s="95">
        <v>24</v>
      </c>
      <c r="R13" s="87"/>
      <c r="S13" s="88"/>
      <c r="T13" s="88"/>
      <c r="U13" s="88"/>
      <c r="W13" s="94">
        <v>11</v>
      </c>
      <c r="X13" s="95">
        <v>24</v>
      </c>
      <c r="Y13" s="87"/>
      <c r="Z13" s="88"/>
      <c r="AA13" s="88"/>
      <c r="AB13" s="88"/>
      <c r="AC13" s="92"/>
      <c r="AD13" s="92"/>
      <c r="AE13" s="94">
        <v>11</v>
      </c>
      <c r="AF13" s="95">
        <v>24</v>
      </c>
      <c r="AG13" s="87"/>
      <c r="AH13" s="88"/>
      <c r="AI13" s="88"/>
      <c r="AJ13" s="88"/>
    </row>
    <row r="14" spans="1:37" ht="15.75" thickBot="1" x14ac:dyDescent="0.3">
      <c r="A14" s="108">
        <v>12</v>
      </c>
      <c r="B14" s="109">
        <v>17</v>
      </c>
      <c r="C14" s="110"/>
      <c r="D14" s="111"/>
      <c r="E14" s="111"/>
      <c r="F14" s="111"/>
      <c r="G14" s="92"/>
      <c r="H14" s="108">
        <v>12</v>
      </c>
      <c r="I14" s="109">
        <v>17</v>
      </c>
      <c r="J14" s="110"/>
      <c r="K14" s="111"/>
      <c r="L14" s="111"/>
      <c r="M14" s="111"/>
      <c r="N14" s="92"/>
      <c r="O14" s="92"/>
      <c r="P14" s="108">
        <v>12</v>
      </c>
      <c r="Q14" s="109">
        <v>17</v>
      </c>
      <c r="R14" s="110"/>
      <c r="S14" s="111"/>
      <c r="T14" s="111"/>
      <c r="U14" s="111"/>
      <c r="W14" s="108">
        <v>12</v>
      </c>
      <c r="X14" s="109">
        <v>17</v>
      </c>
      <c r="Y14" s="110"/>
      <c r="Z14" s="111"/>
      <c r="AA14" s="111"/>
      <c r="AB14" s="111"/>
      <c r="AC14" s="92"/>
      <c r="AD14" s="92"/>
      <c r="AE14" s="108">
        <v>12</v>
      </c>
      <c r="AF14" s="109">
        <v>17</v>
      </c>
      <c r="AG14" s="110"/>
      <c r="AH14" s="111"/>
      <c r="AI14" s="111"/>
      <c r="AJ14" s="111"/>
    </row>
    <row r="15" spans="1:37" ht="15.75" thickBot="1" x14ac:dyDescent="0.3">
      <c r="A15" s="67" t="s">
        <v>83</v>
      </c>
      <c r="B15" s="4">
        <v>4</v>
      </c>
      <c r="C15" s="67"/>
      <c r="D15" s="4"/>
      <c r="E15" s="67"/>
      <c r="F15" s="4"/>
      <c r="H15" s="67"/>
      <c r="I15" s="4">
        <v>4</v>
      </c>
      <c r="J15" s="1"/>
      <c r="K15" s="4"/>
      <c r="L15" s="67"/>
      <c r="M15" s="4"/>
      <c r="N15" s="4"/>
      <c r="P15" s="67"/>
      <c r="Q15" s="4">
        <v>4</v>
      </c>
      <c r="R15" s="1"/>
      <c r="S15" s="4"/>
      <c r="T15" s="67"/>
      <c r="U15" s="4"/>
      <c r="W15" s="67"/>
      <c r="X15" s="4">
        <v>4</v>
      </c>
      <c r="Y15" s="1"/>
      <c r="Z15" s="4"/>
      <c r="AA15" s="67"/>
      <c r="AB15" s="4"/>
      <c r="AC15" s="4"/>
      <c r="AD15" s="4"/>
      <c r="AF15" s="188">
        <v>4</v>
      </c>
    </row>
    <row r="16" spans="1:37" x14ac:dyDescent="0.25">
      <c r="A16" s="112" t="s">
        <v>84</v>
      </c>
      <c r="B16" s="113" t="str">
        <f ca="1">_xlfn.FORMULATEXT(C2)</f>
        <v>=AVERAGE(B3:B6)</v>
      </c>
      <c r="C16" s="114"/>
      <c r="D16" s="115"/>
      <c r="E16" s="117"/>
      <c r="F16" s="118"/>
      <c r="H16" s="116"/>
      <c r="I16" s="117"/>
      <c r="J16" s="115"/>
      <c r="K16" s="112" t="s">
        <v>85</v>
      </c>
      <c r="L16" s="113" t="str">
        <f ca="1">_xlfn.FORMULATEXT(J3)</f>
        <v>=(1-$B$24)*(J2+K2)+$B$24*I3/L3</v>
      </c>
      <c r="M16" s="115"/>
      <c r="N16" s="118"/>
      <c r="P16" s="116"/>
      <c r="Q16" s="117"/>
      <c r="R16" s="112" t="s">
        <v>86</v>
      </c>
      <c r="S16" s="113" t="str">
        <f ca="1">_xlfn.FORMULATEXT(R4)</f>
        <v>=(1-$B$24)*(R3+S3)+$B$24*Q4/T4</v>
      </c>
      <c r="T16" s="115"/>
      <c r="U16" s="119"/>
      <c r="W16" s="116"/>
      <c r="X16" s="117"/>
      <c r="Y16" s="112" t="s">
        <v>87</v>
      </c>
      <c r="Z16" s="113" t="str">
        <f ca="1">_xlfn.FORMULATEXT(Y5)</f>
        <v>=(1-$B$24)*(Y4+Z4)+$B$24*X5/AA5</v>
      </c>
      <c r="AA16" s="113"/>
      <c r="AB16" s="113"/>
      <c r="AC16" s="119"/>
      <c r="AE16" s="116"/>
      <c r="AF16" s="117"/>
      <c r="AG16" s="112" t="s">
        <v>88</v>
      </c>
      <c r="AH16" s="113" t="str">
        <f ca="1">_xlfn.FORMULATEXT(AG5)</f>
        <v>=(1-$B$24)*(AG4+AH4)+$B$24*AF5/AI5</v>
      </c>
      <c r="AI16" s="113"/>
      <c r="AJ16" s="113"/>
      <c r="AK16" s="119"/>
    </row>
    <row r="17" spans="1:37" x14ac:dyDescent="0.25">
      <c r="A17" s="120" t="s">
        <v>89</v>
      </c>
      <c r="B17" s="159" t="str">
        <f ca="1">_xlfn.FORMULATEXT(D2)</f>
        <v>=(AVERAGE(B11:B14)-AVERAGE(B3:B6))/(A14-$B$15)</v>
      </c>
      <c r="C17" s="160"/>
      <c r="D17" s="161"/>
      <c r="E17" s="158"/>
      <c r="F17" s="125"/>
      <c r="H17" s="123"/>
      <c r="I17" s="124"/>
      <c r="J17" s="122"/>
      <c r="K17" s="120" t="s">
        <v>90</v>
      </c>
      <c r="L17" s="121" t="str">
        <f ca="1">_xlfn.FORMULATEXT(K3)</f>
        <v>=(1-$B$25)*K2+$B$25*(J3-J2)</v>
      </c>
      <c r="M17" s="122"/>
      <c r="N17" s="125"/>
      <c r="P17" s="123"/>
      <c r="Q17" s="124"/>
      <c r="R17" s="120" t="s">
        <v>91</v>
      </c>
      <c r="S17" s="121" t="str">
        <f ca="1">_xlfn.FORMULATEXT(S4)</f>
        <v>=(1-$B$25)*S3+$B$25*(R4-R3)</v>
      </c>
      <c r="T17" s="122"/>
      <c r="U17" s="126"/>
      <c r="W17" s="123"/>
      <c r="X17" s="124"/>
      <c r="Y17" s="120" t="s">
        <v>92</v>
      </c>
      <c r="Z17" s="121" t="str">
        <f ca="1">_xlfn.FORMULATEXT(Z5)</f>
        <v>=(1-$B$25)*Z4+$B$25*(Y5-Y4)</v>
      </c>
      <c r="AA17" s="121"/>
      <c r="AB17" s="121"/>
      <c r="AC17" s="126"/>
      <c r="AE17" s="123"/>
      <c r="AF17" s="124"/>
      <c r="AG17" s="120" t="s">
        <v>93</v>
      </c>
      <c r="AH17" s="121" t="str">
        <f ca="1">_xlfn.FORMULATEXT(AH6)</f>
        <v>=(1-$B$25)*AH5+$B$25*(AG6-AG5)</v>
      </c>
      <c r="AI17" s="121"/>
      <c r="AJ17" s="121"/>
      <c r="AK17" s="126"/>
    </row>
    <row r="18" spans="1:37" x14ac:dyDescent="0.25">
      <c r="A18" s="120" t="s">
        <v>75</v>
      </c>
      <c r="B18" s="159" t="str">
        <f ca="1">_xlfn.FORMULATEXT(E3)</f>
        <v>=B3/AVERAGE($B$3:$B$6)</v>
      </c>
      <c r="C18" s="160"/>
      <c r="D18" s="161"/>
      <c r="E18" s="158"/>
      <c r="F18" s="125"/>
      <c r="H18" s="123"/>
      <c r="I18" s="124"/>
      <c r="J18" s="122"/>
      <c r="K18" s="120" t="s">
        <v>94</v>
      </c>
      <c r="L18" s="121" t="str">
        <f ca="1">_xlfn.FORMULATEXT(M4)</f>
        <v>=(J3+K3)*L4</v>
      </c>
      <c r="M18" s="122"/>
      <c r="N18" s="125"/>
      <c r="P18" s="123"/>
      <c r="Q18" s="124"/>
      <c r="R18" s="120" t="s">
        <v>95</v>
      </c>
      <c r="S18" s="121" t="str">
        <f ca="1">_xlfn.FORMULATEXT(U5)</f>
        <v>=(R4+S4)*T5</v>
      </c>
      <c r="T18" s="122"/>
      <c r="U18" s="126"/>
      <c r="W18" s="123"/>
      <c r="X18" s="124"/>
      <c r="Y18" s="120" t="s">
        <v>96</v>
      </c>
      <c r="Z18" s="121" t="str">
        <f ca="1">_xlfn.FORMULATEXT(AB6)</f>
        <v>=(Y5+Z5)*AA6</v>
      </c>
      <c r="AA18" s="121"/>
      <c r="AB18" s="121"/>
      <c r="AC18" s="126"/>
      <c r="AE18" s="123"/>
      <c r="AF18" s="124"/>
      <c r="AG18" s="120" t="s">
        <v>97</v>
      </c>
      <c r="AH18" s="121" t="str">
        <f ca="1">_xlfn.FORMULATEXT(AJ6)</f>
        <v>=(AG5+AH5)*AI6</v>
      </c>
      <c r="AI18" s="121"/>
      <c r="AJ18" s="121"/>
      <c r="AK18" s="126"/>
    </row>
    <row r="19" spans="1:37" ht="15.75" thickBot="1" x14ac:dyDescent="0.3">
      <c r="A19" s="120" t="s">
        <v>76</v>
      </c>
      <c r="B19" s="159" t="str">
        <f ca="1">_xlfn.FORMULATEXT(E4)</f>
        <v>=B4/AVERAGE($B$3:$B$6)</v>
      </c>
      <c r="C19" s="160"/>
      <c r="D19" s="161"/>
      <c r="E19" s="158"/>
      <c r="F19" s="125"/>
      <c r="H19" s="127"/>
      <c r="I19" s="128"/>
      <c r="J19" s="129"/>
      <c r="K19" s="130" t="s">
        <v>98</v>
      </c>
      <c r="L19" s="131" t="str">
        <f ca="1">_xlfn.FORMULATEXT(L7)</f>
        <v>=(1-$B$26)*L3+$B$26*I3/(J2+K2)</v>
      </c>
      <c r="M19" s="129"/>
      <c r="N19" s="132"/>
      <c r="P19" s="127"/>
      <c r="Q19" s="128"/>
      <c r="R19" s="130" t="s">
        <v>99</v>
      </c>
      <c r="S19" s="131" t="str">
        <f ca="1">_xlfn.FORMULATEXT(T8)</f>
        <v>=(1-$B$26)*T4+J27*Q4/(R3+S3)</v>
      </c>
      <c r="T19" s="129"/>
      <c r="U19" s="133"/>
      <c r="W19" s="127"/>
      <c r="X19" s="128"/>
      <c r="Y19" s="130" t="s">
        <v>100</v>
      </c>
      <c r="Z19" s="131" t="str">
        <f ca="1">_xlfn.FORMULATEXT(AA9)</f>
        <v>=(1-$B$26)*AA5+Q28*X5/(Y4+Z4)</v>
      </c>
      <c r="AA19" s="131"/>
      <c r="AB19" s="131"/>
      <c r="AC19" s="133"/>
      <c r="AE19" s="127"/>
      <c r="AF19" s="128"/>
      <c r="AG19" s="130" t="s">
        <v>101</v>
      </c>
      <c r="AH19" s="131" t="str">
        <f ca="1">_xlfn.FORMULATEXT(AI10)</f>
        <v>=(1-$B$26)*AI6+Z29*AF6/(AG5+AH5)</v>
      </c>
      <c r="AI19" s="131"/>
      <c r="AJ19" s="131"/>
      <c r="AK19" s="133"/>
    </row>
    <row r="20" spans="1:37" x14ac:dyDescent="0.25">
      <c r="A20" s="120" t="s">
        <v>77</v>
      </c>
      <c r="B20" s="159" t="str">
        <f ca="1">_xlfn.FORMULATEXT(E5)</f>
        <v>=B5/AVERAGE($B$3:$B$6)</v>
      </c>
      <c r="C20" s="160"/>
      <c r="D20" s="161"/>
      <c r="E20" s="158"/>
      <c r="F20" s="125"/>
    </row>
    <row r="21" spans="1:37" x14ac:dyDescent="0.25">
      <c r="A21" s="120" t="s">
        <v>78</v>
      </c>
      <c r="B21" s="159" t="str">
        <f ca="1">_xlfn.FORMULATEXT(E6)</f>
        <v>=B6/AVERAGE($B$3:$B$6)</v>
      </c>
      <c r="C21" s="160"/>
      <c r="D21" s="161"/>
      <c r="E21" s="158"/>
      <c r="F21" s="125"/>
    </row>
    <row r="22" spans="1:37" ht="15.75" thickBot="1" x14ac:dyDescent="0.3">
      <c r="A22" s="130" t="s">
        <v>102</v>
      </c>
      <c r="B22" s="131" t="str">
        <f ca="1">_xlfn.FORMULATEXT(F3)</f>
        <v>=(C2+D2)*E3</v>
      </c>
      <c r="C22" s="129"/>
      <c r="D22" s="129"/>
      <c r="E22" s="129"/>
      <c r="F22" s="132"/>
    </row>
    <row r="23" spans="1:37" x14ac:dyDescent="0.25">
      <c r="AF23" t="s">
        <v>103</v>
      </c>
    </row>
    <row r="24" spans="1:37" x14ac:dyDescent="0.25">
      <c r="A24" s="134" t="s">
        <v>104</v>
      </c>
      <c r="B24" s="4">
        <v>0.25</v>
      </c>
    </row>
    <row r="25" spans="1:37" x14ac:dyDescent="0.25">
      <c r="A25" s="134" t="s">
        <v>105</v>
      </c>
      <c r="B25" s="4">
        <v>0.25</v>
      </c>
    </row>
    <row r="26" spans="1:37" x14ac:dyDescent="0.25">
      <c r="A26" s="134" t="s">
        <v>106</v>
      </c>
      <c r="B26" s="4">
        <v>0.25</v>
      </c>
    </row>
    <row r="28" spans="1:37" ht="15.75" x14ac:dyDescent="0.25">
      <c r="B28" s="189" t="s">
        <v>141</v>
      </c>
    </row>
    <row r="29" spans="1:37" ht="15.75" x14ac:dyDescent="0.25">
      <c r="B29" s="189" t="s">
        <v>142</v>
      </c>
    </row>
    <row r="30" spans="1:37" ht="15.75" x14ac:dyDescent="0.25">
      <c r="B30" s="189" t="s">
        <v>143</v>
      </c>
    </row>
    <row r="31" spans="1:37" ht="15.75" x14ac:dyDescent="0.25">
      <c r="B31" s="189" t="s">
        <v>144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63-D2C8-4432-8CF5-5D6829DD4C6A}">
  <sheetPr>
    <tabColor rgb="FFFF0000"/>
  </sheetPr>
  <dimension ref="A1:C27"/>
  <sheetViews>
    <sheetView workbookViewId="0">
      <selection activeCell="J22" sqref="J22"/>
    </sheetView>
  </sheetViews>
  <sheetFormatPr defaultRowHeight="15" x14ac:dyDescent="0.25"/>
  <cols>
    <col min="1" max="1" width="51.5703125" bestFit="1" customWidth="1"/>
    <col min="14" max="14" width="47.28515625" bestFit="1" customWidth="1"/>
  </cols>
  <sheetData>
    <row r="1" spans="1:3" ht="21" x14ac:dyDescent="0.35">
      <c r="A1" s="183" t="s">
        <v>134</v>
      </c>
      <c r="B1">
        <v>15</v>
      </c>
      <c r="C1" t="s">
        <v>135</v>
      </c>
    </row>
    <row r="2" spans="1:3" ht="21" x14ac:dyDescent="0.35">
      <c r="A2" s="183" t="s">
        <v>136</v>
      </c>
      <c r="B2">
        <v>11</v>
      </c>
      <c r="C2" t="s">
        <v>135</v>
      </c>
    </row>
    <row r="3" spans="1:3" ht="21" x14ac:dyDescent="0.35">
      <c r="A3" s="183" t="s">
        <v>137</v>
      </c>
      <c r="B3">
        <v>22</v>
      </c>
      <c r="C3" t="s">
        <v>135</v>
      </c>
    </row>
    <row r="4" spans="1:3" ht="21" x14ac:dyDescent="0.35">
      <c r="A4" s="183" t="s">
        <v>140</v>
      </c>
      <c r="B4">
        <v>18</v>
      </c>
      <c r="C4" t="s">
        <v>135</v>
      </c>
    </row>
    <row r="5" spans="1:3" ht="21" x14ac:dyDescent="0.35">
      <c r="A5" s="183" t="s">
        <v>134</v>
      </c>
      <c r="B5">
        <f>SUM(B1:B4)</f>
        <v>66</v>
      </c>
      <c r="C5" t="s">
        <v>135</v>
      </c>
    </row>
    <row r="6" spans="1:3" ht="21" x14ac:dyDescent="0.35">
      <c r="A6" s="183" t="s">
        <v>134</v>
      </c>
    </row>
    <row r="7" spans="1:3" ht="21" x14ac:dyDescent="0.35">
      <c r="A7" s="183" t="s">
        <v>134</v>
      </c>
    </row>
    <row r="8" spans="1:3" ht="21" x14ac:dyDescent="0.35">
      <c r="A8" s="183" t="s">
        <v>134</v>
      </c>
    </row>
    <row r="9" spans="1:3" ht="21" x14ac:dyDescent="0.35">
      <c r="A9" s="185" t="s">
        <v>133</v>
      </c>
    </row>
    <row r="10" spans="1:3" ht="21" x14ac:dyDescent="0.35">
      <c r="A10" s="183" t="s">
        <v>131</v>
      </c>
    </row>
    <row r="11" spans="1:3" ht="21" x14ac:dyDescent="0.35">
      <c r="A11" s="184" t="s">
        <v>132</v>
      </c>
    </row>
    <row r="12" spans="1:3" ht="21" x14ac:dyDescent="0.35">
      <c r="A12" s="185" t="s">
        <v>133</v>
      </c>
    </row>
    <row r="13" spans="1:3" ht="21" x14ac:dyDescent="0.35">
      <c r="A13" s="183" t="s">
        <v>131</v>
      </c>
    </row>
    <row r="14" spans="1:3" ht="21" x14ac:dyDescent="0.35">
      <c r="A14" s="184" t="s">
        <v>132</v>
      </c>
    </row>
    <row r="15" spans="1:3" ht="21" x14ac:dyDescent="0.35">
      <c r="A15" s="185" t="s">
        <v>133</v>
      </c>
    </row>
    <row r="16" spans="1:3" ht="21" x14ac:dyDescent="0.35">
      <c r="A16" s="183" t="s">
        <v>131</v>
      </c>
    </row>
    <row r="17" spans="1:1" ht="21" x14ac:dyDescent="0.35">
      <c r="A17" s="184" t="s">
        <v>132</v>
      </c>
    </row>
    <row r="18" spans="1:1" ht="21" x14ac:dyDescent="0.35">
      <c r="A18" s="185" t="s">
        <v>133</v>
      </c>
    </row>
    <row r="19" spans="1:1" ht="21" x14ac:dyDescent="0.35">
      <c r="A19" s="183" t="s">
        <v>131</v>
      </c>
    </row>
    <row r="20" spans="1:1" ht="21" x14ac:dyDescent="0.35">
      <c r="A20" s="184" t="s">
        <v>132</v>
      </c>
    </row>
    <row r="21" spans="1:1" ht="21" x14ac:dyDescent="0.35">
      <c r="A21" s="185" t="s">
        <v>133</v>
      </c>
    </row>
    <row r="22" spans="1:1" ht="21" x14ac:dyDescent="0.35">
      <c r="A22" s="183" t="s">
        <v>131</v>
      </c>
    </row>
    <row r="23" spans="1:1" ht="21" x14ac:dyDescent="0.35">
      <c r="A23" s="184" t="s">
        <v>132</v>
      </c>
    </row>
    <row r="24" spans="1:1" ht="21" x14ac:dyDescent="0.35">
      <c r="A24" s="185" t="s">
        <v>133</v>
      </c>
    </row>
    <row r="25" spans="1:1" ht="21" x14ac:dyDescent="0.35">
      <c r="A25" s="183" t="s">
        <v>131</v>
      </c>
    </row>
    <row r="26" spans="1:1" ht="21" x14ac:dyDescent="0.35">
      <c r="A26" s="184" t="s">
        <v>132</v>
      </c>
    </row>
    <row r="27" spans="1:1" ht="21" x14ac:dyDescent="0.35">
      <c r="A27" s="185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sheetPr>
    <tabColor rgb="FF92D050"/>
  </sheetPr>
  <dimension ref="A1:BN300"/>
  <sheetViews>
    <sheetView zoomScale="96" zoomScaleNormal="96" workbookViewId="0">
      <selection activeCell="O23" sqref="O23"/>
    </sheetView>
  </sheetViews>
  <sheetFormatPr defaultColWidth="9.140625" defaultRowHeight="15" x14ac:dyDescent="0.25"/>
  <cols>
    <col min="1" max="1" width="4.5703125" style="15" bestFit="1" customWidth="1"/>
    <col min="2" max="2" width="11.42578125" style="15" bestFit="1" customWidth="1"/>
    <col min="3" max="3" width="13" style="15" customWidth="1"/>
    <col min="4" max="4" width="8.7109375" style="15" customWidth="1"/>
    <col min="5" max="5" width="12.42578125" style="15" bestFit="1" customWidth="1"/>
    <col min="6" max="6" width="9.7109375" style="15" customWidth="1"/>
    <col min="7" max="18" width="9.140625" style="15"/>
    <col min="19" max="19" width="10.85546875" style="15" customWidth="1"/>
    <col min="20" max="20" width="12.140625" style="15" bestFit="1" customWidth="1"/>
    <col min="21" max="24" width="9.28515625" style="15" bestFit="1" customWidth="1"/>
    <col min="25" max="26" width="9.140625" style="15"/>
    <col min="27" max="27" width="9.28515625" style="15" bestFit="1" customWidth="1"/>
    <col min="28" max="38" width="9.140625" style="15"/>
    <col min="39" max="39" width="9.140625" style="15" customWidth="1"/>
    <col min="40" max="42" width="9.140625" style="15"/>
    <col min="43" max="43" width="9.28515625" bestFit="1" customWidth="1"/>
    <col min="44" max="44" width="14" customWidth="1"/>
    <col min="45" max="45" width="12.28515625" customWidth="1"/>
    <col min="46" max="46" width="10.140625" bestFit="1" customWidth="1"/>
    <col min="47" max="47" width="10.140625" customWidth="1"/>
    <col min="48" max="50" width="9.28515625" customWidth="1"/>
    <col min="51" max="51" width="9.28515625" bestFit="1" customWidth="1"/>
    <col min="52" max="52" width="12.28515625" bestFit="1" customWidth="1"/>
    <col min="62" max="16384" width="9.140625" style="15"/>
  </cols>
  <sheetData>
    <row r="1" spans="1:66" ht="15.75" thickBot="1" x14ac:dyDescent="0.3">
      <c r="D1" s="67" t="s">
        <v>24</v>
      </c>
      <c r="E1" s="68">
        <v>1</v>
      </c>
      <c r="F1" s="67" t="s">
        <v>130</v>
      </c>
      <c r="G1" s="4">
        <v>0.31904520104151834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66" customFormat="1" ht="17.25" thickBot="1" x14ac:dyDescent="0.35">
      <c r="A2" s="19" t="s">
        <v>4</v>
      </c>
      <c r="B2" s="182" t="s">
        <v>116</v>
      </c>
      <c r="C2" s="47" t="s">
        <v>25</v>
      </c>
      <c r="D2" s="47" t="s">
        <v>19</v>
      </c>
      <c r="E2" s="1" t="s">
        <v>51</v>
      </c>
      <c r="F2" s="1" t="s">
        <v>52</v>
      </c>
      <c r="G2" s="1" t="s">
        <v>53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5"/>
    </row>
    <row r="3" spans="1:66" customFormat="1" x14ac:dyDescent="0.25">
      <c r="A3" s="15">
        <v>0</v>
      </c>
      <c r="B3" s="15">
        <f>B4</f>
        <v>50</v>
      </c>
      <c r="C3" s="180">
        <f>B4</f>
        <v>50</v>
      </c>
      <c r="D3" s="180">
        <f>(B31-B4)/(A31-1)</f>
        <v>-7.407407407407407E-2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5"/>
      <c r="AI3" s="15"/>
      <c r="AJ3" s="15"/>
      <c r="AK3" s="15"/>
      <c r="AL3" s="15"/>
      <c r="AM3" s="15"/>
      <c r="AN3" s="15"/>
      <c r="AO3" s="15"/>
      <c r="AP3" s="15"/>
      <c r="BJ3" s="15"/>
      <c r="BK3" s="15"/>
      <c r="BL3" s="15"/>
      <c r="BM3" s="15"/>
      <c r="BN3" s="15"/>
    </row>
    <row r="4" spans="1:66" customFormat="1" ht="16.5" x14ac:dyDescent="0.3">
      <c r="A4" s="66">
        <v>1</v>
      </c>
      <c r="B4" s="179">
        <f>'[1]1.StatFitPoissNorm'!B2</f>
        <v>50</v>
      </c>
      <c r="C4" s="181">
        <f t="shared" ref="C4:C31" si="0">$E$1*B4+(1-$E$1)*E4</f>
        <v>50</v>
      </c>
      <c r="D4" s="181">
        <f t="shared" ref="D4:D31" si="1">(1-$G$1)*D3+$G$1*(C4-C3)</f>
        <v>-5.0441096219146789E-2</v>
      </c>
      <c r="E4" s="180">
        <f t="shared" ref="E4:E32" si="2">C3+D3</f>
        <v>49.925925925925924</v>
      </c>
      <c r="F4" s="65">
        <f t="shared" ref="F4:F31" si="3">(B4-E4)^2</f>
        <v>5.4869684499317247E-3</v>
      </c>
      <c r="G4" s="65">
        <f>AVERAGE(F$4:F4)</f>
        <v>5.4869684499317247E-3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5"/>
      <c r="T4" s="15"/>
      <c r="V4">
        <v>0.9</v>
      </c>
      <c r="AI4" s="15"/>
      <c r="AJ4" s="15"/>
      <c r="AK4" s="15"/>
      <c r="AL4" s="15"/>
      <c r="AM4" s="15"/>
      <c r="AN4" s="15"/>
      <c r="AO4" s="15"/>
      <c r="AP4" s="15"/>
      <c r="BJ4" s="15"/>
      <c r="BK4" s="15"/>
      <c r="BL4" s="15"/>
      <c r="BM4" s="15"/>
      <c r="BN4" s="15"/>
    </row>
    <row r="5" spans="1:66" customFormat="1" ht="16.5" x14ac:dyDescent="0.3">
      <c r="A5" s="66">
        <v>2</v>
      </c>
      <c r="B5" s="179">
        <f>'[1]1.StatFitPoissNorm'!B3</f>
        <v>25</v>
      </c>
      <c r="C5" s="181">
        <f t="shared" si="0"/>
        <v>25</v>
      </c>
      <c r="D5" s="181">
        <f t="shared" si="1"/>
        <v>-8.0104781325731143</v>
      </c>
      <c r="E5" s="180">
        <f t="shared" si="2"/>
        <v>49.949558903780854</v>
      </c>
      <c r="F5" s="65">
        <f t="shared" si="3"/>
        <v>622.48048949323049</v>
      </c>
      <c r="G5" s="65">
        <f>AVERAGE(F$4:F5)</f>
        <v>311.24298823084024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5"/>
      <c r="T5" s="15"/>
      <c r="V5">
        <v>0.01</v>
      </c>
      <c r="AI5" s="15"/>
      <c r="AJ5" s="15"/>
      <c r="AK5" s="15"/>
      <c r="AL5" s="15"/>
      <c r="AM5" s="15"/>
      <c r="AN5" s="15"/>
      <c r="AO5" s="15"/>
      <c r="AP5" s="15"/>
      <c r="BJ5" s="15"/>
      <c r="BK5" s="15"/>
      <c r="BL5" s="15"/>
      <c r="BM5" s="15"/>
      <c r="BN5" s="15"/>
    </row>
    <row r="6" spans="1:66" customFormat="1" ht="16.5" x14ac:dyDescent="0.3">
      <c r="A6" s="66">
        <v>3</v>
      </c>
      <c r="B6" s="179">
        <f>'[1]1.StatFitPoissNorm'!B4</f>
        <v>33</v>
      </c>
      <c r="C6" s="181">
        <f t="shared" si="0"/>
        <v>33</v>
      </c>
      <c r="D6" s="181">
        <f t="shared" si="1"/>
        <v>-2.9024119179954919</v>
      </c>
      <c r="E6" s="180">
        <f t="shared" si="2"/>
        <v>16.989521867426888</v>
      </c>
      <c r="F6" s="65">
        <f t="shared" si="3"/>
        <v>256.33541003360182</v>
      </c>
      <c r="G6" s="65">
        <f>AVERAGE(F$4:F6)</f>
        <v>292.94046216509406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5"/>
      <c r="T6" s="15">
        <v>0.2</v>
      </c>
      <c r="U6">
        <v>0.02</v>
      </c>
      <c r="V6" s="64">
        <f>G31</f>
        <v>746.72247994877853</v>
      </c>
      <c r="W6">
        <f>T6</f>
        <v>0.2</v>
      </c>
      <c r="X6">
        <f t="shared" ref="X6:AG6" si="4">W6+$U$6</f>
        <v>0.22</v>
      </c>
      <c r="Y6">
        <f t="shared" si="4"/>
        <v>0.24</v>
      </c>
      <c r="Z6">
        <f t="shared" si="4"/>
        <v>0.26</v>
      </c>
      <c r="AA6">
        <f t="shared" si="4"/>
        <v>0.28000000000000003</v>
      </c>
      <c r="AB6">
        <f t="shared" si="4"/>
        <v>0.30000000000000004</v>
      </c>
      <c r="AC6">
        <f t="shared" si="4"/>
        <v>0.32000000000000006</v>
      </c>
      <c r="AD6">
        <f t="shared" si="4"/>
        <v>0.34000000000000008</v>
      </c>
      <c r="AE6">
        <f t="shared" si="4"/>
        <v>0.3600000000000001</v>
      </c>
      <c r="AF6">
        <f t="shared" si="4"/>
        <v>0.38000000000000012</v>
      </c>
      <c r="AG6">
        <f t="shared" si="4"/>
        <v>0.40000000000000013</v>
      </c>
      <c r="AI6" s="15"/>
      <c r="AJ6" s="15"/>
      <c r="AK6" s="15"/>
      <c r="AL6" s="15"/>
      <c r="AM6" s="15"/>
      <c r="AN6" s="15"/>
      <c r="AO6" s="15"/>
      <c r="AP6" s="15"/>
      <c r="BJ6" s="15"/>
      <c r="BK6" s="15"/>
      <c r="BL6" s="15"/>
      <c r="BM6" s="15"/>
      <c r="BN6" s="15"/>
    </row>
    <row r="7" spans="1:66" customFormat="1" ht="16.5" x14ac:dyDescent="0.3">
      <c r="A7" s="66">
        <v>4</v>
      </c>
      <c r="B7" s="179">
        <f>'[1]1.StatFitPoissNorm'!B5</f>
        <v>72</v>
      </c>
      <c r="C7" s="181">
        <f t="shared" si="0"/>
        <v>72</v>
      </c>
      <c r="D7" s="181">
        <f t="shared" si="1"/>
        <v>10.466351516505894</v>
      </c>
      <c r="E7" s="180">
        <f t="shared" si="2"/>
        <v>30.097588082004506</v>
      </c>
      <c r="F7" s="65">
        <f t="shared" si="3"/>
        <v>1755.8121245453708</v>
      </c>
      <c r="G7" s="65">
        <f>AVERAGE(F$4:F7)</f>
        <v>658.65837776016326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15"/>
      <c r="T7" s="15"/>
      <c r="V7">
        <f>V4</f>
        <v>0.9</v>
      </c>
      <c r="W7">
        <f t="dataTable" ref="W7:AG17" dt2D="1" dtr="1" r1="G1" r2="E1"/>
        <v>601.46932344147592</v>
      </c>
      <c r="X7">
        <v>612.81120773605221</v>
      </c>
      <c r="Y7">
        <v>624.39180726145321</v>
      </c>
      <c r="Z7">
        <v>636.21498901797099</v>
      </c>
      <c r="AA7">
        <v>648.28439805712719</v>
      </c>
      <c r="AB7">
        <v>660.60350694159297</v>
      </c>
      <c r="AC7">
        <v>673.17563566938122</v>
      </c>
      <c r="AD7">
        <v>686.00395325603756</v>
      </c>
      <c r="AE7">
        <v>699.09146951616083</v>
      </c>
      <c r="AF7">
        <v>712.44102299288591</v>
      </c>
      <c r="AG7">
        <v>726.05526885065842</v>
      </c>
      <c r="AI7" s="15"/>
      <c r="AJ7" s="15"/>
      <c r="AK7" s="15"/>
      <c r="AL7" s="15"/>
      <c r="AM7" s="15"/>
      <c r="AN7" s="15"/>
      <c r="AO7" s="15"/>
      <c r="AP7" s="15"/>
      <c r="BJ7" s="15"/>
      <c r="BK7" s="15"/>
      <c r="BL7" s="15"/>
      <c r="BM7" s="15"/>
      <c r="BN7" s="15"/>
    </row>
    <row r="8" spans="1:66" customFormat="1" ht="16.5" x14ac:dyDescent="0.3">
      <c r="A8" s="66">
        <v>5</v>
      </c>
      <c r="B8" s="179">
        <f>'[1]1.StatFitPoissNorm'!B6</f>
        <v>67</v>
      </c>
      <c r="C8" s="181">
        <f t="shared" si="0"/>
        <v>67</v>
      </c>
      <c r="D8" s="181">
        <f t="shared" si="1"/>
        <v>5.531886287543478</v>
      </c>
      <c r="E8" s="180">
        <f t="shared" si="2"/>
        <v>82.466351516505895</v>
      </c>
      <c r="F8" s="65">
        <f t="shared" si="3"/>
        <v>239.2080292321242</v>
      </c>
      <c r="G8" s="65">
        <f>AVERAGE(F$4:F8)</f>
        <v>574.76830805455552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15"/>
      <c r="T8" s="15"/>
      <c r="V8">
        <f t="shared" ref="V8:V17" si="5">V7+$V$5</f>
        <v>0.91</v>
      </c>
      <c r="W8">
        <v>607.12736073479084</v>
      </c>
      <c r="X8">
        <v>618.67131882295496</v>
      </c>
      <c r="Y8">
        <v>630.45921322917536</v>
      </c>
      <c r="Z8">
        <v>642.49494515485333</v>
      </c>
      <c r="AA8">
        <v>654.78219318202821</v>
      </c>
      <c r="AB8">
        <v>667.32446241696675</v>
      </c>
      <c r="AC8">
        <v>680.12510504443185</v>
      </c>
      <c r="AD8">
        <v>693.18732326543534</v>
      </c>
      <c r="AE8">
        <v>706.51416294418561</v>
      </c>
      <c r="AF8">
        <v>720.10850373864105</v>
      </c>
      <c r="AG8">
        <v>733.97304940764786</v>
      </c>
      <c r="AI8" s="15"/>
      <c r="AJ8" s="15"/>
      <c r="AK8" s="15"/>
      <c r="AL8" s="15"/>
      <c r="AM8" s="15"/>
      <c r="AN8" s="15"/>
      <c r="AO8" s="15"/>
      <c r="AP8" s="15"/>
      <c r="BJ8" s="15"/>
      <c r="BK8" s="15"/>
      <c r="BL8" s="15"/>
      <c r="BM8" s="15"/>
      <c r="BN8" s="15"/>
    </row>
    <row r="9" spans="1:66" customFormat="1" ht="16.5" x14ac:dyDescent="0.3">
      <c r="A9" s="66">
        <v>6</v>
      </c>
      <c r="B9" s="179">
        <f>'[1]1.StatFitPoissNorm'!B7</f>
        <v>35</v>
      </c>
      <c r="C9" s="181">
        <f t="shared" si="0"/>
        <v>35</v>
      </c>
      <c r="D9" s="181">
        <f t="shared" si="1"/>
        <v>-6.442481918533236</v>
      </c>
      <c r="E9" s="180">
        <f t="shared" si="2"/>
        <v>72.531886287543472</v>
      </c>
      <c r="F9" s="65">
        <f t="shared" si="3"/>
        <v>1408.6424883010936</v>
      </c>
      <c r="G9" s="65">
        <f>AVERAGE(F$4:F9)</f>
        <v>713.7473380956452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15"/>
      <c r="T9" s="15"/>
      <c r="V9">
        <f t="shared" si="5"/>
        <v>0.92</v>
      </c>
      <c r="W9">
        <v>612.85178821280465</v>
      </c>
      <c r="X9">
        <v>624.60111045555402</v>
      </c>
      <c r="Y9">
        <v>636.59976219009513</v>
      </c>
      <c r="Z9">
        <v>648.85169198547715</v>
      </c>
      <c r="AA9">
        <v>661.36062664184499</v>
      </c>
      <c r="AB9">
        <v>674.13012036323175</v>
      </c>
      <c r="AC9">
        <v>687.16357624293084</v>
      </c>
      <c r="AD9">
        <v>700.46425082308087</v>
      </c>
      <c r="AE9">
        <v>714.03524985161494</v>
      </c>
      <c r="AF9">
        <v>727.87952084999688</v>
      </c>
      <c r="AG9">
        <v>741.99984607398414</v>
      </c>
      <c r="AI9" s="15"/>
      <c r="AJ9" s="15"/>
      <c r="AK9" s="15"/>
      <c r="AL9" s="15"/>
      <c r="AM9" s="15"/>
      <c r="AN9" s="15"/>
      <c r="AO9" s="15"/>
      <c r="AP9" s="15"/>
      <c r="BJ9" s="15"/>
      <c r="BK9" s="15"/>
      <c r="BL9" s="15"/>
      <c r="BM9" s="15"/>
      <c r="BN9" s="15"/>
    </row>
    <row r="10" spans="1:66" customFormat="1" ht="16.5" x14ac:dyDescent="0.3">
      <c r="A10" s="66">
        <v>7</v>
      </c>
      <c r="B10" s="179">
        <f>'[1]1.StatFitPoissNorm'!B8</f>
        <v>42</v>
      </c>
      <c r="C10" s="181">
        <f t="shared" si="0"/>
        <v>42</v>
      </c>
      <c r="D10" s="181">
        <f t="shared" si="1"/>
        <v>-2.1537225723378244</v>
      </c>
      <c r="E10" s="180">
        <f t="shared" si="2"/>
        <v>28.557518081466764</v>
      </c>
      <c r="F10" s="65">
        <f t="shared" si="3"/>
        <v>180.70032013009299</v>
      </c>
      <c r="G10" s="65">
        <f>AVERAGE(F$4:F10)</f>
        <v>637.59776410056634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5"/>
      <c r="T10" s="15"/>
      <c r="V10">
        <f t="shared" si="5"/>
        <v>0.93</v>
      </c>
      <c r="W10">
        <v>618.64609741228901</v>
      </c>
      <c r="X10">
        <v>630.60435440314518</v>
      </c>
      <c r="Y10">
        <v>642.81753098927118</v>
      </c>
      <c r="Z10">
        <v>655.28963871160545</v>
      </c>
      <c r="AA10">
        <v>668.02446996229207</v>
      </c>
      <c r="AB10">
        <v>681.02564753941374</v>
      </c>
      <c r="AC10">
        <v>694.29664737627627</v>
      </c>
      <c r="AD10">
        <v>707.84080500585389</v>
      </c>
      <c r="AE10">
        <v>721.6613136940897</v>
      </c>
      <c r="AF10">
        <v>735.7612197074435</v>
      </c>
      <c r="AG10">
        <v>750.1434181976</v>
      </c>
      <c r="AI10" s="15"/>
      <c r="AJ10" s="15"/>
      <c r="AK10" s="15"/>
      <c r="AL10" s="15"/>
      <c r="AM10" s="15"/>
      <c r="AN10" s="15"/>
      <c r="AO10" s="15"/>
      <c r="AP10" s="15"/>
      <c r="BJ10" s="15"/>
      <c r="BK10" s="15"/>
      <c r="BL10" s="15"/>
      <c r="BM10" s="15"/>
      <c r="BN10" s="15"/>
    </row>
    <row r="11" spans="1:66" customFormat="1" ht="16.5" x14ac:dyDescent="0.3">
      <c r="A11" s="66">
        <v>8</v>
      </c>
      <c r="B11" s="179">
        <f>'[1]1.StatFitPoissNorm'!B9</f>
        <v>44</v>
      </c>
      <c r="C11" s="181">
        <f t="shared" si="0"/>
        <v>44</v>
      </c>
      <c r="D11" s="181">
        <f t="shared" si="1"/>
        <v>-0.82849731917561042</v>
      </c>
      <c r="E11" s="180">
        <f t="shared" si="2"/>
        <v>39.846277427662173</v>
      </c>
      <c r="F11" s="65">
        <f t="shared" si="3"/>
        <v>17.253411207948776</v>
      </c>
      <c r="G11" s="65">
        <f>AVERAGE(F$4:F11)</f>
        <v>560.05471998898906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5"/>
      <c r="T11" s="15"/>
      <c r="V11">
        <f t="shared" si="5"/>
        <v>0.94000000000000006</v>
      </c>
      <c r="W11">
        <v>624.51404414100205</v>
      </c>
      <c r="X11">
        <v>636.68511203295213</v>
      </c>
      <c r="Y11">
        <v>649.11691386078667</v>
      </c>
      <c r="Z11">
        <v>661.81354241692134</v>
      </c>
      <c r="AA11">
        <v>674.77887600499798</v>
      </c>
      <c r="AB11">
        <v>688.01662874007991</v>
      </c>
      <c r="AC11">
        <v>701.53037485028165</v>
      </c>
      <c r="AD11">
        <v>715.32355735006217</v>
      </c>
      <c r="AE11">
        <v>729.39948884246462</v>
      </c>
      <c r="AF11">
        <v>743.76134978054529</v>
      </c>
      <c r="AG11">
        <v>758.41218758281957</v>
      </c>
      <c r="AI11" s="15"/>
      <c r="AJ11" s="15"/>
      <c r="AK11" s="15"/>
      <c r="AL11" s="15"/>
      <c r="AM11" s="15"/>
      <c r="AN11" s="15"/>
      <c r="AO11" s="15"/>
      <c r="AP11" s="15"/>
      <c r="BJ11" s="15"/>
      <c r="BK11" s="15"/>
      <c r="BL11" s="15"/>
      <c r="BM11" s="15"/>
      <c r="BN11" s="15"/>
    </row>
    <row r="12" spans="1:66" customFormat="1" ht="16.5" x14ac:dyDescent="0.3">
      <c r="A12" s="66">
        <v>9</v>
      </c>
      <c r="B12" s="179">
        <f>'[1]1.StatFitPoissNorm'!B10</f>
        <v>51</v>
      </c>
      <c r="C12" s="181">
        <f t="shared" si="0"/>
        <v>51</v>
      </c>
      <c r="D12" s="181">
        <f t="shared" si="1"/>
        <v>1.6691471818737593</v>
      </c>
      <c r="E12" s="180">
        <f t="shared" si="2"/>
        <v>43.171502680824389</v>
      </c>
      <c r="F12" s="65">
        <f t="shared" si="3"/>
        <v>61.285370276339727</v>
      </c>
      <c r="G12" s="65">
        <f>AVERAGE(F$4:F12)</f>
        <v>504.63590335425022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5"/>
      <c r="T12" s="15"/>
      <c r="V12">
        <f t="shared" si="5"/>
        <v>0.95000000000000007</v>
      </c>
      <c r="W12">
        <v>630.45966331484999</v>
      </c>
      <c r="X12">
        <v>642.84775089270386</v>
      </c>
      <c r="Y12">
        <v>655.50264095990644</v>
      </c>
      <c r="Z12">
        <v>668.42852877827067</v>
      </c>
      <c r="AA12">
        <v>681.62940211637567</v>
      </c>
      <c r="AB12">
        <v>695.10909267352758</v>
      </c>
      <c r="AC12">
        <v>708.87130230220635</v>
      </c>
      <c r="AD12">
        <v>722.91961421986741</v>
      </c>
      <c r="AE12">
        <v>737.25749680417459</v>
      </c>
      <c r="AF12">
        <v>751.88830517951169</v>
      </c>
      <c r="AG12">
        <v>766.81528391281336</v>
      </c>
      <c r="AI12" s="15"/>
      <c r="AJ12" s="15"/>
      <c r="AK12" s="15"/>
      <c r="AL12" s="15"/>
      <c r="AM12" s="15"/>
      <c r="AN12" s="15"/>
      <c r="AO12" s="15"/>
      <c r="AP12" s="15"/>
      <c r="BJ12" s="15"/>
      <c r="BK12" s="15"/>
      <c r="BL12" s="15"/>
      <c r="BM12" s="15"/>
      <c r="BN12" s="15"/>
    </row>
    <row r="13" spans="1:66" customFormat="1" ht="16.5" x14ac:dyDescent="0.3">
      <c r="A13" s="66">
        <v>10</v>
      </c>
      <c r="B13" s="179">
        <f>'[1]1.StatFitPoissNorm'!B11</f>
        <v>39</v>
      </c>
      <c r="C13" s="181">
        <f t="shared" si="0"/>
        <v>39</v>
      </c>
      <c r="D13" s="181">
        <f t="shared" si="1"/>
        <v>-2.6919286288332582</v>
      </c>
      <c r="E13" s="180">
        <f t="shared" si="2"/>
        <v>52.669147181873761</v>
      </c>
      <c r="F13" s="65">
        <f t="shared" si="3"/>
        <v>186.84558467972738</v>
      </c>
      <c r="G13" s="65">
        <f>AVERAGE(F$4:F13)</f>
        <v>472.8568714867979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15"/>
      <c r="T13" s="15"/>
      <c r="V13">
        <f t="shared" si="5"/>
        <v>0.96000000000000008</v>
      </c>
      <c r="W13">
        <v>636.48728498322635</v>
      </c>
      <c r="X13">
        <v>649.09696264934507</v>
      </c>
      <c r="Y13">
        <v>661.97979844415477</v>
      </c>
      <c r="Z13">
        <v>675.14011454720674</v>
      </c>
      <c r="AA13">
        <v>688.5820353010738</v>
      </c>
      <c r="AB13">
        <v>702.30954015670318</v>
      </c>
      <c r="AC13">
        <v>716.32649219016059</v>
      </c>
      <c r="AD13">
        <v>730.63665221378926</v>
      </c>
      <c r="AE13">
        <v>745.24368592593771</v>
      </c>
      <c r="AF13">
        <v>760.15116919759578</v>
      </c>
      <c r="AG13">
        <v>775.36259474857457</v>
      </c>
      <c r="AI13" s="15"/>
      <c r="AJ13" s="15"/>
      <c r="AK13" s="15"/>
      <c r="AL13" s="15"/>
      <c r="AM13" s="15"/>
      <c r="AN13" s="15"/>
      <c r="AO13" s="15"/>
      <c r="AP13" s="15"/>
      <c r="BJ13" s="15"/>
      <c r="BK13" s="15"/>
      <c r="BL13" s="15"/>
      <c r="BM13" s="15"/>
      <c r="BN13" s="15"/>
    </row>
    <row r="14" spans="1:66" customFormat="1" ht="16.5" x14ac:dyDescent="0.3">
      <c r="A14" s="66">
        <v>11</v>
      </c>
      <c r="B14" s="179">
        <f>'[1]1.StatFitPoissNorm'!B12</f>
        <v>46</v>
      </c>
      <c r="C14" s="181">
        <f t="shared" si="0"/>
        <v>46</v>
      </c>
      <c r="D14" s="181">
        <f t="shared" si="1"/>
        <v>0.40023468903289561</v>
      </c>
      <c r="E14" s="180">
        <f t="shared" si="2"/>
        <v>36.30807137116674</v>
      </c>
      <c r="F14" s="65">
        <f t="shared" si="3"/>
        <v>93.93348054639776</v>
      </c>
      <c r="G14" s="65">
        <f>AVERAGE(F$4:F14)</f>
        <v>438.40929049221609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15"/>
      <c r="T14" s="15"/>
      <c r="V14">
        <f t="shared" si="5"/>
        <v>0.97000000000000008</v>
      </c>
      <c r="W14">
        <v>642.60155167237974</v>
      </c>
      <c r="X14">
        <v>655.43778253485948</v>
      </c>
      <c r="Y14">
        <v>668.55385027885484</v>
      </c>
      <c r="Z14">
        <v>681.95423200595064</v>
      </c>
      <c r="AA14">
        <v>695.64321965737497</v>
      </c>
      <c r="AB14">
        <v>709.62497490286876</v>
      </c>
      <c r="AC14">
        <v>723.90356035597108</v>
      </c>
      <c r="AD14">
        <v>738.48295698287643</v>
      </c>
      <c r="AE14">
        <v>753.36707501264993</v>
      </c>
      <c r="AF14">
        <v>768.55976335069579</v>
      </c>
      <c r="AG14">
        <v>784.0648206943988</v>
      </c>
      <c r="AI14" s="15"/>
      <c r="AJ14" s="15"/>
      <c r="AK14" s="15"/>
      <c r="AL14" s="15"/>
      <c r="AM14" s="15"/>
      <c r="AN14" s="15"/>
      <c r="AO14" s="15"/>
      <c r="AP14" s="15"/>
      <c r="BJ14" s="15"/>
      <c r="BK14" s="15"/>
      <c r="BL14" s="15"/>
      <c r="BM14" s="15"/>
      <c r="BN14" s="15"/>
    </row>
    <row r="15" spans="1:66" customFormat="1" ht="16.5" x14ac:dyDescent="0.3">
      <c r="A15" s="66">
        <v>12</v>
      </c>
      <c r="B15" s="179">
        <f>'[1]1.StatFitPoissNorm'!B13</f>
        <v>41</v>
      </c>
      <c r="C15" s="181">
        <f t="shared" si="0"/>
        <v>41</v>
      </c>
      <c r="D15" s="181">
        <f t="shared" si="1"/>
        <v>-1.322684273000986</v>
      </c>
      <c r="E15" s="180">
        <f t="shared" si="2"/>
        <v>46.400234689032892</v>
      </c>
      <c r="F15" s="65">
        <f t="shared" si="3"/>
        <v>29.162534696634179</v>
      </c>
      <c r="G15" s="65">
        <f>AVERAGE(F$4:F15)</f>
        <v>404.30539417591757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15"/>
      <c r="T15" s="15"/>
      <c r="V15">
        <f t="shared" si="5"/>
        <v>0.98000000000000009</v>
      </c>
      <c r="W15">
        <v>648.80743719097313</v>
      </c>
      <c r="X15">
        <v>661.87561046714393</v>
      </c>
      <c r="Y15">
        <v>675.23066196277898</v>
      </c>
      <c r="Z15">
        <v>688.87725562570938</v>
      </c>
      <c r="AA15">
        <v>702.81988634014203</v>
      </c>
      <c r="AB15">
        <v>717.06293721162376</v>
      </c>
      <c r="AC15">
        <v>731.61071392248789</v>
      </c>
      <c r="AD15">
        <v>746.46746588162046</v>
      </c>
      <c r="AE15">
        <v>761.63740135386809</v>
      </c>
      <c r="AF15">
        <v>777.12470148796933</v>
      </c>
      <c r="AG15">
        <v>792.93353640036355</v>
      </c>
      <c r="AI15" s="15"/>
      <c r="AJ15" s="15"/>
      <c r="AK15" s="15"/>
      <c r="AL15" s="15"/>
      <c r="AM15" s="15"/>
      <c r="AN15" s="15"/>
      <c r="AO15" s="15"/>
      <c r="AP15" s="15"/>
      <c r="BJ15" s="15"/>
      <c r="BK15" s="15"/>
      <c r="BL15" s="15"/>
      <c r="BM15" s="15"/>
      <c r="BN15" s="15"/>
    </row>
    <row r="16" spans="1:66" customFormat="1" ht="16.5" x14ac:dyDescent="0.3">
      <c r="A16" s="66">
        <v>13</v>
      </c>
      <c r="B16" s="179">
        <f>'[1]1.StatFitPoissNorm'!B14</f>
        <v>69</v>
      </c>
      <c r="C16" s="181">
        <f t="shared" si="0"/>
        <v>69</v>
      </c>
      <c r="D16" s="181">
        <f t="shared" si="1"/>
        <v>8.03257742595558</v>
      </c>
      <c r="E16" s="180">
        <f t="shared" si="2"/>
        <v>39.677315726999012</v>
      </c>
      <c r="F16" s="65">
        <f t="shared" si="3"/>
        <v>859.81981297409948</v>
      </c>
      <c r="G16" s="65">
        <f>AVERAGE(F$4:F16)</f>
        <v>439.3449648527008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15"/>
      <c r="T16" s="15"/>
      <c r="V16">
        <f t="shared" si="5"/>
        <v>0.9900000000000001</v>
      </c>
      <c r="W16">
        <v>655.11026705800191</v>
      </c>
      <c r="X16">
        <v>668.41623403284416</v>
      </c>
      <c r="Y16">
        <v>682.01652639207248</v>
      </c>
      <c r="Z16">
        <v>695.91603118206126</v>
      </c>
      <c r="AA16">
        <v>710.1194863487882</v>
      </c>
      <c r="AB16">
        <v>724.63154090879686</v>
      </c>
      <c r="AC16">
        <v>739.45679293150295</v>
      </c>
      <c r="AD16">
        <v>754.59981492656766</v>
      </c>
      <c r="AE16">
        <v>770.06517371362202</v>
      </c>
      <c r="AF16">
        <v>785.85744962415731</v>
      </c>
      <c r="AG16">
        <v>801.98125816427398</v>
      </c>
      <c r="AI16" s="15"/>
      <c r="AJ16" s="15"/>
      <c r="AK16" s="15"/>
      <c r="AL16" s="15"/>
      <c r="AM16" s="15"/>
      <c r="AN16" s="15"/>
      <c r="AO16" s="15"/>
      <c r="AP16" s="15"/>
      <c r="BJ16" s="15"/>
      <c r="BK16" s="15"/>
      <c r="BL16" s="15"/>
      <c r="BM16" s="15"/>
      <c r="BN16" s="15"/>
    </row>
    <row r="17" spans="1:66" customFormat="1" ht="16.5" x14ac:dyDescent="0.3">
      <c r="A17" s="66">
        <v>14</v>
      </c>
      <c r="B17" s="179">
        <f>'[1]1.StatFitPoissNorm'!B15</f>
        <v>28</v>
      </c>
      <c r="C17" s="181">
        <f t="shared" si="0"/>
        <v>28</v>
      </c>
      <c r="D17" s="181">
        <f t="shared" si="1"/>
        <v>-7.6110310964922325</v>
      </c>
      <c r="E17" s="180">
        <f t="shared" si="2"/>
        <v>77.03257742595558</v>
      </c>
      <c r="F17" s="65">
        <f t="shared" si="3"/>
        <v>2404.1936490323287</v>
      </c>
      <c r="G17" s="65">
        <f>AVERAGE(F$4:F17)</f>
        <v>579.69129943695987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5"/>
      <c r="T17" s="15"/>
      <c r="V17">
        <f t="shared" si="5"/>
        <v>1</v>
      </c>
      <c r="W17">
        <v>661.51574073102267</v>
      </c>
      <c r="X17">
        <v>675.06585354024526</v>
      </c>
      <c r="Y17">
        <v>688.91819210584833</v>
      </c>
      <c r="Z17">
        <v>703.07790761218064</v>
      </c>
      <c r="AA17">
        <v>717.5500264735681</v>
      </c>
      <c r="AB17">
        <v>732.33951392648976</v>
      </c>
      <c r="AC17">
        <v>747.451316179522</v>
      </c>
      <c r="AD17">
        <v>762.89039059865456</v>
      </c>
      <c r="AE17">
        <v>778.66173091234009</v>
      </c>
      <c r="AF17">
        <v>794.77039223178497</v>
      </c>
      <c r="AG17">
        <v>811.22151900036977</v>
      </c>
      <c r="AI17" s="15"/>
      <c r="AJ17" s="15"/>
      <c r="AK17" s="15"/>
      <c r="AL17" s="15"/>
      <c r="AM17" s="15"/>
      <c r="AN17" s="15"/>
      <c r="AO17" s="15"/>
      <c r="AP17" s="15"/>
      <c r="BJ17" s="15"/>
      <c r="BK17" s="15"/>
      <c r="BL17" s="15"/>
      <c r="BM17" s="15"/>
      <c r="BN17" s="15"/>
    </row>
    <row r="18" spans="1:66" ht="16.5" x14ac:dyDescent="0.3">
      <c r="A18" s="66">
        <v>15</v>
      </c>
      <c r="B18" s="179">
        <f>'[1]1.StatFitPoissNorm'!B16</f>
        <v>82</v>
      </c>
      <c r="C18" s="181">
        <f t="shared" si="0"/>
        <v>82</v>
      </c>
      <c r="D18" s="181">
        <f t="shared" si="1"/>
        <v>12.045672706063371</v>
      </c>
      <c r="E18" s="180">
        <f t="shared" si="2"/>
        <v>20.388968903507767</v>
      </c>
      <c r="F18" s="65">
        <f t="shared" si="3"/>
        <v>3795.9191527729331</v>
      </c>
      <c r="G18" s="65">
        <f>AVERAGE(F$4:F18)</f>
        <v>794.10648965935809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V18"/>
      <c r="W18"/>
      <c r="AH18" s="15">
        <f>MIN(W7:AG17)</f>
        <v>601.46932344147592</v>
      </c>
    </row>
    <row r="19" spans="1:66" ht="16.5" x14ac:dyDescent="0.3">
      <c r="A19" s="66">
        <v>16</v>
      </c>
      <c r="B19" s="179">
        <f>'[1]1.StatFitPoissNorm'!B17</f>
        <v>65</v>
      </c>
      <c r="C19" s="181">
        <f t="shared" si="0"/>
        <v>65</v>
      </c>
      <c r="D19" s="181">
        <f t="shared" si="1"/>
        <v>2.7787902181712401</v>
      </c>
      <c r="E19" s="180">
        <f t="shared" si="2"/>
        <v>94.045672706063371</v>
      </c>
      <c r="F19" s="65">
        <f t="shared" si="3"/>
        <v>843.65110294775468</v>
      </c>
      <c r="G19" s="65">
        <f>AVERAGE(F$4:F19)</f>
        <v>797.20302798988291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66" ht="16.5" x14ac:dyDescent="0.3">
      <c r="A20" s="66">
        <v>17</v>
      </c>
      <c r="B20" s="179">
        <f>'[1]1.StatFitPoissNorm'!B18</f>
        <v>47</v>
      </c>
      <c r="C20" s="181">
        <f t="shared" si="0"/>
        <v>47</v>
      </c>
      <c r="D20" s="181">
        <f t="shared" si="1"/>
        <v>-3.8505830843847386</v>
      </c>
      <c r="E20" s="180">
        <f t="shared" si="2"/>
        <v>67.778790218171238</v>
      </c>
      <c r="F20" s="65">
        <f t="shared" si="3"/>
        <v>431.75812293076876</v>
      </c>
      <c r="G20" s="65">
        <f>AVERAGE(F$4:F20)</f>
        <v>775.70626886875857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66" ht="16.5" x14ac:dyDescent="0.3">
      <c r="A21" s="66">
        <v>18</v>
      </c>
      <c r="B21" s="179">
        <f>'[1]1.StatFitPoissNorm'!B19</f>
        <v>53</v>
      </c>
      <c r="C21" s="181">
        <f t="shared" si="0"/>
        <v>53</v>
      </c>
      <c r="D21" s="181">
        <f t="shared" si="1"/>
        <v>-0.70780182385102997</v>
      </c>
      <c r="E21" s="180">
        <f t="shared" si="2"/>
        <v>43.149416915615262</v>
      </c>
      <c r="F21" s="65">
        <f t="shared" si="3"/>
        <v>97.033987102366737</v>
      </c>
      <c r="G21" s="65">
        <f>AVERAGE(F$4:F21)</f>
        <v>738.00225321507014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66" ht="16.5" x14ac:dyDescent="0.3">
      <c r="A22" s="66">
        <v>19</v>
      </c>
      <c r="B22" s="179">
        <f>'[1]1.StatFitPoissNorm'!B20</f>
        <v>90</v>
      </c>
      <c r="C22" s="181">
        <f t="shared" si="0"/>
        <v>90</v>
      </c>
      <c r="D22" s="181">
        <f t="shared" si="1"/>
        <v>11.322691389873253</v>
      </c>
      <c r="E22" s="180">
        <f t="shared" si="2"/>
        <v>52.292198176148972</v>
      </c>
      <c r="F22" s="65">
        <f t="shared" si="3"/>
        <v>1421.8783183868229</v>
      </c>
      <c r="G22" s="65">
        <f>AVERAGE(F$4:F22)</f>
        <v>773.99573032937292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66" ht="16.5" x14ac:dyDescent="0.3">
      <c r="A23" s="66">
        <v>20</v>
      </c>
      <c r="B23" s="179">
        <f>'[1]1.StatFitPoissNorm'!B21</f>
        <v>56</v>
      </c>
      <c r="C23" s="181">
        <f t="shared" si="0"/>
        <v>56</v>
      </c>
      <c r="D23" s="181">
        <f t="shared" si="1"/>
        <v>-3.1372957963515518</v>
      </c>
      <c r="E23" s="180">
        <f t="shared" si="2"/>
        <v>101.32269138987326</v>
      </c>
      <c r="F23" s="65">
        <f t="shared" si="3"/>
        <v>2054.1463548216916</v>
      </c>
      <c r="G23" s="65">
        <f>AVERAGE(F$4:F23)</f>
        <v>838.00326155398886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66" ht="16.5" x14ac:dyDescent="0.3">
      <c r="A24" s="66">
        <v>21</v>
      </c>
      <c r="B24" s="179">
        <f>'[1]1.StatFitPoissNorm'!B22</f>
        <v>51</v>
      </c>
      <c r="C24" s="181">
        <f t="shared" si="0"/>
        <v>51</v>
      </c>
      <c r="D24" s="181">
        <f t="shared" si="1"/>
        <v>-3.731582633485452</v>
      </c>
      <c r="E24" s="180">
        <f t="shared" si="2"/>
        <v>52.862704203648448</v>
      </c>
      <c r="F24" s="65">
        <f t="shared" si="3"/>
        <v>3.4696669502895996</v>
      </c>
      <c r="G24" s="65">
        <f>AVERAGE(F$4:F24)</f>
        <v>798.26356657286033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66" ht="16.5" x14ac:dyDescent="0.3">
      <c r="A25" s="66">
        <v>22</v>
      </c>
      <c r="B25" s="179">
        <f>'[1]1.StatFitPoissNorm'!B23</f>
        <v>40</v>
      </c>
      <c r="C25" s="181">
        <f t="shared" si="0"/>
        <v>40</v>
      </c>
      <c r="D25" s="181">
        <f t="shared" si="1"/>
        <v>-6.0505363134387498</v>
      </c>
      <c r="E25" s="180">
        <f t="shared" si="2"/>
        <v>47.268417366514548</v>
      </c>
      <c r="F25" s="65">
        <f t="shared" si="3"/>
        <v>52.829891013850279</v>
      </c>
      <c r="G25" s="65">
        <f>AVERAGE(F$4:F25)</f>
        <v>764.38021768381441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66" ht="16.5" x14ac:dyDescent="0.3">
      <c r="A26" s="66">
        <v>23</v>
      </c>
      <c r="B26" s="179">
        <f>'[1]1.StatFitPoissNorm'!B24</f>
        <v>61</v>
      </c>
      <c r="C26" s="181">
        <f t="shared" si="0"/>
        <v>61</v>
      </c>
      <c r="D26" s="181">
        <f t="shared" si="1"/>
        <v>2.5798074829632087</v>
      </c>
      <c r="E26" s="180">
        <f t="shared" si="2"/>
        <v>33.949463686561252</v>
      </c>
      <c r="F26" s="65">
        <f t="shared" si="3"/>
        <v>731.73151484466837</v>
      </c>
      <c r="G26" s="65">
        <f>AVERAGE(F$4:F26)</f>
        <v>762.96070886472114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66" ht="16.5" x14ac:dyDescent="0.3">
      <c r="A27" s="66">
        <v>24</v>
      </c>
      <c r="B27" s="179">
        <f>'[1]1.StatFitPoissNorm'!B25</f>
        <v>72</v>
      </c>
      <c r="C27" s="181">
        <f t="shared" si="0"/>
        <v>72</v>
      </c>
      <c r="D27" s="181">
        <f t="shared" si="1"/>
        <v>5.2662294973694994</v>
      </c>
      <c r="E27" s="180">
        <f t="shared" si="2"/>
        <v>63.579807482963211</v>
      </c>
      <c r="F27" s="65">
        <f t="shared" si="3"/>
        <v>70.899642023962329</v>
      </c>
      <c r="G27" s="65">
        <f>AVERAGE(F$4:F27)</f>
        <v>734.12483107968956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66" ht="16.5" x14ac:dyDescent="0.3">
      <c r="A28" s="66">
        <v>25</v>
      </c>
      <c r="B28" s="179">
        <f>'[1]1.StatFitPoissNorm'!B26</f>
        <v>39</v>
      </c>
      <c r="C28" s="181">
        <f t="shared" si="0"/>
        <v>39</v>
      </c>
      <c r="D28" s="181">
        <f t="shared" si="1"/>
        <v>-6.9424273857196326</v>
      </c>
      <c r="E28" s="180">
        <f t="shared" si="2"/>
        <v>77.266229497369494</v>
      </c>
      <c r="F28" s="65">
        <f t="shared" si="3"/>
        <v>1464.3043199453512</v>
      </c>
      <c r="G28" s="65">
        <f>AVERAGE(F$4:F28)</f>
        <v>763.33201063431591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66" ht="16.5" x14ac:dyDescent="0.3">
      <c r="A29" s="66">
        <v>26</v>
      </c>
      <c r="B29" s="179">
        <f>'[1]1.StatFitPoissNorm'!B27</f>
        <v>31</v>
      </c>
      <c r="C29" s="181">
        <f t="shared" si="0"/>
        <v>31</v>
      </c>
      <c r="D29" s="181">
        <f t="shared" si="1"/>
        <v>-7.2798408530587162</v>
      </c>
      <c r="E29" s="180">
        <f t="shared" si="2"/>
        <v>32.057572614280367</v>
      </c>
      <c r="F29" s="65">
        <f t="shared" si="3"/>
        <v>1.1184598344758108</v>
      </c>
      <c r="G29" s="65">
        <f>AVERAGE(F$4:F29)</f>
        <v>734.01610483432216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66" ht="16.5" x14ac:dyDescent="0.3">
      <c r="A30" s="66">
        <v>27</v>
      </c>
      <c r="B30" s="179">
        <f>'[1]1.StatFitPoissNorm'!B28</f>
        <v>62</v>
      </c>
      <c r="C30" s="181">
        <f t="shared" si="0"/>
        <v>62</v>
      </c>
      <c r="D30" s="181">
        <f t="shared" si="1"/>
        <v>4.9331586677427284</v>
      </c>
      <c r="E30" s="180">
        <f t="shared" si="2"/>
        <v>23.720159146941285</v>
      </c>
      <c r="F30" s="65">
        <f t="shared" si="3"/>
        <v>1465.3462157355029</v>
      </c>
      <c r="G30" s="65">
        <f>AVERAGE(F$4:F30)</f>
        <v>761.10240523806954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66" ht="16.5" x14ac:dyDescent="0.3">
      <c r="A31" s="66">
        <v>28</v>
      </c>
      <c r="B31" s="179">
        <f>'[1]1.StatFitPoissNorm'!B29</f>
        <v>48</v>
      </c>
      <c r="C31" s="181">
        <f t="shared" si="0"/>
        <v>48</v>
      </c>
      <c r="D31" s="181">
        <f t="shared" si="1"/>
        <v>-1.1073747457582157</v>
      </c>
      <c r="E31" s="180">
        <f t="shared" si="2"/>
        <v>66.933158667742731</v>
      </c>
      <c r="F31" s="65">
        <f t="shared" si="3"/>
        <v>358.46449713792168</v>
      </c>
      <c r="G31" s="65">
        <f>AVERAGE(F$4:F31)</f>
        <v>746.72247994877853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66" ht="16.5" x14ac:dyDescent="0.3">
      <c r="A32" s="2">
        <v>29</v>
      </c>
      <c r="B32"/>
      <c r="E32" s="1">
        <f t="shared" si="2"/>
        <v>46.892625254241786</v>
      </c>
      <c r="F32" s="47"/>
      <c r="G32"/>
      <c r="H32"/>
      <c r="I32"/>
      <c r="J32"/>
      <c r="K32"/>
      <c r="L32"/>
      <c r="M32"/>
      <c r="N32"/>
      <c r="O32"/>
      <c r="P32"/>
      <c r="Q32"/>
      <c r="R32"/>
      <c r="BJ32"/>
      <c r="BK32"/>
      <c r="BL32"/>
      <c r="BM32"/>
      <c r="BN32"/>
    </row>
    <row r="33" spans="1:66" x14ac:dyDescent="0.25">
      <c r="A33"/>
      <c r="B33"/>
      <c r="C33"/>
      <c r="BJ33"/>
      <c r="BK33"/>
      <c r="BL33"/>
      <c r="BM33"/>
      <c r="BN33"/>
    </row>
    <row r="34" spans="1:66" x14ac:dyDescent="0.25">
      <c r="A34"/>
      <c r="B34"/>
      <c r="C34"/>
      <c r="BJ34"/>
      <c r="BK34"/>
      <c r="BL34"/>
      <c r="BM34"/>
      <c r="BN34"/>
    </row>
    <row r="35" spans="1:66" x14ac:dyDescent="0.25">
      <c r="A35" s="15" t="s">
        <v>129</v>
      </c>
      <c r="B35"/>
      <c r="C35"/>
      <c r="BJ35"/>
      <c r="BK35"/>
      <c r="BL35"/>
      <c r="BM35"/>
      <c r="BN35"/>
    </row>
    <row r="36" spans="1:66" x14ac:dyDescent="0.25">
      <c r="A36" s="15" t="s">
        <v>128</v>
      </c>
      <c r="B36"/>
      <c r="C36"/>
      <c r="BJ36"/>
      <c r="BK36"/>
      <c r="BL36"/>
      <c r="BM36"/>
      <c r="BN36"/>
    </row>
    <row r="37" spans="1:66" x14ac:dyDescent="0.25">
      <c r="A37" s="15" t="s">
        <v>127</v>
      </c>
      <c r="B37"/>
      <c r="C37"/>
      <c r="BJ37"/>
      <c r="BK37"/>
      <c r="BL37"/>
      <c r="BM37"/>
      <c r="BN37"/>
    </row>
    <row r="38" spans="1:66" x14ac:dyDescent="0.25">
      <c r="A38" s="69" t="s">
        <v>57</v>
      </c>
      <c r="B38"/>
      <c r="C38"/>
      <c r="BJ38"/>
      <c r="BK38"/>
      <c r="BL38"/>
      <c r="BM38"/>
      <c r="BN38"/>
    </row>
    <row r="39" spans="1:66" x14ac:dyDescent="0.25">
      <c r="A39" t="s">
        <v>126</v>
      </c>
      <c r="B39"/>
      <c r="C39"/>
      <c r="BJ39"/>
      <c r="BK39"/>
      <c r="BL39"/>
      <c r="BM39"/>
      <c r="BN39"/>
    </row>
    <row r="40" spans="1:66" x14ac:dyDescent="0.25">
      <c r="A40" t="s">
        <v>58</v>
      </c>
      <c r="B40"/>
      <c r="C40"/>
      <c r="BJ40"/>
      <c r="BK40"/>
      <c r="BL40"/>
      <c r="BM40"/>
      <c r="BN40"/>
    </row>
    <row r="41" spans="1:66" x14ac:dyDescent="0.25">
      <c r="A41" t="s">
        <v>125</v>
      </c>
      <c r="B41"/>
      <c r="C41"/>
      <c r="BJ41"/>
      <c r="BK41"/>
      <c r="BL41"/>
      <c r="BM41"/>
      <c r="BN41"/>
    </row>
    <row r="42" spans="1:66" x14ac:dyDescent="0.25">
      <c r="A42" t="s">
        <v>124</v>
      </c>
      <c r="B42"/>
      <c r="C42"/>
      <c r="BJ42"/>
      <c r="BK42"/>
      <c r="BL42"/>
      <c r="BM42"/>
      <c r="BN42"/>
    </row>
    <row r="43" spans="1:66" x14ac:dyDescent="0.25">
      <c r="A43" t="s">
        <v>123</v>
      </c>
      <c r="B43"/>
      <c r="C43"/>
      <c r="BJ43"/>
      <c r="BK43"/>
      <c r="BL43"/>
      <c r="BM43"/>
      <c r="BN43"/>
    </row>
    <row r="44" spans="1:66" x14ac:dyDescent="0.25">
      <c r="A44"/>
      <c r="B44"/>
      <c r="C44"/>
      <c r="BJ44"/>
      <c r="BK44"/>
      <c r="BL44"/>
      <c r="BM44"/>
      <c r="BN44"/>
    </row>
    <row r="45" spans="1:66" x14ac:dyDescent="0.25">
      <c r="A45"/>
      <c r="B45"/>
      <c r="C45"/>
      <c r="BJ45"/>
      <c r="BK45"/>
      <c r="BL45"/>
      <c r="BM45"/>
      <c r="BN45"/>
    </row>
    <row r="46" spans="1:66" x14ac:dyDescent="0.25">
      <c r="A46"/>
      <c r="B46"/>
      <c r="C46"/>
      <c r="BJ46"/>
      <c r="BK46"/>
      <c r="BL46"/>
      <c r="BM46"/>
      <c r="BN46"/>
    </row>
    <row r="47" spans="1:66" x14ac:dyDescent="0.25">
      <c r="A47"/>
      <c r="B47"/>
      <c r="C47"/>
      <c r="BJ47"/>
      <c r="BK47"/>
      <c r="BL47"/>
      <c r="BM47"/>
      <c r="BN47"/>
    </row>
    <row r="48" spans="1:66" x14ac:dyDescent="0.25">
      <c r="A48"/>
      <c r="B48"/>
      <c r="C48"/>
      <c r="BJ48"/>
      <c r="BK48"/>
      <c r="BL48"/>
      <c r="BM48"/>
      <c r="BN48"/>
    </row>
    <row r="49" spans="1:66" x14ac:dyDescent="0.25">
      <c r="A49"/>
      <c r="B49"/>
      <c r="C49"/>
      <c r="BJ49"/>
      <c r="BK49"/>
      <c r="BL49"/>
      <c r="BM49"/>
      <c r="BN49"/>
    </row>
    <row r="50" spans="1:66" x14ac:dyDescent="0.25">
      <c r="A50"/>
      <c r="B50"/>
      <c r="C50"/>
      <c r="BJ50"/>
      <c r="BK50"/>
      <c r="BL50"/>
      <c r="BM50"/>
      <c r="BN50"/>
    </row>
    <row r="51" spans="1:66" x14ac:dyDescent="0.25">
      <c r="A51"/>
      <c r="B51"/>
      <c r="C51"/>
      <c r="BJ51"/>
      <c r="BK51"/>
      <c r="BL51"/>
      <c r="BM51"/>
      <c r="BN51"/>
    </row>
    <row r="52" spans="1:66" x14ac:dyDescent="0.25">
      <c r="A52"/>
      <c r="B52"/>
      <c r="C52"/>
      <c r="BJ52"/>
      <c r="BK52"/>
      <c r="BL52"/>
      <c r="BM52"/>
      <c r="BN52"/>
    </row>
    <row r="53" spans="1:66" x14ac:dyDescent="0.25">
      <c r="A53"/>
      <c r="B53"/>
      <c r="C53"/>
      <c r="BJ53"/>
      <c r="BK53"/>
      <c r="BL53"/>
      <c r="BM53"/>
      <c r="BN53"/>
    </row>
    <row r="54" spans="1:66" x14ac:dyDescent="0.25">
      <c r="A54"/>
      <c r="B54"/>
      <c r="C54"/>
      <c r="BJ54"/>
      <c r="BK54"/>
      <c r="BL54"/>
      <c r="BM54"/>
      <c r="BN54"/>
    </row>
    <row r="55" spans="1:66" x14ac:dyDescent="0.25">
      <c r="A55"/>
      <c r="B55"/>
      <c r="C55"/>
      <c r="BJ55"/>
      <c r="BK55"/>
      <c r="BL55"/>
      <c r="BM55"/>
      <c r="BN55"/>
    </row>
    <row r="56" spans="1:66" x14ac:dyDescent="0.25">
      <c r="A56"/>
      <c r="B56"/>
      <c r="C56"/>
      <c r="BJ56"/>
      <c r="BK56"/>
      <c r="BL56"/>
      <c r="BM56"/>
      <c r="BN56"/>
    </row>
    <row r="57" spans="1:66" x14ac:dyDescent="0.25">
      <c r="A57"/>
      <c r="B57"/>
      <c r="C57"/>
      <c r="BJ57"/>
      <c r="BK57"/>
      <c r="BL57"/>
      <c r="BM57"/>
      <c r="BN57"/>
    </row>
    <row r="58" spans="1:66" x14ac:dyDescent="0.25">
      <c r="A58"/>
      <c r="B58"/>
      <c r="C58"/>
      <c r="BJ58"/>
      <c r="BK58"/>
      <c r="BL58"/>
      <c r="BM58"/>
      <c r="BN58"/>
    </row>
    <row r="59" spans="1:66" x14ac:dyDescent="0.25">
      <c r="A59"/>
      <c r="B59"/>
      <c r="C59"/>
      <c r="BJ59"/>
      <c r="BK59"/>
      <c r="BL59"/>
      <c r="BM59"/>
      <c r="BN59"/>
    </row>
    <row r="60" spans="1:66" x14ac:dyDescent="0.25">
      <c r="A60"/>
      <c r="B60"/>
      <c r="C60"/>
      <c r="BJ60"/>
      <c r="BK60"/>
      <c r="BL60"/>
      <c r="BM60"/>
      <c r="BN60"/>
    </row>
    <row r="61" spans="1:66" x14ac:dyDescent="0.25">
      <c r="A61"/>
      <c r="B61"/>
      <c r="C61"/>
      <c r="BJ61"/>
      <c r="BK61"/>
      <c r="BL61"/>
      <c r="BM61"/>
      <c r="BN61"/>
    </row>
    <row r="62" spans="1:66" x14ac:dyDescent="0.25">
      <c r="A62"/>
      <c r="B62"/>
      <c r="C62"/>
      <c r="BJ62"/>
      <c r="BK62"/>
      <c r="BL62"/>
      <c r="BM62"/>
      <c r="BN62"/>
    </row>
    <row r="63" spans="1:66" x14ac:dyDescent="0.25">
      <c r="A63"/>
      <c r="B63"/>
      <c r="C63"/>
      <c r="BJ63"/>
      <c r="BK63"/>
      <c r="BL63"/>
      <c r="BM63"/>
      <c r="BN63"/>
    </row>
    <row r="64" spans="1:66" x14ac:dyDescent="0.25">
      <c r="A64"/>
      <c r="B64"/>
      <c r="C64"/>
      <c r="BJ64"/>
      <c r="BK64"/>
      <c r="BL64"/>
      <c r="BM64"/>
      <c r="BN64"/>
    </row>
    <row r="65" spans="1:66" x14ac:dyDescent="0.25">
      <c r="A65"/>
      <c r="B65"/>
      <c r="C65"/>
      <c r="BJ65"/>
      <c r="BK65"/>
      <c r="BL65"/>
      <c r="BM65"/>
      <c r="BN65"/>
    </row>
    <row r="66" spans="1:66" x14ac:dyDescent="0.25">
      <c r="A66"/>
      <c r="B66"/>
      <c r="C66"/>
      <c r="BJ66"/>
      <c r="BK66"/>
      <c r="BL66"/>
      <c r="BM66"/>
      <c r="BN66"/>
    </row>
    <row r="67" spans="1:66" x14ac:dyDescent="0.25">
      <c r="A67"/>
      <c r="B67"/>
      <c r="C67"/>
      <c r="BJ67"/>
      <c r="BK67"/>
      <c r="BL67"/>
      <c r="BM67"/>
      <c r="BN67"/>
    </row>
    <row r="68" spans="1:66" x14ac:dyDescent="0.25">
      <c r="A68"/>
      <c r="B68"/>
      <c r="C68"/>
      <c r="BJ68"/>
      <c r="BK68"/>
      <c r="BL68"/>
      <c r="BM68"/>
      <c r="BN68"/>
    </row>
    <row r="69" spans="1:66" x14ac:dyDescent="0.25">
      <c r="A69"/>
      <c r="B69"/>
      <c r="C69"/>
      <c r="BJ69"/>
      <c r="BK69"/>
      <c r="BL69"/>
      <c r="BM69"/>
      <c r="BN69"/>
    </row>
    <row r="70" spans="1:66" x14ac:dyDescent="0.25">
      <c r="A70"/>
      <c r="B70"/>
      <c r="C70"/>
      <c r="BJ70"/>
      <c r="BK70"/>
      <c r="BL70"/>
      <c r="BM70"/>
      <c r="BN70"/>
    </row>
    <row r="71" spans="1:66" x14ac:dyDescent="0.25">
      <c r="A71"/>
      <c r="B71"/>
      <c r="C71"/>
      <c r="BJ71"/>
      <c r="BK71"/>
      <c r="BL71"/>
      <c r="BM71"/>
      <c r="BN71"/>
    </row>
    <row r="72" spans="1:66" x14ac:dyDescent="0.25">
      <c r="A72"/>
      <c r="B72"/>
      <c r="C72"/>
      <c r="BJ72"/>
      <c r="BK72"/>
      <c r="BL72"/>
      <c r="BM72"/>
      <c r="BN72"/>
    </row>
    <row r="73" spans="1:66" x14ac:dyDescent="0.25">
      <c r="A73"/>
      <c r="B73"/>
      <c r="C73"/>
      <c r="BJ73"/>
      <c r="BK73"/>
      <c r="BL73"/>
      <c r="BM73"/>
      <c r="BN73"/>
    </row>
    <row r="74" spans="1:66" x14ac:dyDescent="0.25">
      <c r="A74"/>
      <c r="B74"/>
      <c r="C74"/>
      <c r="BJ74"/>
      <c r="BK74"/>
      <c r="BL74"/>
      <c r="BM74"/>
      <c r="BN74"/>
    </row>
    <row r="75" spans="1:66" x14ac:dyDescent="0.25">
      <c r="A75"/>
      <c r="B75"/>
      <c r="C75"/>
      <c r="BJ75"/>
      <c r="BK75"/>
      <c r="BL75"/>
      <c r="BM75"/>
      <c r="BN75"/>
    </row>
    <row r="76" spans="1:66" x14ac:dyDescent="0.25">
      <c r="A76"/>
      <c r="B76"/>
      <c r="C76"/>
      <c r="BJ76"/>
      <c r="BK76"/>
      <c r="BL76"/>
      <c r="BM76"/>
      <c r="BN76"/>
    </row>
    <row r="77" spans="1:66" x14ac:dyDescent="0.25">
      <c r="A77"/>
      <c r="B77"/>
      <c r="C77"/>
      <c r="BJ77"/>
      <c r="BK77"/>
      <c r="BL77"/>
      <c r="BM77"/>
      <c r="BN77"/>
    </row>
    <row r="78" spans="1:66" x14ac:dyDescent="0.25">
      <c r="A78"/>
      <c r="B78"/>
      <c r="C78"/>
      <c r="BJ78"/>
      <c r="BK78"/>
      <c r="BL78"/>
      <c r="BM78"/>
      <c r="BN78"/>
    </row>
    <row r="79" spans="1:66" ht="16.5" x14ac:dyDescent="0.3">
      <c r="A79"/>
      <c r="B79"/>
      <c r="C7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J79"/>
      <c r="BK79"/>
      <c r="BL79"/>
      <c r="BM79"/>
      <c r="BN79"/>
    </row>
    <row r="80" spans="1:66" ht="16.5" x14ac:dyDescent="0.3">
      <c r="A80"/>
      <c r="B80"/>
      <c r="C80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BJ80"/>
      <c r="BK80"/>
      <c r="BL80"/>
      <c r="BM80"/>
      <c r="BN80"/>
    </row>
    <row r="81" spans="1:66" ht="16.5" x14ac:dyDescent="0.3">
      <c r="A81"/>
      <c r="B81"/>
      <c r="C81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BJ81"/>
      <c r="BK81"/>
      <c r="BL81"/>
      <c r="BM81"/>
      <c r="BN81"/>
    </row>
    <row r="82" spans="1:66" ht="16.5" x14ac:dyDescent="0.3">
      <c r="A82"/>
      <c r="B82"/>
      <c r="C82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BJ82"/>
      <c r="BK82"/>
      <c r="BL82"/>
      <c r="BM82"/>
      <c r="BN82"/>
    </row>
    <row r="83" spans="1:66" ht="16.5" x14ac:dyDescent="0.3">
      <c r="A83"/>
      <c r="B83"/>
      <c r="C83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BJ83"/>
      <c r="BK83"/>
      <c r="BL83"/>
      <c r="BM83"/>
      <c r="BN83"/>
    </row>
    <row r="84" spans="1:66" ht="16.5" x14ac:dyDescent="0.3">
      <c r="A84"/>
      <c r="B84"/>
      <c r="C84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BJ84"/>
      <c r="BK84"/>
      <c r="BL84"/>
      <c r="BM84"/>
      <c r="BN84"/>
    </row>
    <row r="85" spans="1:66" ht="16.5" x14ac:dyDescent="0.3">
      <c r="A85"/>
      <c r="B85"/>
      <c r="C8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BJ85"/>
      <c r="BK85"/>
      <c r="BL85"/>
      <c r="BM85"/>
      <c r="BN85"/>
    </row>
    <row r="86" spans="1:66" ht="16.5" x14ac:dyDescent="0.3">
      <c r="A86"/>
      <c r="B86"/>
      <c r="C8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BJ86"/>
      <c r="BK86"/>
      <c r="BL86"/>
      <c r="BM86"/>
      <c r="BN86"/>
    </row>
    <row r="87" spans="1:66" ht="16.5" x14ac:dyDescent="0.3">
      <c r="A87"/>
      <c r="B87"/>
      <c r="C8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BJ87"/>
      <c r="BK87"/>
      <c r="BL87"/>
      <c r="BM87"/>
      <c r="BN87"/>
    </row>
    <row r="88" spans="1:66" ht="16.5" x14ac:dyDescent="0.3">
      <c r="A88"/>
      <c r="B88"/>
      <c r="C8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66" ht="16.5" x14ac:dyDescent="0.3">
      <c r="A89"/>
      <c r="B89"/>
      <c r="C89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66" ht="16.5" x14ac:dyDescent="0.3">
      <c r="A90"/>
      <c r="B90"/>
      <c r="C90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66" x14ac:dyDescent="0.25">
      <c r="A91"/>
      <c r="B91"/>
      <c r="C91"/>
    </row>
    <row r="92" spans="1:66" x14ac:dyDescent="0.25">
      <c r="A92"/>
      <c r="B92"/>
      <c r="C92"/>
    </row>
    <row r="93" spans="1:66" x14ac:dyDescent="0.25">
      <c r="A93"/>
      <c r="B93"/>
      <c r="C93"/>
    </row>
    <row r="94" spans="1:66" x14ac:dyDescent="0.25">
      <c r="A94"/>
      <c r="B94"/>
      <c r="C94"/>
    </row>
    <row r="95" spans="1:66" x14ac:dyDescent="0.25">
      <c r="A95"/>
      <c r="B95"/>
      <c r="C95"/>
    </row>
    <row r="96" spans="1:66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W7:AG17">
    <cfRule type="cellIs" dxfId="0" priority="1" operator="equal">
      <formula>$AH$18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sheetPr>
    <tabColor rgb="FF92D050"/>
  </sheetPr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4" width="9.7109375" style="15" customWidth="1"/>
    <col min="5" max="5" width="11" style="15" bestFit="1" customWidth="1"/>
    <col min="6" max="6" width="20.5703125" style="15" bestFit="1" customWidth="1"/>
    <col min="7" max="9" width="9.7109375" style="15" customWidth="1"/>
    <col min="10" max="10" width="9.140625" style="15"/>
    <col min="11" max="11" width="6.28515625" style="15" bestFit="1" customWidth="1"/>
    <col min="12" max="12" width="6.140625" style="15" bestFit="1" customWidth="1"/>
    <col min="13" max="13" width="6.5703125" style="15" bestFit="1" customWidth="1"/>
    <col min="14" max="14" width="6.42578125" style="15" bestFit="1" customWidth="1"/>
    <col min="15" max="15" width="5.85546875" style="15" bestFit="1" customWidth="1"/>
    <col min="16" max="19" width="9.28515625" style="15" bestFit="1" customWidth="1"/>
    <col min="20" max="21" width="9.140625" style="15"/>
    <col min="22" max="22" width="9.28515625" style="15" bestFit="1" customWidth="1"/>
    <col min="23" max="23" width="9.140625" style="15"/>
    <col min="24" max="24" width="10.42578125" style="15" bestFit="1" customWidth="1"/>
    <col min="25" max="25" width="3" style="15" bestFit="1" customWidth="1"/>
    <col min="26" max="26" width="5.28515625" style="15" bestFit="1" customWidth="1"/>
    <col min="27" max="33" width="9.140625" style="15"/>
    <col min="34" max="34" width="9.140625" style="15" customWidth="1"/>
    <col min="35" max="37" width="9.140625" style="1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15"/>
  </cols>
  <sheetData>
    <row r="1" spans="1:61" customFormat="1" ht="17.25" thickBot="1" x14ac:dyDescent="0.35">
      <c r="A1" s="19" t="s">
        <v>4</v>
      </c>
      <c r="B1" s="168" t="s">
        <v>116</v>
      </c>
      <c r="C1" s="47" t="s">
        <v>25</v>
      </c>
      <c r="D1" s="47" t="s">
        <v>19</v>
      </c>
      <c r="E1" s="47" t="s">
        <v>56</v>
      </c>
      <c r="F1" s="1" t="s">
        <v>115</v>
      </c>
      <c r="G1" s="1" t="s">
        <v>3</v>
      </c>
      <c r="H1" s="1" t="s">
        <v>2</v>
      </c>
      <c r="I1" s="1" t="s">
        <v>114</v>
      </c>
      <c r="J1" s="1" t="s">
        <v>52</v>
      </c>
      <c r="K1" s="15" t="s">
        <v>55</v>
      </c>
      <c r="L1" s="15" t="s">
        <v>1</v>
      </c>
      <c r="M1" s="15" t="s">
        <v>54</v>
      </c>
      <c r="N1" s="15" t="s">
        <v>53</v>
      </c>
      <c r="O1" s="15" t="s">
        <v>23</v>
      </c>
      <c r="U1" s="15"/>
      <c r="V1" s="15"/>
      <c r="W1" s="15"/>
      <c r="X1" s="15" t="s">
        <v>38</v>
      </c>
      <c r="Y1" s="81" t="s">
        <v>71</v>
      </c>
      <c r="Z1" s="55">
        <v>4</v>
      </c>
      <c r="AA1" s="15"/>
    </row>
    <row r="2" spans="1:61" customFormat="1" ht="16.5" x14ac:dyDescent="0.3">
      <c r="A2" s="55">
        <v>0</v>
      </c>
      <c r="B2" s="15"/>
      <c r="C2" s="167">
        <f>INTERCEPT($B$3:$B$14,$A$3:$A$14)</f>
        <v>17.287878787878789</v>
      </c>
      <c r="D2" s="167">
        <f>SLOPE($B$3:$B$14,$A$3:$A$14)</f>
        <v>4.43006993006993</v>
      </c>
      <c r="E2" s="66"/>
      <c r="F2" s="47"/>
      <c r="G2" s="47"/>
      <c r="H2" s="47"/>
      <c r="I2" s="47"/>
      <c r="J2" s="47"/>
      <c r="K2" s="15"/>
      <c r="Q2" s="1" t="s">
        <v>113</v>
      </c>
      <c r="R2" s="1" t="s">
        <v>112</v>
      </c>
      <c r="S2" s="1" t="s">
        <v>111</v>
      </c>
      <c r="T2" s="1" t="s">
        <v>110</v>
      </c>
      <c r="U2" s="47" t="s">
        <v>109</v>
      </c>
      <c r="V2" s="47" t="s">
        <v>108</v>
      </c>
      <c r="W2" s="15"/>
      <c r="X2" s="15" t="s">
        <v>69</v>
      </c>
      <c r="Y2" s="82" t="s">
        <v>70</v>
      </c>
      <c r="Z2" s="80">
        <v>0.1</v>
      </c>
      <c r="AA2" s="15"/>
      <c r="AI2" s="15"/>
      <c r="AJ2" s="15"/>
      <c r="AK2" s="15"/>
      <c r="BE2" s="15"/>
      <c r="BF2" s="15"/>
      <c r="BG2" s="15"/>
      <c r="BH2" s="15"/>
      <c r="BI2" s="15"/>
    </row>
    <row r="3" spans="1:61" customFormat="1" ht="16.5" x14ac:dyDescent="0.3">
      <c r="A3" s="66">
        <v>1</v>
      </c>
      <c r="B3" s="75">
        <v>22</v>
      </c>
      <c r="C3" s="163">
        <f t="shared" ref="C3:C18" si="0">(1-$Z$2)*(C2+D2)+$Z$2*B3/E3</f>
        <v>22.196153846153845</v>
      </c>
      <c r="D3" s="163">
        <f>(1-$Z$3)*D2+$Z$3*(C3-C2)</f>
        <v>4.5257109557109558</v>
      </c>
      <c r="E3" s="166">
        <f>B3/AVERAGE($B$3:$B$6)</f>
        <v>0.83018867924528306</v>
      </c>
      <c r="F3" s="165">
        <f>(C2+D2)*E3</f>
        <v>18.029995162070634</v>
      </c>
      <c r="G3" s="65">
        <f t="shared" ref="G3:G14" si="1">B3-F3</f>
        <v>3.9700048379293662</v>
      </c>
      <c r="H3" s="65">
        <f t="shared" ref="H3:H14" si="2">ABS(G3)</f>
        <v>3.9700048379293662</v>
      </c>
      <c r="I3" s="65">
        <f t="shared" ref="I3:I14" si="3">H3/B3</f>
        <v>0.18045476536042573</v>
      </c>
      <c r="J3" s="65">
        <f t="shared" ref="J3:J14" si="4">G3^2</f>
        <v>15.760938413182574</v>
      </c>
      <c r="K3" s="164">
        <f>SUM($G3:G3)</f>
        <v>3.9700048379293662</v>
      </c>
      <c r="L3" s="64">
        <f>AVERAGE(H$3:H3)</f>
        <v>3.9700048379293662</v>
      </c>
      <c r="M3" s="64">
        <f>AVERAGE(I$3:I3)</f>
        <v>0.18045476536042573</v>
      </c>
      <c r="N3" s="64">
        <f>AVERAGE(J$3:J3)</f>
        <v>15.760938413182574</v>
      </c>
      <c r="O3" s="64">
        <f t="shared" ref="O3:O14" si="5">K3/L3</f>
        <v>1</v>
      </c>
      <c r="Q3" s="85">
        <f>(C2+D2)</f>
        <v>21.717948717948719</v>
      </c>
      <c r="R3" s="85">
        <f>B3/E3</f>
        <v>26.5</v>
      </c>
      <c r="S3" s="85">
        <f>D2</f>
        <v>4.43006993006993</v>
      </c>
      <c r="T3" s="85">
        <f>C3-C2</f>
        <v>4.9082750582750556</v>
      </c>
      <c r="U3" s="56">
        <f>E3</f>
        <v>0.83018867924528306</v>
      </c>
      <c r="V3" s="56">
        <f>C3/(C2+D2)</f>
        <v>1.0220188902007084</v>
      </c>
      <c r="W3" s="15"/>
      <c r="X3" s="15" t="s">
        <v>67</v>
      </c>
      <c r="Y3" s="82" t="s">
        <v>72</v>
      </c>
      <c r="Z3" s="83">
        <v>0.2</v>
      </c>
      <c r="AA3" s="15"/>
      <c r="AI3" s="15"/>
      <c r="AJ3" s="15"/>
      <c r="AK3" s="15"/>
      <c r="BE3" s="15"/>
      <c r="BF3" s="15"/>
      <c r="BG3" s="15"/>
      <c r="BH3" s="15"/>
      <c r="BI3" s="15"/>
    </row>
    <row r="4" spans="1:61" customFormat="1" ht="16.5" x14ac:dyDescent="0.3">
      <c r="A4" s="66">
        <v>2</v>
      </c>
      <c r="B4" s="75">
        <v>30</v>
      </c>
      <c r="C4" s="163">
        <f t="shared" si="0"/>
        <v>26.69967832167832</v>
      </c>
      <c r="D4" s="163">
        <f t="shared" ref="D4:D18" si="6">(1-$C$23)*D3+$C$23*(C4-C3)</f>
        <v>4.5212736596736596</v>
      </c>
      <c r="E4" s="166">
        <f>B4/AVERAGE($B$3:$B$6)</f>
        <v>1.1320754716981132</v>
      </c>
      <c r="F4" s="165">
        <f t="shared" ref="F4:F14" si="7">SUM(C3:D3)*E4</f>
        <v>30.2511677002243</v>
      </c>
      <c r="G4" s="65">
        <f t="shared" si="1"/>
        <v>-0.25116770022430046</v>
      </c>
      <c r="H4" s="65">
        <f t="shared" si="2"/>
        <v>0.25116770022430046</v>
      </c>
      <c r="I4" s="65">
        <f t="shared" si="3"/>
        <v>8.3722566741433486E-3</v>
      </c>
      <c r="J4" s="65">
        <f t="shared" si="4"/>
        <v>6.308521363596406E-2</v>
      </c>
      <c r="K4" s="164">
        <f>SUM($G4:G4)</f>
        <v>-0.25116770022430046</v>
      </c>
      <c r="L4" s="64">
        <f>AVERAGE(H$3:H4)</f>
        <v>2.1105862690768333</v>
      </c>
      <c r="M4" s="64">
        <f>AVERAGE(I$3:I4)</f>
        <v>9.441351101728454E-2</v>
      </c>
      <c r="N4" s="64">
        <f>AVERAGE(J$3:J4)</f>
        <v>7.9120118134092685</v>
      </c>
      <c r="O4" s="64">
        <f t="shared" si="5"/>
        <v>-0.11900375924181519</v>
      </c>
      <c r="Q4" s="85">
        <f>Q3*(1-Z2)</f>
        <v>19.546153846153846</v>
      </c>
      <c r="R4" s="85">
        <f>R3*Z2</f>
        <v>2.6500000000000004</v>
      </c>
      <c r="S4" s="85">
        <f>S3*(1-Z3)</f>
        <v>3.5440559440559443</v>
      </c>
      <c r="T4" s="85">
        <f>T3*Z3</f>
        <v>0.98165501165501112</v>
      </c>
      <c r="U4" s="85">
        <f>U3*(1-Z4)</f>
        <v>0.66415094339622649</v>
      </c>
      <c r="V4" s="85">
        <f>V3*Z4</f>
        <v>0.20440377804014168</v>
      </c>
      <c r="W4" s="15"/>
      <c r="X4" s="15" t="s">
        <v>68</v>
      </c>
      <c r="Y4" s="82" t="s">
        <v>73</v>
      </c>
      <c r="Z4" s="80">
        <v>0.2</v>
      </c>
      <c r="AA4" s="15"/>
      <c r="AI4" s="15"/>
      <c r="AJ4" s="15"/>
      <c r="AK4" s="15"/>
      <c r="BE4" s="15"/>
      <c r="BF4" s="15"/>
      <c r="BG4" s="15"/>
      <c r="BH4" s="15"/>
      <c r="BI4" s="15"/>
    </row>
    <row r="5" spans="1:61" customFormat="1" ht="16.5" x14ac:dyDescent="0.3">
      <c r="A5" s="66">
        <v>3</v>
      </c>
      <c r="B5" s="75">
        <v>28</v>
      </c>
      <c r="C5" s="163">
        <f t="shared" si="0"/>
        <v>30.74885678321678</v>
      </c>
      <c r="D5" s="163">
        <f t="shared" si="6"/>
        <v>4.4268546200466199</v>
      </c>
      <c r="E5" s="166">
        <f>B5/AVERAGE($B$3:$B$6)</f>
        <v>1.0566037735849056</v>
      </c>
      <c r="F5" s="165">
        <f t="shared" si="7"/>
        <v>32.98817567840964</v>
      </c>
      <c r="G5" s="65">
        <f t="shared" si="1"/>
        <v>-4.9881756784096396</v>
      </c>
      <c r="H5" s="65">
        <f t="shared" si="2"/>
        <v>4.9881756784096396</v>
      </c>
      <c r="I5" s="65">
        <f t="shared" si="3"/>
        <v>0.17814913137177285</v>
      </c>
      <c r="J5" s="65">
        <f t="shared" si="4"/>
        <v>24.881896598677468</v>
      </c>
      <c r="K5" s="164">
        <f>SUM($G5:G5)</f>
        <v>-4.9881756784096396</v>
      </c>
      <c r="L5" s="64">
        <f>AVERAGE(H$3:H5)</f>
        <v>3.0697827388544354</v>
      </c>
      <c r="M5" s="64">
        <f>AVERAGE(I$3:I5)</f>
        <v>0.12232538446878065</v>
      </c>
      <c r="N5" s="64">
        <f>AVERAGE(J$3:J5)</f>
        <v>13.568640075165334</v>
      </c>
      <c r="O5" s="64">
        <f t="shared" si="5"/>
        <v>-1.6249279192543442</v>
      </c>
      <c r="Q5" s="85"/>
      <c r="R5" s="85">
        <f>Q4+R4</f>
        <v>22.196153846153848</v>
      </c>
      <c r="S5" s="85"/>
      <c r="T5" s="85">
        <f>S4+T4</f>
        <v>4.5257109557109558</v>
      </c>
      <c r="U5" s="85"/>
      <c r="V5" s="85">
        <f>U4+V4</f>
        <v>0.86855472143636814</v>
      </c>
      <c r="AI5" s="15"/>
      <c r="AJ5" s="15"/>
      <c r="AK5" s="15"/>
      <c r="BE5" s="15"/>
      <c r="BF5" s="15"/>
      <c r="BG5" s="15"/>
      <c r="BH5" s="15"/>
      <c r="BI5" s="15"/>
    </row>
    <row r="6" spans="1:61" customFormat="1" ht="16.5" x14ac:dyDescent="0.3">
      <c r="A6" s="66">
        <v>4</v>
      </c>
      <c r="B6" s="75">
        <v>26</v>
      </c>
      <c r="C6" s="163">
        <f t="shared" si="0"/>
        <v>34.308140262937059</v>
      </c>
      <c r="D6" s="163">
        <f t="shared" si="6"/>
        <v>4.2533403919813519</v>
      </c>
      <c r="E6" s="166">
        <f>B6/AVERAGE($B$3:$B$6)</f>
        <v>0.98113207547169812</v>
      </c>
      <c r="F6" s="165">
        <f t="shared" si="7"/>
        <v>34.512018735277294</v>
      </c>
      <c r="G6" s="65">
        <f t="shared" si="1"/>
        <v>-8.5120187352772945</v>
      </c>
      <c r="H6" s="65">
        <f t="shared" si="2"/>
        <v>8.5120187352772945</v>
      </c>
      <c r="I6" s="65">
        <f t="shared" si="3"/>
        <v>0.32738533597220365</v>
      </c>
      <c r="J6" s="65">
        <f t="shared" si="4"/>
        <v>72.454462949711669</v>
      </c>
      <c r="K6" s="164">
        <f>SUM($G6:G6)</f>
        <v>-8.5120187352772945</v>
      </c>
      <c r="L6" s="64">
        <f>AVERAGE(H$3:H6)</f>
        <v>4.4303417379601502</v>
      </c>
      <c r="M6" s="64">
        <f>AVERAGE(I$3:I6)</f>
        <v>0.1735903723446364</v>
      </c>
      <c r="N6" s="64">
        <f>AVERAGE(J$3:J6)</f>
        <v>28.290095793801918</v>
      </c>
      <c r="O6" s="64">
        <f t="shared" si="5"/>
        <v>-1.921300711939314</v>
      </c>
      <c r="Q6" s="15"/>
      <c r="R6" s="15"/>
      <c r="S6" s="15"/>
      <c r="T6" s="15"/>
      <c r="U6" s="15"/>
      <c r="V6" s="15"/>
      <c r="AI6" s="15"/>
      <c r="AJ6" s="15"/>
      <c r="AK6" s="15"/>
      <c r="BE6" s="15"/>
      <c r="BF6" s="15"/>
      <c r="BG6" s="15"/>
      <c r="BH6" s="15"/>
      <c r="BI6" s="15"/>
    </row>
    <row r="7" spans="1:61" customFormat="1" ht="16.5" x14ac:dyDescent="0.3">
      <c r="A7" s="66">
        <v>5</v>
      </c>
      <c r="B7" s="75">
        <v>40</v>
      </c>
      <c r="C7" s="163">
        <f t="shared" si="0"/>
        <v>39.320282267137756</v>
      </c>
      <c r="D7" s="163">
        <f t="shared" si="6"/>
        <v>4.4051007144252212</v>
      </c>
      <c r="E7" s="163">
        <f t="shared" ref="E7:E18" si="8">(1-$Z$4)*E3+$Z$4*B3/(C2+D2)</f>
        <v>0.86674834599362915</v>
      </c>
      <c r="F7" s="165">
        <f t="shared" si="7"/>
        <v>33.423099576715863</v>
      </c>
      <c r="G7" s="65">
        <f t="shared" si="1"/>
        <v>6.5769004232841368</v>
      </c>
      <c r="H7" s="65">
        <f t="shared" si="2"/>
        <v>6.5769004232841368</v>
      </c>
      <c r="I7" s="65">
        <f t="shared" si="3"/>
        <v>0.16442251058210341</v>
      </c>
      <c r="J7" s="65">
        <f t="shared" si="4"/>
        <v>43.255619177795062</v>
      </c>
      <c r="K7" s="164">
        <f>SUM($G7:G7)</f>
        <v>6.5769004232841368</v>
      </c>
      <c r="L7" s="64">
        <f>AVERAGE(H$3:H7)</f>
        <v>4.8596534750249472</v>
      </c>
      <c r="M7" s="64">
        <f>AVERAGE(I$3:I7)</f>
        <v>0.17175679999212981</v>
      </c>
      <c r="N7" s="64">
        <f>AVERAGE(J$3:J7)</f>
        <v>31.283200470600548</v>
      </c>
      <c r="O7" s="64">
        <f t="shared" si="5"/>
        <v>1.3533681891280065</v>
      </c>
      <c r="Q7" s="15"/>
      <c r="R7" s="15"/>
      <c r="S7" s="15"/>
      <c r="T7" s="15"/>
      <c r="U7" s="15"/>
      <c r="V7" s="15"/>
      <c r="AI7" s="15"/>
      <c r="AJ7" s="15"/>
      <c r="AK7" s="15"/>
      <c r="BE7" s="15"/>
      <c r="BF7" s="15"/>
      <c r="BG7" s="15"/>
      <c r="BH7" s="15"/>
      <c r="BI7" s="15"/>
    </row>
    <row r="8" spans="1:61" customFormat="1" ht="16.5" x14ac:dyDescent="0.3">
      <c r="A8" s="66">
        <v>6</v>
      </c>
      <c r="B8" s="75">
        <v>55</v>
      </c>
      <c r="C8" s="163">
        <f t="shared" si="0"/>
        <v>44.219258935057205</v>
      </c>
      <c r="D8" s="163">
        <f t="shared" si="6"/>
        <v>4.5038759051240671</v>
      </c>
      <c r="E8" s="163">
        <f t="shared" si="8"/>
        <v>1.1301956051387496</v>
      </c>
      <c r="F8" s="165">
        <f t="shared" si="7"/>
        <v>49.418235678771154</v>
      </c>
      <c r="G8" s="65">
        <f t="shared" si="1"/>
        <v>5.5817643212288459</v>
      </c>
      <c r="H8" s="65">
        <f t="shared" si="2"/>
        <v>5.5817643212288459</v>
      </c>
      <c r="I8" s="65">
        <f t="shared" si="3"/>
        <v>0.10148662402234265</v>
      </c>
      <c r="J8" s="65">
        <f t="shared" si="4"/>
        <v>31.15609293774332</v>
      </c>
      <c r="K8" s="164">
        <f>SUM($G8:G8)</f>
        <v>5.5817643212288459</v>
      </c>
      <c r="L8" s="64">
        <f>AVERAGE(H$3:H8)</f>
        <v>4.9800052827255969</v>
      </c>
      <c r="M8" s="64">
        <f>AVERAGE(I$3:I8)</f>
        <v>0.16004510399716529</v>
      </c>
      <c r="N8" s="64">
        <f>AVERAGE(J$3:J8)</f>
        <v>31.262015881791012</v>
      </c>
      <c r="O8" s="64">
        <f t="shared" si="5"/>
        <v>1.1208350201134529</v>
      </c>
      <c r="Q8" s="15"/>
      <c r="R8" s="15"/>
      <c r="S8" s="15"/>
      <c r="T8" s="15"/>
      <c r="U8" s="15"/>
      <c r="V8" s="15"/>
      <c r="AI8" s="15"/>
      <c r="AJ8" s="15"/>
      <c r="AK8" s="15"/>
      <c r="BE8" s="15"/>
      <c r="BF8" s="15"/>
      <c r="BG8" s="15"/>
      <c r="BH8" s="15"/>
      <c r="BI8" s="15"/>
    </row>
    <row r="9" spans="1:61" customFormat="1" ht="16.5" x14ac:dyDescent="0.3">
      <c r="A9" s="66">
        <v>7</v>
      </c>
      <c r="B9" s="75">
        <v>49</v>
      </c>
      <c r="C9" s="163">
        <f t="shared" si="0"/>
        <v>48.632943261990135</v>
      </c>
      <c r="D9" s="163">
        <f t="shared" si="6"/>
        <v>4.4858375894858398</v>
      </c>
      <c r="E9" s="163">
        <f t="shared" si="8"/>
        <v>1.0246497468057798</v>
      </c>
      <c r="F9" s="165">
        <f t="shared" si="7"/>
        <v>49.924147777575612</v>
      </c>
      <c r="G9" s="65">
        <f t="shared" si="1"/>
        <v>-0.92414777757561239</v>
      </c>
      <c r="H9" s="65">
        <f t="shared" si="2"/>
        <v>0.92414777757561239</v>
      </c>
      <c r="I9" s="65">
        <f t="shared" si="3"/>
        <v>1.8860158726032906E-2</v>
      </c>
      <c r="J9" s="65">
        <f t="shared" si="4"/>
        <v>0.85404911479794354</v>
      </c>
      <c r="K9" s="164">
        <f>SUM($G9:G9)</f>
        <v>-0.92414777757561239</v>
      </c>
      <c r="L9" s="64">
        <f>AVERAGE(H$3:H9)</f>
        <v>4.4005970677041706</v>
      </c>
      <c r="M9" s="64">
        <f>AVERAGE(I$3:I9)</f>
        <v>0.13987582610128921</v>
      </c>
      <c r="N9" s="64">
        <f>AVERAGE(J$3:J9)</f>
        <v>26.918020629363429</v>
      </c>
      <c r="O9" s="64">
        <f t="shared" si="5"/>
        <v>-0.21000508870896201</v>
      </c>
      <c r="Q9" s="15"/>
      <c r="R9" s="15"/>
      <c r="S9" s="15"/>
      <c r="T9" s="15"/>
      <c r="U9" s="15"/>
      <c r="V9" s="15"/>
      <c r="AI9" s="15"/>
      <c r="AJ9" s="15"/>
      <c r="AK9" s="15"/>
      <c r="BE9" s="15"/>
      <c r="BF9" s="15"/>
      <c r="BG9" s="15"/>
      <c r="BH9" s="15"/>
      <c r="BI9" s="15"/>
    </row>
    <row r="10" spans="1:61" customFormat="1" ht="16.5" x14ac:dyDescent="0.3">
      <c r="A10" s="66">
        <v>8</v>
      </c>
      <c r="B10" s="75">
        <v>40</v>
      </c>
      <c r="C10" s="163">
        <f t="shared" si="0"/>
        <v>52.095366549385993</v>
      </c>
      <c r="D10" s="163">
        <f t="shared" si="6"/>
        <v>4.2811547290678433</v>
      </c>
      <c r="E10" s="163">
        <f t="shared" si="8"/>
        <v>0.9327349378121732</v>
      </c>
      <c r="F10" s="165">
        <f t="shared" si="7"/>
        <v>49.545742754159903</v>
      </c>
      <c r="G10" s="65">
        <f t="shared" si="1"/>
        <v>-9.5457427541599031</v>
      </c>
      <c r="H10" s="65">
        <f t="shared" si="2"/>
        <v>9.5457427541599031</v>
      </c>
      <c r="I10" s="65">
        <f t="shared" si="3"/>
        <v>0.23864356885399757</v>
      </c>
      <c r="J10" s="65">
        <f t="shared" si="4"/>
        <v>91.121204728596297</v>
      </c>
      <c r="K10" s="164">
        <f>SUM($G10:G10)</f>
        <v>-9.5457427541599031</v>
      </c>
      <c r="L10" s="64">
        <f>AVERAGE(H$3:H10)</f>
        <v>5.0437402785111374</v>
      </c>
      <c r="M10" s="64">
        <f>AVERAGE(I$3:I10)</f>
        <v>0.15222179394537777</v>
      </c>
      <c r="N10" s="64">
        <f>AVERAGE(J$3:J10)</f>
        <v>34.943418641767536</v>
      </c>
      <c r="O10" s="64">
        <f t="shared" si="5"/>
        <v>-1.8925920501556264</v>
      </c>
      <c r="AI10" s="15"/>
      <c r="AJ10" s="15"/>
      <c r="AK10" s="15"/>
      <c r="BE10" s="15"/>
      <c r="BF10" s="15"/>
      <c r="BG10" s="15"/>
      <c r="BH10" s="15"/>
      <c r="BI10" s="15"/>
    </row>
    <row r="11" spans="1:61" customFormat="1" ht="16.5" x14ac:dyDescent="0.3">
      <c r="A11" s="66">
        <v>9</v>
      </c>
      <c r="B11" s="75">
        <v>55</v>
      </c>
      <c r="C11" s="163">
        <f t="shared" si="0"/>
        <v>56.844149107286633</v>
      </c>
      <c r="D11" s="163">
        <f t="shared" si="6"/>
        <v>4.3746802948344028</v>
      </c>
      <c r="E11" s="163">
        <f t="shared" si="8"/>
        <v>0.90085959022794659</v>
      </c>
      <c r="F11" s="165">
        <f t="shared" si="7"/>
        <v>50.787329857385032</v>
      </c>
      <c r="G11" s="65">
        <f t="shared" si="1"/>
        <v>4.212670142614968</v>
      </c>
      <c r="H11" s="65">
        <f t="shared" si="2"/>
        <v>4.212670142614968</v>
      </c>
      <c r="I11" s="65">
        <f t="shared" si="3"/>
        <v>7.6594002592999422E-2</v>
      </c>
      <c r="J11" s="65">
        <f t="shared" si="4"/>
        <v>17.746589730479613</v>
      </c>
      <c r="K11" s="164">
        <f>SUM($G11:G11)</f>
        <v>4.212670142614968</v>
      </c>
      <c r="L11" s="64">
        <f>AVERAGE(H$3:H11)</f>
        <v>4.9513991523004517</v>
      </c>
      <c r="M11" s="64">
        <f>AVERAGE(I$3:I11)</f>
        <v>0.14381870601733573</v>
      </c>
      <c r="N11" s="64">
        <f>AVERAGE(J$3:J11)</f>
        <v>33.032659873846654</v>
      </c>
      <c r="O11" s="64">
        <f t="shared" si="5"/>
        <v>0.85080398752698705</v>
      </c>
      <c r="AI11" s="15"/>
      <c r="AJ11" s="15"/>
      <c r="AK11" s="15"/>
      <c r="BE11" s="15"/>
      <c r="BF11" s="15"/>
      <c r="BG11" s="15"/>
      <c r="BH11" s="15"/>
      <c r="BI11" s="15"/>
    </row>
    <row r="12" spans="1:61" customFormat="1" ht="16.5" x14ac:dyDescent="0.3">
      <c r="A12" s="66">
        <v>10</v>
      </c>
      <c r="B12" s="75">
        <v>79</v>
      </c>
      <c r="C12" s="163">
        <f t="shared" si="0"/>
        <v>61.932473088593632</v>
      </c>
      <c r="D12" s="163">
        <f t="shared" si="6"/>
        <v>4.5174090321289224</v>
      </c>
      <c r="E12" s="163">
        <f t="shared" si="8"/>
        <v>1.1557266076851764</v>
      </c>
      <c r="F12" s="165">
        <f t="shared" si="7"/>
        <v>70.752230031370885</v>
      </c>
      <c r="G12" s="65">
        <f t="shared" si="1"/>
        <v>8.2477699686291146</v>
      </c>
      <c r="H12" s="65">
        <f t="shared" si="2"/>
        <v>8.2477699686291146</v>
      </c>
      <c r="I12" s="65">
        <f t="shared" si="3"/>
        <v>0.10440215150163436</v>
      </c>
      <c r="J12" s="65">
        <f t="shared" si="4"/>
        <v>68.025709455420312</v>
      </c>
      <c r="K12" s="164">
        <f>SUM($G12:G12)</f>
        <v>8.2477699686291146</v>
      </c>
      <c r="L12" s="64">
        <f>AVERAGE(H$3:H12)</f>
        <v>5.2810362339333183</v>
      </c>
      <c r="M12" s="64">
        <f>AVERAGE(I$3:I12)</f>
        <v>0.1398770505657656</v>
      </c>
      <c r="N12" s="64">
        <f>AVERAGE(J$3:J12)</f>
        <v>36.531964832004022</v>
      </c>
      <c r="O12" s="64">
        <f t="shared" si="5"/>
        <v>1.5617711379507373</v>
      </c>
      <c r="AI12" s="15"/>
      <c r="AJ12" s="15"/>
      <c r="AK12" s="15"/>
      <c r="BE12" s="15"/>
      <c r="BF12" s="15"/>
      <c r="BG12" s="15"/>
      <c r="BH12" s="15"/>
      <c r="BI12" s="15"/>
    </row>
    <row r="13" spans="1:61" customFormat="1" ht="16.5" x14ac:dyDescent="0.3">
      <c r="A13" s="66">
        <v>11</v>
      </c>
      <c r="B13" s="75">
        <v>68</v>
      </c>
      <c r="C13" s="163">
        <f t="shared" si="0"/>
        <v>66.46596866311458</v>
      </c>
      <c r="D13" s="163">
        <f t="shared" si="6"/>
        <v>4.5206263406073282</v>
      </c>
      <c r="E13" s="163">
        <f t="shared" si="8"/>
        <v>1.0208562808040256</v>
      </c>
      <c r="F13" s="165">
        <f t="shared" si="7"/>
        <v>67.835779521626733</v>
      </c>
      <c r="G13" s="65">
        <f t="shared" si="1"/>
        <v>0.16422047837326659</v>
      </c>
      <c r="H13" s="65">
        <f t="shared" si="2"/>
        <v>0.16422047837326659</v>
      </c>
      <c r="I13" s="65">
        <f t="shared" si="3"/>
        <v>2.4150070349009791E-3</v>
      </c>
      <c r="J13" s="65">
        <f t="shared" si="4"/>
        <v>2.6968365517144519E-2</v>
      </c>
      <c r="K13" s="164">
        <f>SUM($G13:G13)</f>
        <v>0.16422047837326659</v>
      </c>
      <c r="L13" s="64">
        <f>AVERAGE(H$3:H13)</f>
        <v>4.8158711652460404</v>
      </c>
      <c r="M13" s="64">
        <f>AVERAGE(I$3:I13)</f>
        <v>0.12738050115386881</v>
      </c>
      <c r="N13" s="64">
        <f>AVERAGE(J$3:J13)</f>
        <v>33.213328789596126</v>
      </c>
      <c r="O13" s="64">
        <f t="shared" si="5"/>
        <v>3.4099848758075459E-2</v>
      </c>
      <c r="AI13" s="15"/>
      <c r="AJ13" s="15"/>
      <c r="AK13" s="15"/>
      <c r="BE13" s="15"/>
      <c r="BF13" s="15"/>
      <c r="BG13" s="15"/>
      <c r="BH13" s="15"/>
      <c r="BI13" s="15"/>
    </row>
    <row r="14" spans="1:61" customFormat="1" ht="16.5" x14ac:dyDescent="0.3">
      <c r="A14" s="66">
        <v>12</v>
      </c>
      <c r="B14" s="75">
        <v>61</v>
      </c>
      <c r="C14" s="163">
        <f t="shared" si="0"/>
        <v>70.689944937755655</v>
      </c>
      <c r="D14" s="163">
        <f t="shared" si="6"/>
        <v>4.4612963274140771</v>
      </c>
      <c r="E14" s="163">
        <f t="shared" si="8"/>
        <v>0.89679381641915601</v>
      </c>
      <c r="F14" s="165">
        <f t="shared" si="7"/>
        <v>63.660339447988754</v>
      </c>
      <c r="G14" s="65">
        <f t="shared" si="1"/>
        <v>-2.6603394479887541</v>
      </c>
      <c r="H14" s="65">
        <f t="shared" si="2"/>
        <v>2.6603394479887541</v>
      </c>
      <c r="I14" s="65">
        <f t="shared" si="3"/>
        <v>4.3612122098176297E-2</v>
      </c>
      <c r="J14" s="65">
        <f t="shared" si="4"/>
        <v>7.0774059785251087</v>
      </c>
      <c r="K14" s="164">
        <f>SUM($G14:G14)</f>
        <v>-2.6603394479887541</v>
      </c>
      <c r="L14" s="64">
        <f>AVERAGE(H$3:H14)</f>
        <v>4.6362435221412666</v>
      </c>
      <c r="M14" s="64">
        <f>AVERAGE(I$3:I14)</f>
        <v>0.12039980289922776</v>
      </c>
      <c r="N14" s="64">
        <f>AVERAGE(J$3:J14)</f>
        <v>31.035335222006875</v>
      </c>
      <c r="O14" s="64">
        <f t="shared" si="5"/>
        <v>-0.57381357025009472</v>
      </c>
      <c r="AI14" s="15"/>
      <c r="AJ14" s="15"/>
      <c r="AK14" s="15"/>
      <c r="BE14" s="15"/>
      <c r="BF14" s="15"/>
      <c r="BG14" s="15"/>
      <c r="BH14" s="15"/>
      <c r="BI14" s="15"/>
    </row>
    <row r="15" spans="1:61" ht="16.5" x14ac:dyDescent="0.3">
      <c r="A15" s="66">
        <v>13</v>
      </c>
      <c r="B15"/>
      <c r="C15" s="163">
        <f t="shared" si="0"/>
        <v>67.636117138652764</v>
      </c>
      <c r="D15" s="163">
        <f t="shared" si="6"/>
        <v>2.9582715021106836</v>
      </c>
      <c r="E15" s="163">
        <f t="shared" si="8"/>
        <v>0.91580435818128603</v>
      </c>
      <c r="F15" s="162">
        <f>($C$14+(A15-$A$14)*$D$14)*E15</f>
        <v>68.823834273375738</v>
      </c>
      <c r="G15" s="47"/>
      <c r="H15" s="65"/>
      <c r="I15" s="47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66">
        <v>14</v>
      </c>
      <c r="B16"/>
      <c r="C16" s="163">
        <f t="shared" si="0"/>
        <v>63.5349497766871</v>
      </c>
      <c r="D16" s="163">
        <f t="shared" si="6"/>
        <v>1.5463837292954139</v>
      </c>
      <c r="E16" s="163">
        <f t="shared" si="8"/>
        <v>1.1826718140838579</v>
      </c>
      <c r="F16" s="162">
        <f>($C$14+(A16-$A$14)*$D$14)*E16</f>
        <v>94.155504258440416</v>
      </c>
      <c r="H16" s="65"/>
      <c r="BE16"/>
      <c r="BF16"/>
      <c r="BG16"/>
      <c r="BH16"/>
      <c r="BI16"/>
    </row>
    <row r="17" spans="1:61" ht="16.5" x14ac:dyDescent="0.3">
      <c r="A17" s="66">
        <v>15</v>
      </c>
      <c r="C17" s="163">
        <f t="shared" si="0"/>
        <v>58.573200155384264</v>
      </c>
      <c r="D17" s="163">
        <f t="shared" si="6"/>
        <v>0.24475705917576407</v>
      </c>
      <c r="E17" s="163">
        <f t="shared" si="8"/>
        <v>1.0213505494863233</v>
      </c>
      <c r="F17" s="162">
        <f>($C$14+(A17-$A$14)*$D$14)*E17</f>
        <v>85.868856471611721</v>
      </c>
      <c r="H17" s="65"/>
      <c r="BE17"/>
      <c r="BF17"/>
      <c r="BG17"/>
      <c r="BH17"/>
      <c r="BI17"/>
    </row>
    <row r="18" spans="1:61" ht="16.5" x14ac:dyDescent="0.3">
      <c r="A18" s="66">
        <v>16</v>
      </c>
      <c r="C18" s="163">
        <f t="shared" si="0"/>
        <v>52.936161493104024</v>
      </c>
      <c r="D18" s="163">
        <f t="shared" si="6"/>
        <v>-0.93160208511543685</v>
      </c>
      <c r="E18" s="163">
        <f t="shared" si="8"/>
        <v>0.88929848734230921</v>
      </c>
      <c r="F18" s="162">
        <f>($C$14+(A18-$A$14)*$D$14)*E18</f>
        <v>78.734157405677777</v>
      </c>
      <c r="H18" s="65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15" t="s">
        <v>38</v>
      </c>
      <c r="BE21"/>
      <c r="BF21"/>
      <c r="BG21"/>
      <c r="BH21"/>
      <c r="BI21"/>
    </row>
    <row r="22" spans="1:61" x14ac:dyDescent="0.25">
      <c r="A22"/>
      <c r="B22" s="15" t="s">
        <v>69</v>
      </c>
      <c r="C22" s="15">
        <v>0.1</v>
      </c>
      <c r="BE22"/>
      <c r="BF22"/>
      <c r="BG22"/>
      <c r="BH22"/>
      <c r="BI22"/>
    </row>
    <row r="23" spans="1:61" x14ac:dyDescent="0.25">
      <c r="A23"/>
      <c r="B23" s="15" t="s">
        <v>67</v>
      </c>
      <c r="C23" s="15">
        <v>0.2</v>
      </c>
      <c r="BE23"/>
      <c r="BF23"/>
      <c r="BG23"/>
      <c r="BH23"/>
      <c r="BI23"/>
    </row>
    <row r="24" spans="1:61" x14ac:dyDescent="0.25">
      <c r="A24"/>
      <c r="B24" s="15" t="s">
        <v>68</v>
      </c>
      <c r="C24" s="15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15" t="s">
        <v>60</v>
      </c>
      <c r="C26"/>
      <c r="D26"/>
      <c r="E26"/>
      <c r="BE26"/>
      <c r="BF26"/>
      <c r="BG26"/>
      <c r="BH26"/>
      <c r="BI26"/>
    </row>
    <row r="27" spans="1:61" x14ac:dyDescent="0.25">
      <c r="A27"/>
      <c r="B27" s="15" t="s">
        <v>61</v>
      </c>
      <c r="C27" s="64"/>
      <c r="D27"/>
      <c r="E27"/>
      <c r="BE27"/>
      <c r="BF27"/>
      <c r="BG27"/>
      <c r="BH27"/>
      <c r="BI27"/>
    </row>
    <row r="28" spans="1:61" x14ac:dyDescent="0.25">
      <c r="A28"/>
      <c r="B28" s="15" t="s">
        <v>62</v>
      </c>
      <c r="C28"/>
      <c r="D28"/>
      <c r="E28"/>
      <c r="BE28"/>
      <c r="BF28"/>
      <c r="BG28"/>
      <c r="BH28"/>
      <c r="BI28"/>
    </row>
    <row r="29" spans="1:61" x14ac:dyDescent="0.25">
      <c r="A29"/>
      <c r="B29" s="69" t="s">
        <v>57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63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58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64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65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66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61" ht="16.5" x14ac:dyDescent="0.3">
      <c r="A71"/>
      <c r="B71"/>
      <c r="C71"/>
      <c r="D71"/>
      <c r="E71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61" ht="16.5" x14ac:dyDescent="0.3">
      <c r="A72"/>
      <c r="B72"/>
      <c r="C72"/>
      <c r="D72"/>
      <c r="E72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sheetPr>
    <tabColor rgb="FF92D050"/>
  </sheetPr>
  <dimension ref="A1:BP298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3" width="14.140625" style="15" bestFit="1" customWidth="1"/>
    <col min="4" max="4" width="11.7109375" style="15" bestFit="1" customWidth="1"/>
    <col min="5" max="5" width="9" style="15" bestFit="1" customWidth="1"/>
    <col min="6" max="6" width="5.140625" style="15" bestFit="1" customWidth="1"/>
    <col min="7" max="8" width="11.85546875" style="15" bestFit="1" customWidth="1"/>
    <col min="9" max="9" width="12.85546875" style="15" bestFit="1" customWidth="1"/>
    <col min="10" max="11" width="9.7109375" style="15" customWidth="1"/>
    <col min="12" max="12" width="11" style="15" bestFit="1" customWidth="1"/>
    <col min="13" max="13" width="20.5703125" style="15" bestFit="1" customWidth="1"/>
    <col min="14" max="16" width="9.7109375" style="15" customWidth="1"/>
    <col min="17" max="17" width="13.28515625" style="15" bestFit="1" customWidth="1"/>
    <col min="18" max="18" width="12.140625" style="15" bestFit="1" customWidth="1"/>
    <col min="19" max="19" width="13.85546875" style="15" bestFit="1" customWidth="1"/>
    <col min="20" max="20" width="12.42578125" style="15" bestFit="1" customWidth="1"/>
    <col min="21" max="21" width="12.42578125" style="15" customWidth="1"/>
    <col min="22" max="22" width="12.140625" style="15" bestFit="1" customWidth="1"/>
    <col min="23" max="26" width="9.28515625" style="15" bestFit="1" customWidth="1"/>
    <col min="27" max="28" width="9.140625" style="15"/>
    <col min="29" max="29" width="9.28515625" style="15" bestFit="1" customWidth="1"/>
    <col min="30" max="40" width="9.140625" style="15"/>
    <col min="41" max="41" width="9.140625" style="15" customWidth="1"/>
    <col min="42" max="44" width="9.140625" style="15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15"/>
  </cols>
  <sheetData>
    <row r="1" spans="1:68" customFormat="1" ht="17.25" thickBot="1" x14ac:dyDescent="0.35">
      <c r="A1" s="19" t="s">
        <v>4</v>
      </c>
      <c r="B1" s="168" t="s">
        <v>116</v>
      </c>
      <c r="C1" s="66" t="s">
        <v>122</v>
      </c>
      <c r="D1" s="66" t="s">
        <v>121</v>
      </c>
      <c r="E1" s="66" t="s">
        <v>120</v>
      </c>
      <c r="F1" s="66" t="s">
        <v>20</v>
      </c>
      <c r="G1" s="66" t="s">
        <v>119</v>
      </c>
      <c r="H1" s="66" t="s">
        <v>118</v>
      </c>
      <c r="I1" s="66" t="s">
        <v>117</v>
      </c>
      <c r="J1" s="47" t="s">
        <v>25</v>
      </c>
      <c r="K1" s="47" t="s">
        <v>19</v>
      </c>
      <c r="L1" s="47" t="s">
        <v>56</v>
      </c>
      <c r="M1" s="1" t="s">
        <v>115</v>
      </c>
      <c r="N1" s="1" t="s">
        <v>3</v>
      </c>
      <c r="O1" s="1" t="s">
        <v>2</v>
      </c>
      <c r="P1" s="1" t="s">
        <v>114</v>
      </c>
      <c r="Q1" s="1" t="s">
        <v>52</v>
      </c>
      <c r="R1" s="15" t="s">
        <v>55</v>
      </c>
      <c r="S1" s="15" t="s">
        <v>1</v>
      </c>
      <c r="T1" s="15" t="s">
        <v>54</v>
      </c>
      <c r="U1" s="15" t="s">
        <v>53</v>
      </c>
      <c r="V1" s="15" t="s">
        <v>23</v>
      </c>
    </row>
    <row r="2" spans="1:68" customFormat="1" ht="16.5" x14ac:dyDescent="0.3">
      <c r="A2" s="15">
        <v>0</v>
      </c>
      <c r="B2" s="15"/>
      <c r="C2" s="178">
        <f>INTERCEPT($C$5:$C$12,$A$5:$A$12)</f>
        <v>18438.988095238095</v>
      </c>
      <c r="D2" s="178">
        <f>SLOPE($C$5:$C$12,$A$5:$A$12)</f>
        <v>523.80952380952385</v>
      </c>
      <c r="E2" s="15"/>
      <c r="F2" s="15"/>
      <c r="G2" s="15"/>
      <c r="H2" s="15"/>
      <c r="I2" s="15"/>
      <c r="J2" s="167">
        <f>C2</f>
        <v>18438.988095238095</v>
      </c>
      <c r="K2" s="167">
        <f>D2</f>
        <v>523.80952380952385</v>
      </c>
      <c r="L2" s="66"/>
      <c r="M2" s="47"/>
      <c r="N2" s="47"/>
      <c r="O2" s="47"/>
      <c r="P2" s="47"/>
      <c r="Q2" s="47"/>
      <c r="R2" s="15"/>
      <c r="AP2" s="15"/>
      <c r="AQ2" s="15"/>
      <c r="AR2" s="15"/>
      <c r="BL2" s="15"/>
      <c r="BM2" s="15"/>
      <c r="BN2" s="15"/>
      <c r="BO2" s="15"/>
      <c r="BP2" s="15"/>
    </row>
    <row r="3" spans="1:68" customFormat="1" ht="16.5" x14ac:dyDescent="0.3">
      <c r="A3" s="66">
        <v>1</v>
      </c>
      <c r="B3" s="75">
        <v>8000</v>
      </c>
      <c r="C3" s="177"/>
      <c r="D3" s="173">
        <f t="shared" ref="D3:D14" si="0">$C$2+$D$2*A3</f>
        <v>18962.797619047618</v>
      </c>
      <c r="E3" s="172">
        <f t="shared" ref="E3:E14" si="1">B3/D3</f>
        <v>0.42187867849015148</v>
      </c>
      <c r="F3" s="171">
        <f t="shared" ref="F3:F14" si="2">IF(MOD(A3,$C$37)&gt;0,MOD(A3,$C$37),$C$37)</f>
        <v>1</v>
      </c>
      <c r="G3" s="176">
        <f>AVERAGEIF($F$3:$F$30,F3,$E$3:$E$30)</f>
        <v>0.47168067193938779</v>
      </c>
      <c r="H3" s="176">
        <f>G3/AVERAGE($G$3:$G$6)</f>
        <v>0.47283758187169111</v>
      </c>
      <c r="I3" s="170">
        <f t="shared" ref="I3:I14" si="3">D3*VLOOKUP(F3,$F$3:$H$6,3,0)</f>
        <v>8966.3233717127368</v>
      </c>
      <c r="J3" s="175">
        <f>(1-$C$38)*SUM(J2:K2)+$C$38*B3/L3</f>
        <v>18860.614183470476</v>
      </c>
      <c r="K3" s="175">
        <f t="shared" ref="K3:K14" si="4">(1-$C$39)*K2+$C$39*(J3-J2)</f>
        <v>513.59118025180953</v>
      </c>
      <c r="L3" s="166">
        <f>H3</f>
        <v>0.47283758187169111</v>
      </c>
      <c r="M3" s="165">
        <f>(J2+K2)*L3</f>
        <v>8966.3233717127368</v>
      </c>
      <c r="N3" s="65">
        <f t="shared" ref="N3:N14" si="5">B3-M3</f>
        <v>-966.32337171273684</v>
      </c>
      <c r="O3" s="65">
        <f t="shared" ref="O3:O14" si="6">ABS(N3)</f>
        <v>966.32337171273684</v>
      </c>
      <c r="P3" s="65">
        <f t="shared" ref="P3:P14" si="7">O3/B3</f>
        <v>0.12079042146409211</v>
      </c>
      <c r="Q3" s="65">
        <f t="shared" ref="Q3:Q14" si="8">N3^2</f>
        <v>933780.85871827218</v>
      </c>
      <c r="R3" s="164">
        <f>SUM($N3:N3)</f>
        <v>-966.32337171273684</v>
      </c>
      <c r="S3" s="64">
        <f>AVERAGE(O$3:O3)</f>
        <v>966.32337171273684</v>
      </c>
      <c r="T3" s="64">
        <f>AVERAGE(P$3:P3)</f>
        <v>0.12079042146409211</v>
      </c>
      <c r="U3" s="64">
        <f>AVERAGE(Q$3:Q3)</f>
        <v>933780.85871827218</v>
      </c>
      <c r="V3" s="64">
        <f t="shared" ref="V3:V14" si="9">R3/S3</f>
        <v>-1</v>
      </c>
      <c r="AP3" s="15"/>
      <c r="AQ3" s="15"/>
      <c r="AR3" s="15"/>
      <c r="BL3" s="15"/>
      <c r="BM3" s="15"/>
      <c r="BN3" s="15"/>
      <c r="BO3" s="15"/>
      <c r="BP3" s="15"/>
    </row>
    <row r="4" spans="1:68" customFormat="1" ht="16.5" x14ac:dyDescent="0.3">
      <c r="A4" s="66">
        <v>2</v>
      </c>
      <c r="B4" s="75">
        <v>13000</v>
      </c>
      <c r="C4" s="177"/>
      <c r="D4" s="173">
        <f t="shared" si="0"/>
        <v>19486.607142857145</v>
      </c>
      <c r="E4" s="172">
        <f t="shared" si="1"/>
        <v>0.66712485681557843</v>
      </c>
      <c r="F4" s="171">
        <f t="shared" si="2"/>
        <v>2</v>
      </c>
      <c r="G4" s="176">
        <f>AVERAGEIF($F$3:$F$30,F4,$E$3:$E$30)</f>
        <v>0.68340443601506251</v>
      </c>
      <c r="H4" s="176">
        <f>G4/AVERAGE($G$3:$G$6)</f>
        <v>0.68508064923905398</v>
      </c>
      <c r="I4" s="170">
        <f t="shared" si="3"/>
        <v>13349.89747289496</v>
      </c>
      <c r="J4" s="175">
        <f t="shared" ref="J4:J14" si="10">(1-$C$38)*(J3+K3)+$C$38*(B4/L4)</f>
        <v>19354.288497775717</v>
      </c>
      <c r="K4" s="175">
        <f t="shared" si="4"/>
        <v>511.59949365715272</v>
      </c>
      <c r="L4" s="166">
        <f>H4</f>
        <v>0.68508064923905398</v>
      </c>
      <c r="M4" s="165">
        <f t="shared" ref="M4:M14" si="11">(J4+K4)*L4</f>
        <v>13609.735442881156</v>
      </c>
      <c r="N4" s="65">
        <f t="shared" si="5"/>
        <v>-609.7354428811559</v>
      </c>
      <c r="O4" s="65">
        <f t="shared" si="6"/>
        <v>609.7354428811559</v>
      </c>
      <c r="P4" s="65">
        <f t="shared" si="7"/>
        <v>4.6902726375473533E-2</v>
      </c>
      <c r="Q4" s="65">
        <f t="shared" si="8"/>
        <v>371777.31030547933</v>
      </c>
      <c r="R4" s="164">
        <f>SUM($N4:N4)</f>
        <v>-609.7354428811559</v>
      </c>
      <c r="S4" s="64">
        <f>AVERAGE(O$3:O4)</f>
        <v>788.02940729694637</v>
      </c>
      <c r="T4" s="64">
        <f>AVERAGE(P$3:P4)</f>
        <v>8.3846573919782813E-2</v>
      </c>
      <c r="U4" s="64">
        <f>AVERAGE(Q$3:Q4)</f>
        <v>652779.08451187576</v>
      </c>
      <c r="V4" s="64">
        <f t="shared" si="9"/>
        <v>-0.77374706734947329</v>
      </c>
      <c r="AP4" s="15"/>
      <c r="AQ4" s="15"/>
      <c r="AR4" s="15"/>
      <c r="BL4" s="15"/>
      <c r="BM4" s="15"/>
      <c r="BN4" s="15"/>
      <c r="BO4" s="15"/>
      <c r="BP4" s="15"/>
    </row>
    <row r="5" spans="1:68" customFormat="1" ht="16.5" x14ac:dyDescent="0.3">
      <c r="A5" s="66">
        <v>3</v>
      </c>
      <c r="B5" s="75">
        <v>23000</v>
      </c>
      <c r="C5" s="77">
        <f t="shared" ref="C5:C12" si="12">AVERAGE(AVERAGE(B3:B6),AVERAGE(B4:B7))</f>
        <v>19750</v>
      </c>
      <c r="D5" s="173">
        <f t="shared" si="0"/>
        <v>20010.416666666668</v>
      </c>
      <c r="E5" s="172">
        <f t="shared" si="1"/>
        <v>1.1494013534617387</v>
      </c>
      <c r="F5" s="171">
        <f t="shared" si="2"/>
        <v>3</v>
      </c>
      <c r="G5" s="176">
        <f>AVERAGEIF($F$3:$F$30,F5,$E$3:$E$30)</f>
        <v>1.1707081255011917</v>
      </c>
      <c r="H5" s="176">
        <f>G5/AVERAGE($G$3:$G$6)</f>
        <v>1.173579567853603</v>
      </c>
      <c r="I5" s="170">
        <f t="shared" si="3"/>
        <v>23483.816144237204</v>
      </c>
      <c r="J5" s="175">
        <f t="shared" si="10"/>
        <v>19852.501585746351</v>
      </c>
      <c r="K5" s="175">
        <f t="shared" si="4"/>
        <v>510.26085308850094</v>
      </c>
      <c r="L5" s="166">
        <f>H5</f>
        <v>1.173579567853603</v>
      </c>
      <c r="M5" s="165">
        <f t="shared" si="11"/>
        <v>23897.321943273386</v>
      </c>
      <c r="N5" s="65">
        <f t="shared" si="5"/>
        <v>-897.32194327338584</v>
      </c>
      <c r="O5" s="65">
        <f t="shared" si="6"/>
        <v>897.32194327338584</v>
      </c>
      <c r="P5" s="65">
        <f t="shared" si="7"/>
        <v>3.9013997533625472E-2</v>
      </c>
      <c r="Q5" s="65">
        <f t="shared" si="8"/>
        <v>805186.66987992544</v>
      </c>
      <c r="R5" s="164">
        <f>SUM($N5:N5)</f>
        <v>-897.32194327338584</v>
      </c>
      <c r="S5" s="64">
        <f>AVERAGE(O$3:O5)</f>
        <v>824.4602526224262</v>
      </c>
      <c r="T5" s="64">
        <f>AVERAGE(P$3:P5)</f>
        <v>6.8902381791063699E-2</v>
      </c>
      <c r="U5" s="64">
        <f>AVERAGE(Q$3:Q5)</f>
        <v>703581.6129678922</v>
      </c>
      <c r="V5" s="64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15"/>
      <c r="AQ5" s="15"/>
      <c r="AR5" s="15"/>
      <c r="BL5" s="15"/>
      <c r="BM5" s="15"/>
      <c r="BN5" s="15"/>
      <c r="BO5" s="15"/>
      <c r="BP5" s="15"/>
    </row>
    <row r="6" spans="1:68" customFormat="1" ht="16.5" x14ac:dyDescent="0.3">
      <c r="A6" s="66">
        <v>4</v>
      </c>
      <c r="B6" s="75">
        <v>34000</v>
      </c>
      <c r="C6" s="77">
        <f t="shared" si="12"/>
        <v>20625</v>
      </c>
      <c r="D6" s="173">
        <f t="shared" si="0"/>
        <v>20534.226190476191</v>
      </c>
      <c r="E6" s="172">
        <f t="shared" si="1"/>
        <v>1.6557721574027102</v>
      </c>
      <c r="F6" s="171">
        <f t="shared" si="2"/>
        <v>4</v>
      </c>
      <c r="G6" s="176">
        <f>AVERAGEIF($F$3:$F$30,F6,$E$3:$E$30)</f>
        <v>1.6644198124048513</v>
      </c>
      <c r="H6" s="176">
        <f>G6/AVERAGE($G$3:$G$6)</f>
        <v>1.6685022010356516</v>
      </c>
      <c r="I6" s="170">
        <f t="shared" si="3"/>
        <v>34261.401595373449</v>
      </c>
      <c r="J6" s="175">
        <f t="shared" si="10"/>
        <v>20363.502205663528</v>
      </c>
      <c r="K6" s="175">
        <f t="shared" si="4"/>
        <v>510.3348297713685</v>
      </c>
      <c r="L6" s="166">
        <f>H6</f>
        <v>1.6685022010356516</v>
      </c>
      <c r="M6" s="165">
        <f t="shared" si="11"/>
        <v>34828.043037682626</v>
      </c>
      <c r="N6" s="65">
        <f t="shared" si="5"/>
        <v>-828.04303768262616</v>
      </c>
      <c r="O6" s="65">
        <f t="shared" si="6"/>
        <v>828.04303768262616</v>
      </c>
      <c r="P6" s="65">
        <f t="shared" si="7"/>
        <v>2.4354206990665477E-2</v>
      </c>
      <c r="Q6" s="65">
        <f t="shared" si="8"/>
        <v>685655.27225467109</v>
      </c>
      <c r="R6" s="164">
        <f>SUM($N6:N6)</f>
        <v>-828.04303768262616</v>
      </c>
      <c r="S6" s="64">
        <f>AVERAGE(O$3:O6)</f>
        <v>825.35594888747619</v>
      </c>
      <c r="T6" s="64">
        <f>AVERAGE(P$3:P6)</f>
        <v>5.7765338090964145E-2</v>
      </c>
      <c r="U6" s="64">
        <f>AVERAGE(Q$3:Q6)</f>
        <v>699100.02778958692</v>
      </c>
      <c r="V6" s="64">
        <f t="shared" si="9"/>
        <v>-1.0032556726570785</v>
      </c>
      <c r="Z6">
        <f>Z5+4*AA5</f>
        <v>18210.95571095571</v>
      </c>
      <c r="AP6" s="15"/>
      <c r="AQ6" s="15"/>
      <c r="AR6" s="15"/>
      <c r="BL6" s="15"/>
      <c r="BM6" s="15"/>
      <c r="BN6" s="15"/>
      <c r="BO6" s="15"/>
      <c r="BP6" s="15"/>
    </row>
    <row r="7" spans="1:68" customFormat="1" ht="16.5" x14ac:dyDescent="0.3">
      <c r="A7" s="66">
        <v>5</v>
      </c>
      <c r="B7" s="75">
        <v>10000</v>
      </c>
      <c r="C7" s="77">
        <f t="shared" si="12"/>
        <v>21250</v>
      </c>
      <c r="D7" s="173">
        <f t="shared" si="0"/>
        <v>21058.035714285714</v>
      </c>
      <c r="E7" s="172">
        <f t="shared" si="1"/>
        <v>0.47487810048759804</v>
      </c>
      <c r="F7" s="171">
        <f t="shared" si="2"/>
        <v>1</v>
      </c>
      <c r="G7" s="174">
        <f>AVERAGE(G3:G6)</f>
        <v>0.99755326146512346</v>
      </c>
      <c r="H7" s="174">
        <f>AVERAGE(H3:H6)</f>
        <v>1</v>
      </c>
      <c r="I7" s="170">
        <f t="shared" si="3"/>
        <v>9957.0306861105673</v>
      </c>
      <c r="J7" s="163">
        <f t="shared" si="10"/>
        <v>20899.111258422705</v>
      </c>
      <c r="K7" s="163">
        <f t="shared" si="4"/>
        <v>512.86225207014934</v>
      </c>
      <c r="L7" s="163">
        <f t="shared" ref="L7:L18" si="13">(1-$C$40)*L3+$C$40*(B3/SUM(J2:K2))</f>
        <v>0.46774169153353717</v>
      </c>
      <c r="M7" s="165">
        <f t="shared" si="11"/>
        <v>10015.272708869217</v>
      </c>
      <c r="N7" s="65">
        <f t="shared" si="5"/>
        <v>-15.27270886921724</v>
      </c>
      <c r="O7" s="65">
        <f t="shared" si="6"/>
        <v>15.27270886921724</v>
      </c>
      <c r="P7" s="65">
        <f t="shared" si="7"/>
        <v>1.5272708869217241E-3</v>
      </c>
      <c r="Q7" s="65">
        <f t="shared" si="8"/>
        <v>233.25563620386694</v>
      </c>
      <c r="R7" s="164">
        <f>SUM($N7:N7)</f>
        <v>-15.27270886921724</v>
      </c>
      <c r="S7" s="64">
        <f>AVERAGE(O$3:O7)</f>
        <v>663.33930088382442</v>
      </c>
      <c r="T7" s="64">
        <f>AVERAGE(P$3:P7)</f>
        <v>4.6517724650155662E-2</v>
      </c>
      <c r="U7" s="64">
        <f>AVERAGE(Q$3:Q7)</f>
        <v>559326.67335891037</v>
      </c>
      <c r="V7" s="64">
        <f t="shared" si="9"/>
        <v>-2.3023977094178028E-2</v>
      </c>
      <c r="AP7" s="15"/>
      <c r="AQ7" s="15"/>
      <c r="AR7" s="15"/>
      <c r="BL7" s="15"/>
      <c r="BM7" s="15"/>
      <c r="BN7" s="15"/>
      <c r="BO7" s="15"/>
      <c r="BP7" s="15"/>
    </row>
    <row r="8" spans="1:68" customFormat="1" ht="16.5" x14ac:dyDescent="0.3">
      <c r="A8" s="66">
        <v>6</v>
      </c>
      <c r="B8" s="75">
        <v>18000</v>
      </c>
      <c r="C8" s="77">
        <f t="shared" si="12"/>
        <v>21750</v>
      </c>
      <c r="D8" s="173">
        <f t="shared" si="0"/>
        <v>21581.845238095237</v>
      </c>
      <c r="E8" s="172">
        <f t="shared" si="1"/>
        <v>0.83403433772322977</v>
      </c>
      <c r="F8" s="171">
        <f t="shared" si="2"/>
        <v>2</v>
      </c>
      <c r="G8" s="171"/>
      <c r="H8" s="171"/>
      <c r="I8" s="170">
        <f t="shared" si="3"/>
        <v>14785.30454749107</v>
      </c>
      <c r="J8" s="163">
        <f t="shared" si="10"/>
        <v>21657.795361980083</v>
      </c>
      <c r="K8" s="163">
        <f t="shared" si="4"/>
        <v>537.44443721887217</v>
      </c>
      <c r="L8" s="163">
        <f t="shared" si="13"/>
        <v>0.68367211049412768</v>
      </c>
      <c r="M8" s="165">
        <f t="shared" si="11"/>
        <v>15174.266436441609</v>
      </c>
      <c r="N8" s="65">
        <f t="shared" si="5"/>
        <v>2825.7335635583913</v>
      </c>
      <c r="O8" s="65">
        <f t="shared" si="6"/>
        <v>2825.7335635583913</v>
      </c>
      <c r="P8" s="65">
        <f t="shared" si="7"/>
        <v>0.15698519797546617</v>
      </c>
      <c r="Q8" s="65">
        <f t="shared" si="8"/>
        <v>7984770.1722204052</v>
      </c>
      <c r="R8" s="164">
        <f>SUM($N8:N8)</f>
        <v>2825.7335635583913</v>
      </c>
      <c r="S8" s="64">
        <f>AVERAGE(O$3:O8)</f>
        <v>1023.7383446629188</v>
      </c>
      <c r="T8" s="64">
        <f>AVERAGE(P$3:P8)</f>
        <v>6.492897020437409E-2</v>
      </c>
      <c r="U8" s="64">
        <f>AVERAGE(Q$3:Q8)</f>
        <v>1796900.5898358263</v>
      </c>
      <c r="V8" s="64">
        <f t="shared" si="9"/>
        <v>2.7602107299095127</v>
      </c>
      <c r="AP8" s="15"/>
      <c r="AQ8" s="15"/>
      <c r="AR8" s="15"/>
      <c r="BL8" s="15"/>
      <c r="BM8" s="15"/>
      <c r="BN8" s="15"/>
      <c r="BO8" s="15"/>
      <c r="BP8" s="15"/>
    </row>
    <row r="9" spans="1:68" customFormat="1" ht="16.5" x14ac:dyDescent="0.3">
      <c r="A9" s="66">
        <v>7</v>
      </c>
      <c r="B9" s="75">
        <v>23000</v>
      </c>
      <c r="C9" s="77">
        <f t="shared" si="12"/>
        <v>22500</v>
      </c>
      <c r="D9" s="173">
        <f t="shared" si="0"/>
        <v>22105.654761904763</v>
      </c>
      <c r="E9" s="172">
        <f t="shared" si="1"/>
        <v>1.0404577583305283</v>
      </c>
      <c r="F9" s="171">
        <f t="shared" si="2"/>
        <v>3</v>
      </c>
      <c r="G9" s="171"/>
      <c r="H9" s="171"/>
      <c r="I9" s="170">
        <f t="shared" si="3"/>
        <v>25942.744762597133</v>
      </c>
      <c r="J9" s="163">
        <f t="shared" si="10"/>
        <v>22066.70818527904</v>
      </c>
      <c r="K9" s="163">
        <f t="shared" si="4"/>
        <v>524.59127582688063</v>
      </c>
      <c r="L9" s="163">
        <f t="shared" si="13"/>
        <v>1.1719979610100058</v>
      </c>
      <c r="M9" s="165">
        <f t="shared" si="11"/>
        <v>26476.956904982584</v>
      </c>
      <c r="N9" s="65">
        <f t="shared" si="5"/>
        <v>-3476.9569049825841</v>
      </c>
      <c r="O9" s="65">
        <f t="shared" si="6"/>
        <v>3476.9569049825841</v>
      </c>
      <c r="P9" s="65">
        <f t="shared" si="7"/>
        <v>0.15117203934706888</v>
      </c>
      <c r="Q9" s="65">
        <f t="shared" si="8"/>
        <v>12089229.31910607</v>
      </c>
      <c r="R9" s="164">
        <f>SUM($N9:N9)</f>
        <v>-3476.9569049825841</v>
      </c>
      <c r="S9" s="64">
        <f>AVERAGE(O$3:O9)</f>
        <v>1374.1981389942996</v>
      </c>
      <c r="T9" s="64">
        <f>AVERAGE(P$3:P9)</f>
        <v>7.7249408653330492E-2</v>
      </c>
      <c r="U9" s="64">
        <f>AVERAGE(Q$3:Q9)</f>
        <v>3267233.2654458615</v>
      </c>
      <c r="V9" s="64">
        <f t="shared" si="9"/>
        <v>-2.5301714551346857</v>
      </c>
      <c r="AP9" s="15"/>
      <c r="AQ9" s="15"/>
      <c r="AR9" s="15"/>
      <c r="BL9" s="15"/>
      <c r="BM9" s="15"/>
      <c r="BN9" s="15"/>
      <c r="BO9" s="15"/>
      <c r="BP9" s="15"/>
    </row>
    <row r="10" spans="1:68" customFormat="1" ht="16.5" x14ac:dyDescent="0.3">
      <c r="A10" s="66">
        <v>8</v>
      </c>
      <c r="B10" s="75">
        <v>38000</v>
      </c>
      <c r="C10" s="77">
        <f t="shared" si="12"/>
        <v>22125</v>
      </c>
      <c r="D10" s="173">
        <f t="shared" si="0"/>
        <v>22629.464285714286</v>
      </c>
      <c r="E10" s="172">
        <f t="shared" si="1"/>
        <v>1.6792266719274018</v>
      </c>
      <c r="F10" s="171">
        <f t="shared" si="2"/>
        <v>4</v>
      </c>
      <c r="G10" s="171"/>
      <c r="H10" s="171"/>
      <c r="I10" s="170">
        <f t="shared" si="3"/>
        <v>37757.310968971957</v>
      </c>
      <c r="J10" s="163">
        <f t="shared" si="10"/>
        <v>22600.397629850366</v>
      </c>
      <c r="K10" s="163">
        <f t="shared" si="4"/>
        <v>525.50109270132521</v>
      </c>
      <c r="L10" s="163">
        <f t="shared" si="13"/>
        <v>1.6686234323848466</v>
      </c>
      <c r="M10" s="165">
        <f t="shared" si="11"/>
        <v>38588.416503408538</v>
      </c>
      <c r="N10" s="65">
        <f t="shared" si="5"/>
        <v>-588.41650340853812</v>
      </c>
      <c r="O10" s="65">
        <f t="shared" si="6"/>
        <v>588.41650340853812</v>
      </c>
      <c r="P10" s="65">
        <f t="shared" si="7"/>
        <v>1.5484644826540477E-2</v>
      </c>
      <c r="Q10" s="65">
        <f t="shared" si="8"/>
        <v>346233.98148353014</v>
      </c>
      <c r="R10" s="164">
        <f>SUM($N10:N10)</f>
        <v>-588.41650340853812</v>
      </c>
      <c r="S10" s="64">
        <f>AVERAGE(O$3:O10)</f>
        <v>1275.9754345460794</v>
      </c>
      <c r="T10" s="64">
        <f>AVERAGE(P$3:P10)</f>
        <v>6.9528813174981732E-2</v>
      </c>
      <c r="U10" s="64">
        <f>AVERAGE(Q$3:Q10)</f>
        <v>2902108.35495057</v>
      </c>
      <c r="V10" s="64">
        <f t="shared" si="9"/>
        <v>-0.46115033838238723</v>
      </c>
      <c r="AP10" s="15"/>
      <c r="AQ10" s="15"/>
      <c r="AR10" s="15"/>
      <c r="BL10" s="15"/>
      <c r="BM10" s="15"/>
      <c r="BN10" s="15"/>
      <c r="BO10" s="15"/>
      <c r="BP10" s="15"/>
    </row>
    <row r="11" spans="1:68" customFormat="1" ht="16.5" x14ac:dyDescent="0.3">
      <c r="A11" s="66">
        <v>9</v>
      </c>
      <c r="B11" s="75">
        <v>12000</v>
      </c>
      <c r="C11" s="77">
        <f t="shared" si="12"/>
        <v>22625</v>
      </c>
      <c r="D11" s="173">
        <f t="shared" si="0"/>
        <v>23153.273809523809</v>
      </c>
      <c r="E11" s="172">
        <f t="shared" si="1"/>
        <v>0.51828523684041394</v>
      </c>
      <c r="F11" s="171">
        <f t="shared" si="2"/>
        <v>1</v>
      </c>
      <c r="G11" s="171"/>
      <c r="H11" s="171"/>
      <c r="I11" s="170">
        <f t="shared" si="3"/>
        <v>10947.738000508396</v>
      </c>
      <c r="J11" s="163">
        <f t="shared" si="10"/>
        <v>23249.264228204611</v>
      </c>
      <c r="K11" s="163">
        <f t="shared" si="4"/>
        <v>537.83764326661719</v>
      </c>
      <c r="L11" s="163">
        <f t="shared" si="13"/>
        <v>0.46887438293018324</v>
      </c>
      <c r="M11" s="165">
        <f t="shared" si="11"/>
        <v>11153.162711683479</v>
      </c>
      <c r="N11" s="65">
        <f t="shared" si="5"/>
        <v>846.83728831652115</v>
      </c>
      <c r="O11" s="65">
        <f t="shared" si="6"/>
        <v>846.83728831652115</v>
      </c>
      <c r="P11" s="65">
        <f t="shared" si="7"/>
        <v>7.0569774026376764E-2</v>
      </c>
      <c r="Q11" s="65">
        <f t="shared" si="8"/>
        <v>717133.39288327878</v>
      </c>
      <c r="R11" s="164">
        <f>SUM($N11:N11)</f>
        <v>846.83728831652115</v>
      </c>
      <c r="S11" s="64">
        <f>AVERAGE(O$3:O11)</f>
        <v>1228.2934182983508</v>
      </c>
      <c r="T11" s="64">
        <f>AVERAGE(P$3:P11)</f>
        <v>6.9644475491803401E-2</v>
      </c>
      <c r="U11" s="64">
        <f>AVERAGE(Q$3:Q11)</f>
        <v>2659333.3591653155</v>
      </c>
      <c r="V11" s="64">
        <f t="shared" si="9"/>
        <v>0.68944217700825083</v>
      </c>
      <c r="AP11" s="15"/>
      <c r="AQ11" s="15"/>
      <c r="AR11" s="15"/>
      <c r="BL11" s="15"/>
      <c r="BM11" s="15"/>
      <c r="BN11" s="15"/>
      <c r="BO11" s="15"/>
      <c r="BP11" s="15"/>
    </row>
    <row r="12" spans="1:68" customFormat="1" ht="16.5" x14ac:dyDescent="0.3">
      <c r="A12" s="66">
        <v>10</v>
      </c>
      <c r="B12" s="75">
        <v>13000</v>
      </c>
      <c r="C12" s="77">
        <f t="shared" si="12"/>
        <v>24125</v>
      </c>
      <c r="D12" s="173">
        <f t="shared" si="0"/>
        <v>23677.083333333336</v>
      </c>
      <c r="E12" s="172">
        <f t="shared" si="1"/>
        <v>0.54905411350637923</v>
      </c>
      <c r="F12" s="171">
        <f t="shared" si="2"/>
        <v>2</v>
      </c>
      <c r="G12" s="171"/>
      <c r="H12" s="171"/>
      <c r="I12" s="170">
        <f t="shared" si="3"/>
        <v>16220.711622087187</v>
      </c>
      <c r="J12" s="163">
        <f t="shared" si="10"/>
        <v>23527.154655343576</v>
      </c>
      <c r="K12" s="163">
        <f t="shared" si="4"/>
        <v>511.84292165385204</v>
      </c>
      <c r="L12" s="163">
        <f t="shared" si="13"/>
        <v>0.69937001371911456</v>
      </c>
      <c r="M12" s="165">
        <f t="shared" si="11"/>
        <v>16812.154065218456</v>
      </c>
      <c r="N12" s="65">
        <f t="shared" si="5"/>
        <v>-3812.1540652184558</v>
      </c>
      <c r="O12" s="65">
        <f t="shared" si="6"/>
        <v>3812.1540652184558</v>
      </c>
      <c r="P12" s="65">
        <f t="shared" si="7"/>
        <v>0.29324262040141968</v>
      </c>
      <c r="Q12" s="65">
        <f t="shared" si="8"/>
        <v>14532518.616961598</v>
      </c>
      <c r="R12" s="164">
        <f>SUM($N12:N12)</f>
        <v>-3812.1540652184558</v>
      </c>
      <c r="S12" s="64">
        <f>AVERAGE(O$3:O12)</f>
        <v>1486.6794829903613</v>
      </c>
      <c r="T12" s="64">
        <f>AVERAGE(P$3:P12)</f>
        <v>9.2004289982765025E-2</v>
      </c>
      <c r="U12" s="64">
        <f>AVERAGE(Q$3:Q12)</f>
        <v>3846651.8849449442</v>
      </c>
      <c r="V12" s="64">
        <f t="shared" si="9"/>
        <v>-2.5642070862177704</v>
      </c>
      <c r="AP12" s="15"/>
      <c r="AQ12" s="15"/>
      <c r="AR12" s="15"/>
      <c r="BL12" s="15"/>
      <c r="BM12" s="15"/>
      <c r="BN12" s="15"/>
      <c r="BO12" s="15"/>
      <c r="BP12" s="15"/>
    </row>
    <row r="13" spans="1:68" customFormat="1" ht="16.5" x14ac:dyDescent="0.3">
      <c r="A13" s="66">
        <v>11</v>
      </c>
      <c r="B13" s="75">
        <v>32000</v>
      </c>
      <c r="C13" s="77"/>
      <c r="D13" s="173">
        <f t="shared" si="0"/>
        <v>24200.892857142859</v>
      </c>
      <c r="E13" s="172">
        <f t="shared" si="1"/>
        <v>1.3222652647113078</v>
      </c>
      <c r="F13" s="171">
        <f t="shared" si="2"/>
        <v>3</v>
      </c>
      <c r="G13" s="171"/>
      <c r="H13" s="171"/>
      <c r="I13" s="170">
        <f t="shared" si="3"/>
        <v>28401.673380957061</v>
      </c>
      <c r="J13" s="163">
        <f t="shared" si="10"/>
        <v>24218.234565936938</v>
      </c>
      <c r="K13" s="163">
        <f t="shared" si="4"/>
        <v>529.76662054780309</v>
      </c>
      <c r="L13" s="163">
        <f t="shared" si="13"/>
        <v>1.1584239883201588</v>
      </c>
      <c r="M13" s="165">
        <f t="shared" si="11"/>
        <v>28668.678237399676</v>
      </c>
      <c r="N13" s="65">
        <f t="shared" si="5"/>
        <v>3331.3217626003243</v>
      </c>
      <c r="O13" s="65">
        <f t="shared" si="6"/>
        <v>3331.3217626003243</v>
      </c>
      <c r="P13" s="65">
        <f t="shared" si="7"/>
        <v>0.10410380508126013</v>
      </c>
      <c r="Q13" s="65">
        <f t="shared" si="8"/>
        <v>11097704.685974531</v>
      </c>
      <c r="R13" s="164">
        <f>SUM($N13:N13)</f>
        <v>3331.3217626003243</v>
      </c>
      <c r="S13" s="64">
        <f>AVERAGE(O$3:O13)</f>
        <v>1654.3742356821763</v>
      </c>
      <c r="T13" s="64">
        <f>AVERAGE(P$3:P13)</f>
        <v>9.3104245900810026E-2</v>
      </c>
      <c r="U13" s="64">
        <f>AVERAGE(Q$3:Q13)</f>
        <v>4505838.5032203607</v>
      </c>
      <c r="V13" s="64">
        <f t="shared" si="9"/>
        <v>2.0136446099976064</v>
      </c>
      <c r="AP13" s="15"/>
      <c r="AQ13" s="15"/>
      <c r="AR13" s="15"/>
      <c r="BL13" s="15"/>
      <c r="BM13" s="15"/>
      <c r="BN13" s="15"/>
      <c r="BO13" s="15"/>
      <c r="BP13" s="15"/>
    </row>
    <row r="14" spans="1:68" customFormat="1" ht="16.5" x14ac:dyDescent="0.3">
      <c r="A14" s="66">
        <v>12</v>
      </c>
      <c r="B14" s="75">
        <v>41000</v>
      </c>
      <c r="C14" s="77"/>
      <c r="D14" s="173">
        <f t="shared" si="0"/>
        <v>24724.702380952382</v>
      </c>
      <c r="E14" s="172">
        <f t="shared" si="1"/>
        <v>1.6582606078844417</v>
      </c>
      <c r="F14" s="171">
        <f t="shared" si="2"/>
        <v>4</v>
      </c>
      <c r="G14" s="171"/>
      <c r="H14" s="171"/>
      <c r="I14" s="170">
        <f t="shared" si="3"/>
        <v>41253.220342570465</v>
      </c>
      <c r="J14" s="163">
        <f t="shared" si="10"/>
        <v>24738.169972669231</v>
      </c>
      <c r="K14" s="163">
        <f t="shared" si="4"/>
        <v>528.78349916625211</v>
      </c>
      <c r="L14" s="163">
        <f t="shared" si="13"/>
        <v>1.6699674380791549</v>
      </c>
      <c r="M14" s="165">
        <f t="shared" si="11"/>
        <v>42194.989557426314</v>
      </c>
      <c r="N14" s="65">
        <f t="shared" si="5"/>
        <v>-1194.9895574263137</v>
      </c>
      <c r="O14" s="65">
        <f t="shared" si="6"/>
        <v>1194.9895574263137</v>
      </c>
      <c r="P14" s="65">
        <f t="shared" si="7"/>
        <v>2.9146086766495456E-2</v>
      </c>
      <c r="Q14" s="65">
        <f t="shared" si="8"/>
        <v>1428000.042357937</v>
      </c>
      <c r="R14" s="164">
        <f>SUM($N14:N14)</f>
        <v>-1194.9895574263137</v>
      </c>
      <c r="S14" s="64">
        <f>AVERAGE(O$3:O14)</f>
        <v>1616.0921791608544</v>
      </c>
      <c r="T14" s="64">
        <f>AVERAGE(P$3:P14)</f>
        <v>8.7774399306283821E-2</v>
      </c>
      <c r="U14" s="64">
        <f>AVERAGE(Q$3:Q14)</f>
        <v>4249351.9648151593</v>
      </c>
      <c r="V14" s="64">
        <f t="shared" si="9"/>
        <v>-0.7394315577016185</v>
      </c>
      <c r="AP14" s="15"/>
      <c r="AQ14" s="15"/>
      <c r="AR14" s="15"/>
      <c r="BL14" s="15"/>
      <c r="BM14" s="15"/>
      <c r="BN14" s="15"/>
      <c r="BO14" s="15"/>
      <c r="BP14" s="15"/>
    </row>
    <row r="15" spans="1:68" customFormat="1" ht="16.5" x14ac:dyDescent="0.3">
      <c r="A15" s="66">
        <v>13</v>
      </c>
      <c r="L15" s="163">
        <f t="shared" si="13"/>
        <v>0.47387681989765784</v>
      </c>
      <c r="M15" s="165">
        <f>($J$14+$K$14*(A15-$A$14))*L15</f>
        <v>11973.423559735484</v>
      </c>
      <c r="AP15" s="15"/>
      <c r="AQ15" s="15"/>
      <c r="AR15" s="15"/>
      <c r="BL15" s="15"/>
      <c r="BM15" s="15"/>
      <c r="BN15" s="15"/>
      <c r="BO15" s="15"/>
      <c r="BP15" s="15"/>
    </row>
    <row r="16" spans="1:68" customFormat="1" ht="16.5" x14ac:dyDescent="0.3">
      <c r="A16" s="66">
        <v>14</v>
      </c>
      <c r="L16" s="163">
        <f t="shared" si="13"/>
        <v>0.6840844788026077</v>
      </c>
      <c r="M16" s="165">
        <f>($J$14+$K$14*(A16-$A$14))*L16</f>
        <v>17646.463281136883</v>
      </c>
      <c r="AP16" s="15"/>
      <c r="AQ16" s="15"/>
      <c r="AR16" s="15"/>
      <c r="BL16" s="15"/>
      <c r="BM16" s="15"/>
      <c r="BN16" s="15"/>
      <c r="BO16" s="15"/>
      <c r="BP16" s="15"/>
    </row>
    <row r="17" spans="1:68" ht="16.5" x14ac:dyDescent="0.3">
      <c r="A17" s="66">
        <v>15</v>
      </c>
      <c r="B17"/>
      <c r="C17"/>
      <c r="D17"/>
      <c r="E17"/>
      <c r="F17"/>
      <c r="G17"/>
      <c r="H17"/>
      <c r="I17"/>
      <c r="J17"/>
      <c r="K17"/>
      <c r="L17" s="163">
        <f t="shared" si="13"/>
        <v>1.1756986210844202</v>
      </c>
      <c r="M17" s="165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66">
        <v>16</v>
      </c>
      <c r="B18"/>
      <c r="C18"/>
      <c r="D18"/>
      <c r="E18"/>
      <c r="F18"/>
      <c r="G18"/>
      <c r="H18"/>
      <c r="I18"/>
      <c r="J18"/>
      <c r="K18"/>
      <c r="L18" s="163">
        <f t="shared" si="13"/>
        <v>1.6686406394561084</v>
      </c>
      <c r="M18" s="165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66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66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66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66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66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66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66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66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66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66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66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66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66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66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66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66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15" t="s">
        <v>38</v>
      </c>
      <c r="C37" s="169">
        <v>4</v>
      </c>
      <c r="BL37"/>
      <c r="BM37"/>
      <c r="BN37"/>
      <c r="BO37"/>
      <c r="BP37"/>
    </row>
    <row r="38" spans="1:68" x14ac:dyDescent="0.25">
      <c r="A38"/>
      <c r="B38" s="15" t="s">
        <v>69</v>
      </c>
      <c r="C38" s="80">
        <v>0.05</v>
      </c>
      <c r="BL38"/>
      <c r="BM38"/>
      <c r="BN38"/>
      <c r="BO38"/>
      <c r="BP38"/>
    </row>
    <row r="39" spans="1:68" x14ac:dyDescent="0.25">
      <c r="A39"/>
      <c r="B39" s="15" t="s">
        <v>67</v>
      </c>
      <c r="C39" s="80">
        <v>0.1</v>
      </c>
      <c r="BL39"/>
      <c r="BM39"/>
      <c r="BN39"/>
      <c r="BO39"/>
      <c r="BP39"/>
    </row>
    <row r="40" spans="1:68" x14ac:dyDescent="0.25">
      <c r="A40"/>
      <c r="B40" s="15" t="s">
        <v>68</v>
      </c>
      <c r="C40" s="80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15" t="s">
        <v>60</v>
      </c>
      <c r="J42"/>
      <c r="K42"/>
      <c r="L42"/>
      <c r="BL42"/>
      <c r="BM42"/>
      <c r="BN42"/>
      <c r="BO42"/>
      <c r="BP42"/>
    </row>
    <row r="43" spans="1:68" x14ac:dyDescent="0.25">
      <c r="A43"/>
      <c r="B43" s="15" t="s">
        <v>61</v>
      </c>
      <c r="J43" s="64"/>
      <c r="K43"/>
      <c r="L43"/>
      <c r="BL43"/>
      <c r="BM43"/>
      <c r="BN43"/>
      <c r="BO43"/>
      <c r="BP43"/>
    </row>
    <row r="44" spans="1:68" x14ac:dyDescent="0.25">
      <c r="A44"/>
      <c r="B44" s="15" t="s">
        <v>62</v>
      </c>
      <c r="J44"/>
      <c r="K44"/>
      <c r="L44"/>
      <c r="BL44"/>
      <c r="BM44"/>
      <c r="BN44"/>
      <c r="BO44"/>
      <c r="BP44"/>
    </row>
    <row r="45" spans="1:68" x14ac:dyDescent="0.25">
      <c r="A45"/>
      <c r="B45" s="69" t="s">
        <v>57</v>
      </c>
      <c r="C45" s="69"/>
      <c r="D45" s="69"/>
      <c r="E45" s="69"/>
      <c r="F45" s="69"/>
      <c r="G45" s="69"/>
      <c r="H45" s="69"/>
      <c r="I45" s="69"/>
      <c r="J45"/>
      <c r="K45"/>
      <c r="L45"/>
      <c r="BL45"/>
      <c r="BM45"/>
      <c r="BN45"/>
      <c r="BO45"/>
      <c r="BP45"/>
    </row>
    <row r="46" spans="1:68" x14ac:dyDescent="0.25">
      <c r="A46"/>
      <c r="B46" t="s">
        <v>63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58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64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65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66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0.ArdiData28Fixed</vt:lpstr>
      <vt:lpstr>4.Trend&amp;SeasIravanDavan</vt:lpstr>
      <vt:lpstr>4b.Trend&amp;SeasonPractice</vt:lpstr>
      <vt:lpstr>STOP-TheRestONLYIfYouWish</vt:lpstr>
      <vt:lpstr>Prac.TrAdES-3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2022-01-17T17:50:14Z</dcterms:modified>
</cp:coreProperties>
</file>