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E5F57430-A341-4574-A4C1-60BAAAB50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Trend&amp;SeasIravanDavan" sheetId="34" r:id="rId1"/>
    <sheet name="4b.Trend&amp;SeasonPractice" sheetId="52" r:id="rId2"/>
    <sheet name="1.SeasRegChopraMineEvenp4WasDis" sheetId="54" r:id="rId3"/>
  </sheets>
  <definedNames>
    <definedName name="Page1" localSheetId="2">#REF!</definedName>
    <definedName name="Page1">#REF!</definedName>
    <definedName name="solver_adj" localSheetId="2" hidden="1">'1.SeasRegChopraMineEvenp4WasDis'!$C$38:$C$40</definedName>
    <definedName name="solver_adj" localSheetId="0" hidden="1">'4.Trend&amp;SeasIravanDavan'!$Q$2,'4.Trend&amp;SeasIravanDavan'!$Q$3,'4.Trend&amp;SeasIravanDavan'!$Q$4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ng" localSheetId="2" hidden="1">1</definedName>
    <definedName name="solver_eng" localSheetId="0" hidden="1">1</definedName>
    <definedName name="solver_est" localSheetId="2" hidden="1">1</definedName>
    <definedName name="solver_est" localSheetId="0" hidden="1">1</definedName>
    <definedName name="solver_itr" localSheetId="2" hidden="1">2147483647</definedName>
    <definedName name="solver_itr" localSheetId="0" hidden="1">2147483647</definedName>
    <definedName name="solver_lhs1" localSheetId="2" hidden="1">'1.SeasRegChopraMineEvenp4WasDis'!$C$38:$C$40</definedName>
    <definedName name="solver_lhs1" localSheetId="0" hidden="1">'4.Trend&amp;SeasIravanDavan'!$Q$2</definedName>
    <definedName name="solver_lhs2" localSheetId="2" hidden="1">'1.SeasRegChopraMineEvenp4WasDis'!$C$38:$C$40</definedName>
    <definedName name="solver_lhs2" localSheetId="0" hidden="1">'4.Trend&amp;SeasIravanDavan'!$Q$2</definedName>
    <definedName name="solver_lhs3" localSheetId="2" hidden="1">'1.SeasRegChopraMineEvenp4WasDis'!$C$40</definedName>
    <definedName name="solver_lhs3" localSheetId="0" hidden="1">'4.Trend&amp;SeasIravanDavan'!$Q$3</definedName>
    <definedName name="solver_lhs4" localSheetId="2" hidden="1">'1.SeasRegChopraMineEvenp4WasDis'!$C$40</definedName>
    <definedName name="solver_lhs4" localSheetId="0" hidden="1">'4.Trend&amp;SeasIravanDavan'!$Q$3</definedName>
    <definedName name="solver_lhs5" localSheetId="2" hidden="1">'1.SeasRegChopraMineEvenp4WasDis'!$C$40</definedName>
    <definedName name="solver_lhs5" localSheetId="0" hidden="1">'4.Trend&amp;SeasIravanDavan'!$Q$4</definedName>
    <definedName name="solver_lhs6" localSheetId="2" hidden="1">'1.SeasRegChopraMineEvenp4WasDis'!$C$40</definedName>
    <definedName name="solver_lhs6" localSheetId="0" hidden="1">'4.Trend&amp;SeasIravanDavan'!$Q$4</definedName>
    <definedName name="solver_mip" localSheetId="2" hidden="1">2147483647</definedName>
    <definedName name="solver_mip" localSheetId="0" hidden="1">2147483647</definedName>
    <definedName name="solver_mni" localSheetId="2" hidden="1">30</definedName>
    <definedName name="solver_mni" localSheetId="0" hidden="1">30</definedName>
    <definedName name="solver_mrt" localSheetId="2" hidden="1">0.075</definedName>
    <definedName name="solver_mrt" localSheetId="0" hidden="1">0.075</definedName>
    <definedName name="solver_msl" localSheetId="2" hidden="1">2</definedName>
    <definedName name="solver_msl" localSheetId="0" hidden="1">2</definedName>
    <definedName name="solver_neg" localSheetId="2" hidden="1">1</definedName>
    <definedName name="solver_neg" localSheetId="0" hidden="1">1</definedName>
    <definedName name="solver_nod" localSheetId="2" hidden="1">2147483647</definedName>
    <definedName name="solver_nod" localSheetId="0" hidden="1">2147483647</definedName>
    <definedName name="solver_num" localSheetId="2" hidden="1">2</definedName>
    <definedName name="solver_num" localSheetId="0" hidden="1">6</definedName>
    <definedName name="solver_nwt" localSheetId="2" hidden="1">1</definedName>
    <definedName name="solver_nwt" localSheetId="0" hidden="1">1</definedName>
    <definedName name="solver_opt" localSheetId="2" hidden="1">'1.SeasRegChopraMineEvenp4WasDis'!$U$30</definedName>
    <definedName name="solver_opt" localSheetId="0" hidden="1">'4.Trend&amp;SeasIravanDavan'!$I$31</definedName>
    <definedName name="solver_pre" localSheetId="2" hidden="1">0.000001</definedName>
    <definedName name="solver_pre" localSheetId="0" hidden="1">0.000001</definedName>
    <definedName name="solver_rbv" localSheetId="2" hidden="1">1</definedName>
    <definedName name="solver_rbv" localSheetId="0" hidden="1">1</definedName>
    <definedName name="solver_rel1" localSheetId="2" hidden="1">1</definedName>
    <definedName name="solver_rel1" localSheetId="0" hidden="1">1</definedName>
    <definedName name="solver_rel2" localSheetId="2" hidden="1">3</definedName>
    <definedName name="solver_rel2" localSheetId="0" hidden="1">3</definedName>
    <definedName name="solver_rel3" localSheetId="2" hidden="1">3</definedName>
    <definedName name="solver_rel3" localSheetId="0" hidden="1">1</definedName>
    <definedName name="solver_rel4" localSheetId="2" hidden="1">3</definedName>
    <definedName name="solver_rel4" localSheetId="0" hidden="1">3</definedName>
    <definedName name="solver_rel5" localSheetId="2" hidden="1">3</definedName>
    <definedName name="solver_rel5" localSheetId="0" hidden="1">1</definedName>
    <definedName name="solver_rel6" localSheetId="2" hidden="1">3</definedName>
    <definedName name="solver_rel6" localSheetId="0" hidden="1">3</definedName>
    <definedName name="solver_rhs1" localSheetId="2" hidden="1">1</definedName>
    <definedName name="solver_rhs1" localSheetId="0" hidden="1">1</definedName>
    <definedName name="solver_rhs2" localSheetId="2" hidden="1">0</definedName>
    <definedName name="solver_rhs2" localSheetId="0" hidden="1">0</definedName>
    <definedName name="solver_rhs3" localSheetId="2" hidden="1">0</definedName>
    <definedName name="solver_rhs3" localSheetId="0" hidden="1">1</definedName>
    <definedName name="solver_rhs4" localSheetId="2" hidden="1">0</definedName>
    <definedName name="solver_rhs4" localSheetId="0" hidden="1">0</definedName>
    <definedName name="solver_rhs5" localSheetId="2" hidden="1">0</definedName>
    <definedName name="solver_rhs5" localSheetId="0" hidden="1">1</definedName>
    <definedName name="solver_rhs6" localSheetId="2" hidden="1">0</definedName>
    <definedName name="solver_rhs6" localSheetId="0" hidden="1">0</definedName>
    <definedName name="solver_rlx" localSheetId="2" hidden="1">2</definedName>
    <definedName name="solver_rlx" localSheetId="0" hidden="1">2</definedName>
    <definedName name="solver_rsd" localSheetId="2" hidden="1">0</definedName>
    <definedName name="solver_rsd" localSheetId="0" hidden="1">0</definedName>
    <definedName name="solver_scl" localSheetId="2" hidden="1">1</definedName>
    <definedName name="solver_scl" localSheetId="0" hidden="1">1</definedName>
    <definedName name="solver_sho" localSheetId="2" hidden="1">2</definedName>
    <definedName name="solver_sho" localSheetId="0" hidden="1">2</definedName>
    <definedName name="solver_ssz" localSheetId="2" hidden="1">100</definedName>
    <definedName name="solver_ssz" localSheetId="0" hidden="1">100</definedName>
    <definedName name="solver_tim" localSheetId="2" hidden="1">2147483647</definedName>
    <definedName name="solver_tim" localSheetId="0" hidden="1">2147483647</definedName>
    <definedName name="solver_tol" localSheetId="2" hidden="1">0.01</definedName>
    <definedName name="solver_tol" localSheetId="0" hidden="1">0.01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  <definedName name="solver_ver" localSheetId="2" hidden="1">3</definedName>
    <definedName name="solver_ver" localSheetId="0" hidden="1">3</definedName>
    <definedName name="Table2" localSheetId="2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4" l="1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4" i="34"/>
  <c r="F35" i="34"/>
  <c r="F33" i="34"/>
  <c r="F32" i="34"/>
  <c r="E35" i="34"/>
  <c r="E32" i="34"/>
  <c r="E33" i="34"/>
  <c r="E34" i="34"/>
  <c r="E10" i="34"/>
  <c r="C10" i="34" s="1"/>
  <c r="D10" i="34" s="1"/>
  <c r="E11" i="34"/>
  <c r="E12" i="34"/>
  <c r="E13" i="34"/>
  <c r="E14" i="34"/>
  <c r="C9" i="34"/>
  <c r="D9" i="34" s="1"/>
  <c r="E9" i="34"/>
  <c r="C6" i="34"/>
  <c r="D6" i="34" s="1"/>
  <c r="C5" i="34"/>
  <c r="D5" i="34" s="1"/>
  <c r="E8" i="34"/>
  <c r="D4" i="34"/>
  <c r="C4" i="34"/>
  <c r="E5" i="34"/>
  <c r="E6" i="34"/>
  <c r="E7" i="34"/>
  <c r="E4" i="34"/>
  <c r="D3" i="34"/>
  <c r="C3" i="34"/>
  <c r="E15" i="34" l="1"/>
  <c r="C11" i="34"/>
  <c r="C7" i="34"/>
  <c r="D7" i="34" s="1"/>
  <c r="D11" i="34" l="1"/>
  <c r="C8" i="34"/>
  <c r="D8" i="34" s="1"/>
  <c r="C12" i="34" l="1"/>
  <c r="E16" i="34"/>
  <c r="D12" i="34" l="1"/>
  <c r="E17" i="34" s="1"/>
  <c r="C13" i="34" l="1"/>
  <c r="F4" i="34"/>
  <c r="D13" i="34" l="1"/>
  <c r="F34" i="54"/>
  <c r="F33" i="54"/>
  <c r="F32" i="54"/>
  <c r="F31" i="54"/>
  <c r="F30" i="54"/>
  <c r="F29" i="54"/>
  <c r="F28" i="54"/>
  <c r="C28" i="54"/>
  <c r="F27" i="54"/>
  <c r="C27" i="54"/>
  <c r="F26" i="54"/>
  <c r="C26" i="54"/>
  <c r="F25" i="54"/>
  <c r="C25" i="54"/>
  <c r="F24" i="54"/>
  <c r="C24" i="54"/>
  <c r="F23" i="54"/>
  <c r="C23" i="54"/>
  <c r="F22" i="54"/>
  <c r="C22" i="54"/>
  <c r="F21" i="54"/>
  <c r="C21" i="54"/>
  <c r="F20" i="54"/>
  <c r="C20" i="54"/>
  <c r="F19" i="54"/>
  <c r="C19" i="54"/>
  <c r="F18" i="54"/>
  <c r="C18" i="54"/>
  <c r="F17" i="54"/>
  <c r="C17" i="54"/>
  <c r="F16" i="54"/>
  <c r="C16" i="54"/>
  <c r="F15" i="54"/>
  <c r="C15" i="54"/>
  <c r="F14" i="54"/>
  <c r="C14" i="54"/>
  <c r="F13" i="54"/>
  <c r="C13" i="54"/>
  <c r="C2" i="54" s="1"/>
  <c r="F12" i="54"/>
  <c r="C12" i="54"/>
  <c r="F11" i="54"/>
  <c r="C11" i="54"/>
  <c r="F10" i="54"/>
  <c r="C10" i="54"/>
  <c r="F9" i="54"/>
  <c r="C9" i="54"/>
  <c r="F8" i="54"/>
  <c r="C8" i="54"/>
  <c r="F7" i="54"/>
  <c r="C7" i="54"/>
  <c r="F6" i="54"/>
  <c r="C6" i="54"/>
  <c r="F5" i="54"/>
  <c r="C5" i="54"/>
  <c r="F4" i="54"/>
  <c r="F3" i="54"/>
  <c r="C14" i="34" l="1"/>
  <c r="E18" i="34"/>
  <c r="J2" i="54"/>
  <c r="Y7" i="54"/>
  <c r="D2" i="54"/>
  <c r="D33" i="54" s="1"/>
  <c r="AH2" i="52"/>
  <c r="Z2" i="52"/>
  <c r="S2" i="52"/>
  <c r="K2" i="52"/>
  <c r="D2" i="52"/>
  <c r="D14" i="34" l="1"/>
  <c r="D9" i="54"/>
  <c r="D4" i="54"/>
  <c r="D31" i="54"/>
  <c r="D5" i="54"/>
  <c r="D14" i="54"/>
  <c r="D23" i="54"/>
  <c r="D17" i="54"/>
  <c r="D15" i="54"/>
  <c r="D22" i="54"/>
  <c r="D18" i="54"/>
  <c r="D8" i="54"/>
  <c r="D26" i="54"/>
  <c r="D20" i="54"/>
  <c r="D27" i="54"/>
  <c r="D21" i="54"/>
  <c r="D3" i="54"/>
  <c r="D25" i="54"/>
  <c r="D24" i="54"/>
  <c r="D16" i="54"/>
  <c r="D12" i="54"/>
  <c r="D30" i="54"/>
  <c r="Y8" i="54"/>
  <c r="K2" i="54"/>
  <c r="D32" i="54"/>
  <c r="D6" i="54"/>
  <c r="D11" i="54"/>
  <c r="D7" i="54"/>
  <c r="D13" i="54"/>
  <c r="D10" i="54"/>
  <c r="D28" i="54"/>
  <c r="D19" i="54"/>
  <c r="D29" i="54"/>
  <c r="D34" i="54"/>
  <c r="E19" i="34" l="1"/>
  <c r="C15" i="34"/>
  <c r="E28" i="54"/>
  <c r="E27" i="54"/>
  <c r="E23" i="54"/>
  <c r="E10" i="54"/>
  <c r="E30" i="54"/>
  <c r="E20" i="54"/>
  <c r="E14" i="54"/>
  <c r="E13" i="54"/>
  <c r="E12" i="54"/>
  <c r="E26" i="54"/>
  <c r="E7" i="54"/>
  <c r="E6" i="54"/>
  <c r="E25" i="54"/>
  <c r="E22" i="54"/>
  <c r="E4" i="54"/>
  <c r="E8" i="54"/>
  <c r="E24" i="54"/>
  <c r="E29" i="54"/>
  <c r="E3" i="54"/>
  <c r="E15" i="54"/>
  <c r="E9" i="54"/>
  <c r="E16" i="54"/>
  <c r="E5" i="54"/>
  <c r="E11" i="54"/>
  <c r="E18" i="54"/>
  <c r="E19" i="54"/>
  <c r="E21" i="54"/>
  <c r="E17" i="54"/>
  <c r="D15" i="34" l="1"/>
  <c r="G6" i="54"/>
  <c r="G3" i="54"/>
  <c r="G5" i="54"/>
  <c r="H5" i="54" s="1"/>
  <c r="G4" i="54"/>
  <c r="H4" i="54" s="1"/>
  <c r="C2" i="52"/>
  <c r="C16" i="34" l="1"/>
  <c r="E20" i="34"/>
  <c r="Y11" i="54"/>
  <c r="L5" i="54"/>
  <c r="I33" i="54"/>
  <c r="I5" i="54"/>
  <c r="I21" i="54"/>
  <c r="I17" i="54"/>
  <c r="I25" i="54"/>
  <c r="I29" i="54"/>
  <c r="I9" i="54"/>
  <c r="I13" i="54"/>
  <c r="Y10" i="54"/>
  <c r="L4" i="54"/>
  <c r="I16" i="54"/>
  <c r="I28" i="54"/>
  <c r="I12" i="54"/>
  <c r="I8" i="54"/>
  <c r="I20" i="54"/>
  <c r="I24" i="54"/>
  <c r="I4" i="54"/>
  <c r="I32" i="54"/>
  <c r="G7" i="54"/>
  <c r="H3" i="54"/>
  <c r="H6" i="54"/>
  <c r="L7" i="52"/>
  <c r="J3" i="52"/>
  <c r="F3" i="52"/>
  <c r="M34" i="34"/>
  <c r="L19" i="52"/>
  <c r="M35" i="34"/>
  <c r="N35" i="34"/>
  <c r="K4" i="34"/>
  <c r="M33" i="34"/>
  <c r="L3" i="34"/>
  <c r="M4" i="34"/>
  <c r="M6" i="34"/>
  <c r="M5" i="34"/>
  <c r="L4" i="34"/>
  <c r="M8" i="34"/>
  <c r="N33" i="34"/>
  <c r="N34" i="34"/>
  <c r="S19" i="52"/>
  <c r="M7" i="34"/>
  <c r="K3" i="34"/>
  <c r="N32" i="34"/>
  <c r="M32" i="34"/>
  <c r="D16" i="34" l="1"/>
  <c r="C17" i="34" s="1"/>
  <c r="L6" i="54"/>
  <c r="Y12" i="54"/>
  <c r="I34" i="54"/>
  <c r="I30" i="54"/>
  <c r="I6" i="54"/>
  <c r="I22" i="54"/>
  <c r="I26" i="54"/>
  <c r="I18" i="54"/>
  <c r="I14" i="54"/>
  <c r="I10" i="54"/>
  <c r="H7" i="54"/>
  <c r="Y9" i="54"/>
  <c r="L3" i="54"/>
  <c r="I3" i="54"/>
  <c r="I15" i="54"/>
  <c r="I7" i="54"/>
  <c r="I27" i="54"/>
  <c r="I11" i="54"/>
  <c r="I23" i="54"/>
  <c r="I31" i="54"/>
  <c r="I19" i="54"/>
  <c r="G4" i="34"/>
  <c r="H4" i="34" s="1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G2" i="52"/>
  <c r="Y2" i="52"/>
  <c r="R2" i="52"/>
  <c r="J2" i="52"/>
  <c r="L16" i="52"/>
  <c r="AH16" i="52"/>
  <c r="B18" i="52"/>
  <c r="AH18" i="52"/>
  <c r="AH19" i="52"/>
  <c r="Z19" i="52"/>
  <c r="B21" i="52"/>
  <c r="L18" i="52"/>
  <c r="B17" i="52"/>
  <c r="S16" i="52"/>
  <c r="B16" i="52"/>
  <c r="B22" i="52"/>
  <c r="B20" i="52"/>
  <c r="S17" i="52"/>
  <c r="L17" i="52"/>
  <c r="Z16" i="52"/>
  <c r="B19" i="52"/>
  <c r="S18" i="52"/>
  <c r="AH17" i="52"/>
  <c r="Z17" i="52"/>
  <c r="Z18" i="52"/>
  <c r="C18" i="34" l="1"/>
  <c r="D17" i="34"/>
  <c r="E21" i="34"/>
  <c r="J3" i="54"/>
  <c r="L7" i="54"/>
  <c r="M3" i="54"/>
  <c r="N3" i="54" s="1"/>
  <c r="I4" i="34"/>
  <c r="M3" i="52"/>
  <c r="AJ3" i="52"/>
  <c r="AI7" i="52"/>
  <c r="AG3" i="52"/>
  <c r="AH3" i="52" s="1"/>
  <c r="AG4" i="52" s="1"/>
  <c r="AH4" i="52" s="1"/>
  <c r="T7" i="52"/>
  <c r="D18" i="34" l="1"/>
  <c r="E23" i="34" s="1"/>
  <c r="E22" i="34"/>
  <c r="R3" i="54"/>
  <c r="Q3" i="54"/>
  <c r="O3" i="54"/>
  <c r="K3" i="54"/>
  <c r="J4" i="54" s="1"/>
  <c r="L8" i="54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M4" i="52" s="1"/>
  <c r="C19" i="34" l="1"/>
  <c r="P3" i="54"/>
  <c r="S3" i="54"/>
  <c r="U3" i="54"/>
  <c r="V3" i="54"/>
  <c r="K4" i="54"/>
  <c r="AB4" i="52"/>
  <c r="Y4" i="52"/>
  <c r="AA8" i="52"/>
  <c r="R4" i="52"/>
  <c r="U4" i="52"/>
  <c r="T8" i="52"/>
  <c r="AH5" i="52"/>
  <c r="D19" i="34" l="1"/>
  <c r="M4" i="54"/>
  <c r="N4" i="54" s="1"/>
  <c r="L9" i="54"/>
  <c r="T3" i="54"/>
  <c r="J5" i="54"/>
  <c r="K5" i="54" s="1"/>
  <c r="AI10" i="52"/>
  <c r="AG6" i="52"/>
  <c r="AH6" i="52" s="1"/>
  <c r="Z4" i="52"/>
  <c r="AB5" i="52" s="1"/>
  <c r="AJ6" i="52"/>
  <c r="S4" i="52"/>
  <c r="U5" i="52" s="1"/>
  <c r="D20" i="34" l="1"/>
  <c r="E24" i="34"/>
  <c r="C20" i="34"/>
  <c r="O4" i="54"/>
  <c r="Q4" i="54"/>
  <c r="R4" i="54"/>
  <c r="M5" i="54"/>
  <c r="N5" i="54" s="1"/>
  <c r="J6" i="54"/>
  <c r="L10" i="54"/>
  <c r="AJ7" i="52"/>
  <c r="AA9" i="52"/>
  <c r="Y5" i="52"/>
  <c r="E25" i="34" l="1"/>
  <c r="C21" i="34"/>
  <c r="P4" i="54"/>
  <c r="S5" i="54"/>
  <c r="S4" i="54"/>
  <c r="V4" i="54" s="1"/>
  <c r="R5" i="54"/>
  <c r="Q5" i="54"/>
  <c r="O5" i="54"/>
  <c r="P5" i="54" s="1"/>
  <c r="U4" i="54"/>
  <c r="K6" i="54"/>
  <c r="Z5" i="52"/>
  <c r="AB6" i="52" s="1"/>
  <c r="D21" i="34" l="1"/>
  <c r="T4" i="54"/>
  <c r="T5" i="54"/>
  <c r="L11" i="54"/>
  <c r="M6" i="54"/>
  <c r="N6" i="54" s="1"/>
  <c r="U5" i="54"/>
  <c r="J7" i="54"/>
  <c r="V5" i="54"/>
  <c r="C22" i="34" l="1"/>
  <c r="E26" i="34"/>
  <c r="O6" i="54"/>
  <c r="Q6" i="54"/>
  <c r="R6" i="54"/>
  <c r="K7" i="54"/>
  <c r="D22" i="34" l="1"/>
  <c r="C23" i="34" s="1"/>
  <c r="L12" i="54"/>
  <c r="M7" i="54"/>
  <c r="N7" i="54" s="1"/>
  <c r="J8" i="54"/>
  <c r="V6" i="54"/>
  <c r="U6" i="54"/>
  <c r="P6" i="54"/>
  <c r="S6" i="54"/>
  <c r="G5" i="34"/>
  <c r="H5" i="34" s="1"/>
  <c r="D23" i="34" l="1"/>
  <c r="E27" i="34"/>
  <c r="L13" i="54"/>
  <c r="T6" i="54"/>
  <c r="R7" i="54"/>
  <c r="Q7" i="54"/>
  <c r="O7" i="54"/>
  <c r="K8" i="54"/>
  <c r="M8" i="54" s="1"/>
  <c r="N8" i="54" s="1"/>
  <c r="I5" i="34"/>
  <c r="E28" i="34" l="1"/>
  <c r="C24" i="34"/>
  <c r="D24" i="34" s="1"/>
  <c r="O8" i="54"/>
  <c r="P8" i="54" s="1"/>
  <c r="R8" i="54"/>
  <c r="Q8" i="54"/>
  <c r="P7" i="54"/>
  <c r="S7" i="54"/>
  <c r="V7" i="54" s="1"/>
  <c r="S8" i="54"/>
  <c r="U8" i="54"/>
  <c r="U7" i="54"/>
  <c r="J9" i="54"/>
  <c r="K9" i="54" s="1"/>
  <c r="G6" i="34"/>
  <c r="H6" i="34" s="1"/>
  <c r="C25" i="34" l="1"/>
  <c r="E29" i="34"/>
  <c r="T8" i="54"/>
  <c r="T7" i="54"/>
  <c r="V8" i="54"/>
  <c r="J10" i="54"/>
  <c r="M9" i="54"/>
  <c r="N9" i="54" s="1"/>
  <c r="L14" i="54"/>
  <c r="I6" i="34"/>
  <c r="G7" i="34"/>
  <c r="H7" i="34" s="1"/>
  <c r="I7" i="34" s="1"/>
  <c r="D25" i="34" l="1"/>
  <c r="R9" i="54"/>
  <c r="O9" i="54"/>
  <c r="Q9" i="54"/>
  <c r="K10" i="54"/>
  <c r="G8" i="34"/>
  <c r="H8" i="34" s="1"/>
  <c r="C26" i="34" l="1"/>
  <c r="E30" i="34"/>
  <c r="U9" i="54"/>
  <c r="L15" i="54"/>
  <c r="M10" i="54"/>
  <c r="N10" i="54" s="1"/>
  <c r="J11" i="54"/>
  <c r="P9" i="54"/>
  <c r="S9" i="54"/>
  <c r="V9" i="54" s="1"/>
  <c r="I8" i="34"/>
  <c r="D26" i="34" l="1"/>
  <c r="R10" i="54"/>
  <c r="Q10" i="54"/>
  <c r="U10" i="54" s="1"/>
  <c r="O10" i="54"/>
  <c r="T9" i="54"/>
  <c r="K11" i="54"/>
  <c r="M11" i="54" s="1"/>
  <c r="N11" i="54" s="1"/>
  <c r="G9" i="34"/>
  <c r="H9" i="34" s="1"/>
  <c r="I9" i="34" s="1"/>
  <c r="C27" i="34" l="1"/>
  <c r="E31" i="34"/>
  <c r="O11" i="54"/>
  <c r="Q11" i="54"/>
  <c r="U11" i="54" s="1"/>
  <c r="R11" i="54"/>
  <c r="J12" i="54"/>
  <c r="P10" i="54"/>
  <c r="T10" i="54" s="1"/>
  <c r="S10" i="54"/>
  <c r="V10" i="54" s="1"/>
  <c r="K12" i="54"/>
  <c r="L16" i="54"/>
  <c r="G10" i="34"/>
  <c r="H10" i="34" s="1"/>
  <c r="I10" i="34" s="1"/>
  <c r="D27" i="34" l="1"/>
  <c r="J13" i="54"/>
  <c r="M12" i="54"/>
  <c r="N12" i="54" s="1"/>
  <c r="L17" i="54"/>
  <c r="K13" i="54"/>
  <c r="P11" i="54"/>
  <c r="T11" i="54" s="1"/>
  <c r="S11" i="54"/>
  <c r="V11" i="54" s="1"/>
  <c r="C28" i="34" l="1"/>
  <c r="Q12" i="54"/>
  <c r="U12" i="54" s="1"/>
  <c r="R12" i="54"/>
  <c r="O12" i="54"/>
  <c r="M13" i="54"/>
  <c r="N13" i="54" s="1"/>
  <c r="J14" i="54"/>
  <c r="L18" i="54"/>
  <c r="G11" i="34"/>
  <c r="H11" i="34" s="1"/>
  <c r="I11" i="34" s="1"/>
  <c r="D28" i="34" l="1"/>
  <c r="K14" i="54"/>
  <c r="M14" i="54" s="1"/>
  <c r="N14" i="54" s="1"/>
  <c r="Q13" i="54"/>
  <c r="U13" i="54" s="1"/>
  <c r="O13" i="54"/>
  <c r="R13" i="54"/>
  <c r="P12" i="54"/>
  <c r="T12" i="54" s="1"/>
  <c r="S12" i="54"/>
  <c r="V12" i="54" s="1"/>
  <c r="D29" i="34" l="1"/>
  <c r="C29" i="34"/>
  <c r="O14" i="54"/>
  <c r="Q14" i="54"/>
  <c r="U14" i="54" s="1"/>
  <c r="R14" i="54"/>
  <c r="L19" i="54"/>
  <c r="V13" i="54"/>
  <c r="J15" i="54"/>
  <c r="P13" i="54"/>
  <c r="T13" i="54" s="1"/>
  <c r="S13" i="54"/>
  <c r="D30" i="34" l="1"/>
  <c r="C30" i="34"/>
  <c r="M15" i="54"/>
  <c r="N15" i="54" s="1"/>
  <c r="K15" i="54"/>
  <c r="P14" i="54"/>
  <c r="T14" i="54" s="1"/>
  <c r="S14" i="54"/>
  <c r="V14" i="54" s="1"/>
  <c r="G12" i="34"/>
  <c r="H12" i="34" s="1"/>
  <c r="I12" i="34" s="1"/>
  <c r="C31" i="34" l="1"/>
  <c r="D31" i="34" s="1"/>
  <c r="L20" i="54"/>
  <c r="J16" i="54"/>
  <c r="R15" i="54"/>
  <c r="O15" i="54"/>
  <c r="Q15" i="54"/>
  <c r="U15" i="54" s="1"/>
  <c r="P15" i="54" l="1"/>
  <c r="T15" i="54" s="1"/>
  <c r="S15" i="54"/>
  <c r="V15" i="54"/>
  <c r="K16" i="54"/>
  <c r="L21" i="54" s="1"/>
  <c r="G13" i="34"/>
  <c r="H13" i="34" s="1"/>
  <c r="I13" i="34" s="1"/>
  <c r="M16" i="54" l="1"/>
  <c r="N16" i="54" s="1"/>
  <c r="J17" i="54"/>
  <c r="K17" i="54" l="1"/>
  <c r="J18" i="54" s="1"/>
  <c r="R16" i="54"/>
  <c r="Q16" i="54"/>
  <c r="U16" i="54" s="1"/>
  <c r="O16" i="54"/>
  <c r="G14" i="34"/>
  <c r="H14" i="34" s="1"/>
  <c r="I14" i="34" s="1"/>
  <c r="P16" i="54" l="1"/>
  <c r="T16" i="54" s="1"/>
  <c r="S16" i="54"/>
  <c r="V16" i="54" s="1"/>
  <c r="L22" i="54"/>
  <c r="K18" i="54"/>
  <c r="M17" i="54"/>
  <c r="N17" i="54" s="1"/>
  <c r="L23" i="54" l="1"/>
  <c r="J19" i="54"/>
  <c r="Q17" i="54"/>
  <c r="U17" i="54" s="1"/>
  <c r="O17" i="54"/>
  <c r="R17" i="54"/>
  <c r="M18" i="54"/>
  <c r="N18" i="54" s="1"/>
  <c r="G15" i="34"/>
  <c r="H15" i="34" s="1"/>
  <c r="I15" i="34" s="1"/>
  <c r="O18" i="54" l="1"/>
  <c r="Q18" i="54"/>
  <c r="U18" i="54" s="1"/>
  <c r="R18" i="54"/>
  <c r="P17" i="54"/>
  <c r="T17" i="54" s="1"/>
  <c r="S17" i="54"/>
  <c r="V17" i="54" s="1"/>
  <c r="J20" i="54"/>
  <c r="K19" i="54"/>
  <c r="K20" i="54" l="1"/>
  <c r="M20" i="54" s="1"/>
  <c r="N20" i="54" s="1"/>
  <c r="J21" i="54"/>
  <c r="L25" i="54"/>
  <c r="M19" i="54"/>
  <c r="N19" i="54" s="1"/>
  <c r="V18" i="54"/>
  <c r="L24" i="54"/>
  <c r="P18" i="54"/>
  <c r="T18" i="54" s="1"/>
  <c r="S18" i="54"/>
  <c r="G16" i="34"/>
  <c r="H16" i="34" s="1"/>
  <c r="I16" i="34" s="1"/>
  <c r="R20" i="54" l="1"/>
  <c r="Q20" i="54"/>
  <c r="O20" i="54"/>
  <c r="R19" i="54"/>
  <c r="O19" i="54"/>
  <c r="Q19" i="54"/>
  <c r="U19" i="54" s="1"/>
  <c r="M21" i="54"/>
  <c r="N21" i="54" s="1"/>
  <c r="J22" i="54"/>
  <c r="L26" i="54"/>
  <c r="K21" i="54"/>
  <c r="Q21" i="54" l="1"/>
  <c r="U21" i="54" s="1"/>
  <c r="O21" i="54"/>
  <c r="R21" i="54"/>
  <c r="K22" i="54"/>
  <c r="P19" i="54"/>
  <c r="T19" i="54" s="1"/>
  <c r="S19" i="54"/>
  <c r="V19" i="54" s="1"/>
  <c r="P20" i="54"/>
  <c r="T20" i="54" s="1"/>
  <c r="S20" i="54"/>
  <c r="V20" i="54" s="1"/>
  <c r="U20" i="54"/>
  <c r="J23" i="54"/>
  <c r="L27" i="54"/>
  <c r="G17" i="34"/>
  <c r="H17" i="34" s="1"/>
  <c r="I17" i="34" s="1"/>
  <c r="K23" i="54" l="1"/>
  <c r="M22" i="54"/>
  <c r="N22" i="54" s="1"/>
  <c r="P21" i="54"/>
  <c r="T21" i="54" s="1"/>
  <c r="S21" i="54"/>
  <c r="V21" i="54" s="1"/>
  <c r="O22" i="54" l="1"/>
  <c r="Q22" i="54"/>
  <c r="U22" i="54" s="1"/>
  <c r="R22" i="54"/>
  <c r="L28" i="54"/>
  <c r="J24" i="54"/>
  <c r="M23" i="54"/>
  <c r="N23" i="54" s="1"/>
  <c r="G18" i="34"/>
  <c r="H18" i="34" s="1"/>
  <c r="I18" i="34" s="1"/>
  <c r="K24" i="54" l="1"/>
  <c r="R23" i="54"/>
  <c r="Q23" i="54"/>
  <c r="U23" i="54" s="1"/>
  <c r="O23" i="54"/>
  <c r="P22" i="54"/>
  <c r="T22" i="54" s="1"/>
  <c r="S22" i="54"/>
  <c r="V22" i="54" s="1"/>
  <c r="P23" i="54" l="1"/>
  <c r="T23" i="54" s="1"/>
  <c r="S23" i="54"/>
  <c r="L29" i="54"/>
  <c r="V23" i="54"/>
  <c r="J25" i="54"/>
  <c r="K25" i="54" s="1"/>
  <c r="M24" i="54"/>
  <c r="N24" i="54" s="1"/>
  <c r="G19" i="34"/>
  <c r="H19" i="34" s="1"/>
  <c r="I19" i="34" s="1"/>
  <c r="M25" i="54" l="1"/>
  <c r="N25" i="54" s="1"/>
  <c r="J26" i="54"/>
  <c r="L30" i="54"/>
  <c r="R24" i="54"/>
  <c r="Q24" i="54"/>
  <c r="U24" i="54" s="1"/>
  <c r="O24" i="54"/>
  <c r="P24" i="54" l="1"/>
  <c r="T24" i="54" s="1"/>
  <c r="S24" i="54"/>
  <c r="V24" i="54" s="1"/>
  <c r="J27" i="54"/>
  <c r="Q25" i="54"/>
  <c r="U25" i="54" s="1"/>
  <c r="O25" i="54"/>
  <c r="R25" i="54"/>
  <c r="K26" i="54"/>
  <c r="M26" i="54" s="1"/>
  <c r="N26" i="54" s="1"/>
  <c r="G20" i="34"/>
  <c r="H20" i="34" s="1"/>
  <c r="I20" i="34" s="1"/>
  <c r="O26" i="54" l="1"/>
  <c r="Q26" i="54"/>
  <c r="U26" i="54" s="1"/>
  <c r="R26" i="54"/>
  <c r="P25" i="54"/>
  <c r="T25" i="54" s="1"/>
  <c r="S25" i="54"/>
  <c r="V25" i="54" s="1"/>
  <c r="K27" i="54"/>
  <c r="M27" i="54" s="1"/>
  <c r="N27" i="54" s="1"/>
  <c r="L31" i="54"/>
  <c r="R27" i="54" l="1"/>
  <c r="Q27" i="54"/>
  <c r="U27" i="54" s="1"/>
  <c r="O27" i="54"/>
  <c r="J28" i="54"/>
  <c r="K28" i="54"/>
  <c r="P26" i="54"/>
  <c r="T26" i="54" s="1"/>
  <c r="S26" i="54"/>
  <c r="V26" i="54" s="1"/>
  <c r="G21" i="34"/>
  <c r="H21" i="34" s="1"/>
  <c r="I21" i="34" s="1"/>
  <c r="P27" i="54" l="1"/>
  <c r="T27" i="54" s="1"/>
  <c r="S27" i="54"/>
  <c r="J29" i="54"/>
  <c r="M28" i="54"/>
  <c r="N28" i="54" s="1"/>
  <c r="L32" i="54"/>
  <c r="V27" i="54"/>
  <c r="L33" i="54" l="1"/>
  <c r="R28" i="54"/>
  <c r="Q28" i="54"/>
  <c r="U28" i="54" s="1"/>
  <c r="O28" i="54"/>
  <c r="K29" i="54"/>
  <c r="M29" i="54" s="1"/>
  <c r="N29" i="54" s="1"/>
  <c r="G22" i="34"/>
  <c r="H22" i="34" s="1"/>
  <c r="I22" i="34" s="1"/>
  <c r="R29" i="54" l="1"/>
  <c r="Q29" i="54"/>
  <c r="U29" i="54" s="1"/>
  <c r="O29" i="54"/>
  <c r="P28" i="54"/>
  <c r="T28" i="54" s="1"/>
  <c r="S28" i="54"/>
  <c r="V28" i="54" s="1"/>
  <c r="J30" i="54"/>
  <c r="M34" i="54" l="1"/>
  <c r="L34" i="54"/>
  <c r="K30" i="54"/>
  <c r="M32" i="54" s="1"/>
  <c r="P29" i="54"/>
  <c r="T29" i="54" s="1"/>
  <c r="S29" i="54"/>
  <c r="V29" i="54" s="1"/>
  <c r="G23" i="34"/>
  <c r="H23" i="34" s="1"/>
  <c r="I23" i="34" s="1"/>
  <c r="M31" i="54" l="1"/>
  <c r="M33" i="54"/>
  <c r="M30" i="54"/>
  <c r="N30" i="54" s="1"/>
  <c r="G24" i="34"/>
  <c r="H24" i="34" s="1"/>
  <c r="I24" i="34" s="1"/>
  <c r="Q30" i="54" l="1"/>
  <c r="U30" i="54" s="1"/>
  <c r="O30" i="54"/>
  <c r="R30" i="54"/>
  <c r="P30" i="54" l="1"/>
  <c r="T30" i="54" s="1"/>
  <c r="S30" i="54"/>
  <c r="V30" i="54" s="1"/>
  <c r="G25" i="34"/>
  <c r="H25" i="34" s="1"/>
  <c r="I25" i="34" s="1"/>
  <c r="G26" i="34" l="1"/>
  <c r="H26" i="34" s="1"/>
  <c r="I26" i="34" s="1"/>
  <c r="G27" i="34" l="1"/>
  <c r="H27" i="34" s="1"/>
  <c r="I27" i="34" s="1"/>
  <c r="G28" i="34" l="1"/>
  <c r="H28" i="34" s="1"/>
  <c r="I28" i="34" s="1"/>
  <c r="G29" i="34" l="1"/>
  <c r="H29" i="34" s="1"/>
  <c r="I29" i="34" s="1"/>
  <c r="G30" i="34" l="1"/>
  <c r="H30" i="34" s="1"/>
  <c r="I30" i="34" s="1"/>
  <c r="G31" i="34" l="1"/>
  <c r="H31" i="34" s="1"/>
  <c r="I31" i="34" s="1"/>
</calcChain>
</file>

<file path=xl/sharedStrings.xml><?xml version="1.0" encoding="utf-8"?>
<sst xmlns="http://schemas.openxmlformats.org/spreadsheetml/2006/main" count="144" uniqueCount="94">
  <si>
    <t>At</t>
  </si>
  <si>
    <t>E</t>
  </si>
  <si>
    <t>Per.</t>
  </si>
  <si>
    <t>Trend</t>
  </si>
  <si>
    <t>Level</t>
  </si>
  <si>
    <t>Periodicity</t>
  </si>
  <si>
    <t>Ft</t>
  </si>
  <si>
    <t>E2</t>
  </si>
  <si>
    <t>MSE</t>
  </si>
  <si>
    <t>Seasonality</t>
  </si>
  <si>
    <t>The Forecast for New Level is the Previous Lever + Previous Trend</t>
  </si>
  <si>
    <t>Actual Trend is the difference between current Level and previous Level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</si>
  <si>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</si>
  <si>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</si>
  <si>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</si>
  <si>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</si>
  <si>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</si>
  <si>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</si>
  <si>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</si>
  <si>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</si>
  <si>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</si>
  <si>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</si>
  <si>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</si>
  <si>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</si>
  <si>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</si>
  <si>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</si>
  <si>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</si>
  <si>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S1</t>
  </si>
  <si>
    <t>S2</t>
  </si>
  <si>
    <t>S3</t>
  </si>
  <si>
    <t>S4</t>
  </si>
  <si>
    <t>t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</si>
  <si>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</si>
  <si>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</si>
  <si>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</si>
  <si>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</si>
  <si>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</si>
  <si>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</si>
  <si>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</si>
  <si>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</si>
  <si>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</si>
  <si>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</si>
  <si>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</si>
  <si>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</si>
  <si>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</si>
  <si>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</si>
  <si>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</si>
  <si>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</si>
  <si>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</si>
  <si>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</si>
  <si>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</si>
  <si>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</si>
  <si>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</si>
  <si>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</si>
  <si>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</si>
  <si>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</si>
  <si>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</si>
  <si>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</si>
  <si>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</si>
  <si>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The Lecture is here</t>
  </si>
  <si>
    <t xml:space="preserve">https://youtu.be/9L7PgZBdsWE </t>
  </si>
  <si>
    <t>F_(t+1) = (L_t+T_t)S_(t+1)</t>
  </si>
  <si>
    <t>L_(t+1) = (1-alpha)(L_t+T_t)+alpha(A_(t+1)/S_(t+1))</t>
  </si>
  <si>
    <t>T_(t+1) = (1-beta)(T_t)+beta(L_(t+1)-L_t))</t>
  </si>
  <si>
    <t>S(t+1+p) = (1-gamma)S_(t+1)+gamma(A_(t+1)/(L_t+T_t))</t>
  </si>
  <si>
    <t>TrendData</t>
  </si>
  <si>
    <t>Centered.MA</t>
  </si>
  <si>
    <t>Deseas.Reg</t>
  </si>
  <si>
    <t>Seas.Ind</t>
  </si>
  <si>
    <t>Seas</t>
  </si>
  <si>
    <t>SeasInd</t>
  </si>
  <si>
    <t>SeasIndAdj</t>
  </si>
  <si>
    <t>Ft(TrSeasAdjExpSmoo</t>
  </si>
  <si>
    <t>|E|</t>
  </si>
  <si>
    <t>|E|/A</t>
  </si>
  <si>
    <t>Bias</t>
  </si>
  <si>
    <t>MAD</t>
  </si>
  <si>
    <t>MAPE</t>
  </si>
  <si>
    <t>TS</t>
  </si>
  <si>
    <t>The Lecture for the first part is at</t>
  </si>
  <si>
    <t xml:space="preserve">https://youtu.be/tq2U_I7b4KQ </t>
  </si>
  <si>
    <t>18 Minutes</t>
  </si>
  <si>
    <t>It contains the Static Seasonality Enhanced Regression</t>
  </si>
  <si>
    <t>This lecture does not include Trend and Seasonality Adjusted Exponential Smoothing</t>
  </si>
  <si>
    <t>Then just follow out first lecture on Trend and Seasonality Exponential smoothing</t>
  </si>
  <si>
    <t>It is available at</t>
  </si>
  <si>
    <t>Where the first centered moving average ids for periods 1 to 5 and is placed in front of period 3</t>
  </si>
  <si>
    <t>Forecast Trend is (1-Beta) multiplied the  previous trend forecast + Beta time the actual trend (the difference between current level and previous level)</t>
  </si>
  <si>
    <t>Forecast Seasonality is (1-Gamma) times seasonality of P periods ago  plus Gamma times Actual Seasonality</t>
  </si>
  <si>
    <t>Ft (Stat.Reg)</t>
  </si>
  <si>
    <t>But extension is straight forward. Just set</t>
  </si>
  <si>
    <t>This problem was first discussed in Seasonality Enhanced Regression</t>
  </si>
  <si>
    <t>We now compare SeasEnhanReg with Tre&amp;SeasAdjuExpoSmoo</t>
  </si>
  <si>
    <t>SeasData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</si>
</sst>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sz val="11"/>
      <color theme="0"/>
      <name val="Book Antiqua"/>
      <family val="1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Book Antiqua"/>
      <family val="1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Book Antiqua"/>
      <family val="1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1"/>
      <name val="Book Antiqua"/>
      <family val="1"/>
    </font>
    <font>
      <b/>
      <sz val="11"/>
      <color theme="0"/>
      <name val="Calibri"/>
      <family val="2"/>
      <scheme val="minor"/>
    </font>
    <font>
      <b/>
      <sz val="10"/>
      <color theme="0"/>
      <name val="Book Antiqua"/>
      <family val="1"/>
    </font>
    <font>
      <b/>
      <sz val="10"/>
      <color theme="0"/>
      <name val="Symbol"/>
      <family val="1"/>
      <charset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2" applyFont="1"/>
    <xf numFmtId="0" fontId="4" fillId="0" borderId="0" xfId="2" applyFont="1" applyFill="1"/>
    <xf numFmtId="0" fontId="3" fillId="0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3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 readingOrder="1"/>
    </xf>
    <xf numFmtId="0" fontId="7" fillId="0" borderId="8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top"/>
    </xf>
    <xf numFmtId="2" fontId="6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top"/>
    </xf>
    <xf numFmtId="2" fontId="8" fillId="0" borderId="8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8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8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0" fontId="7" fillId="0" borderId="6" xfId="0" applyFont="1" applyBorder="1" applyAlignment="1">
      <alignment horizontal="center" vertical="top" wrapText="1" readingOrder="1"/>
    </xf>
    <xf numFmtId="0" fontId="7" fillId="0" borderId="13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7" borderId="2" xfId="0" applyFill="1" applyBorder="1" applyAlignment="1">
      <alignment horizontal="right"/>
    </xf>
    <xf numFmtId="0" fontId="0" fillId="7" borderId="11" xfId="0" applyFill="1" applyBorder="1" applyAlignment="1">
      <alignment horizontal="left"/>
    </xf>
    <xf numFmtId="2" fontId="0" fillId="7" borderId="11" xfId="0" applyNumberFormat="1" applyFill="1" applyBorder="1" applyAlignment="1">
      <alignment horizontal="left"/>
    </xf>
    <xf numFmtId="0" fontId="0" fillId="7" borderId="11" xfId="0" applyFill="1" applyBorder="1"/>
    <xf numFmtId="0" fontId="0" fillId="7" borderId="2" xfId="0" applyFill="1" applyBorder="1"/>
    <xf numFmtId="0" fontId="0" fillId="7" borderId="11" xfId="0" applyFill="1" applyBorder="1" applyAlignment="1">
      <alignment horizontal="right"/>
    </xf>
    <xf numFmtId="0" fontId="0" fillId="7" borderId="3" xfId="0" applyFill="1" applyBorder="1"/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/>
    <xf numFmtId="0" fontId="0" fillId="7" borderId="4" xfId="0" applyFill="1" applyBorder="1"/>
    <xf numFmtId="0" fontId="0" fillId="7" borderId="0" xfId="0" applyFill="1" applyAlignment="1">
      <alignment horizontal="right"/>
    </xf>
    <xf numFmtId="0" fontId="0" fillId="7" borderId="5" xfId="0" applyFill="1" applyBorder="1"/>
    <xf numFmtId="0" fontId="0" fillId="7" borderId="5" xfId="0" applyFill="1" applyBorder="1" applyAlignment="1">
      <alignment horizontal="left"/>
    </xf>
    <xf numFmtId="0" fontId="0" fillId="7" borderId="6" xfId="0" applyFill="1" applyBorder="1"/>
    <xf numFmtId="0" fontId="0" fillId="7" borderId="12" xfId="0" applyFill="1" applyBorder="1" applyAlignment="1">
      <alignment horizontal="right"/>
    </xf>
    <xf numFmtId="0" fontId="0" fillId="7" borderId="12" xfId="0" applyFill="1" applyBorder="1"/>
    <xf numFmtId="0" fontId="0" fillId="7" borderId="6" xfId="0" applyFill="1" applyBorder="1" applyAlignment="1">
      <alignment horizontal="right"/>
    </xf>
    <xf numFmtId="0" fontId="0" fillId="7" borderId="12" xfId="0" applyFill="1" applyBorder="1" applyAlignment="1">
      <alignment horizontal="left"/>
    </xf>
    <xf numFmtId="0" fontId="0" fillId="7" borderId="7" xfId="0" applyFill="1" applyBorder="1"/>
    <xf numFmtId="0" fontId="0" fillId="7" borderId="7" xfId="0" applyFill="1" applyBorder="1" applyAlignment="1">
      <alignment horizontal="left"/>
    </xf>
    <xf numFmtId="0" fontId="9" fillId="0" borderId="0" xfId="0" applyFont="1" applyAlignment="1">
      <alignment horizontal="right"/>
    </xf>
    <xf numFmtId="0" fontId="3" fillId="6" borderId="0" xfId="1" applyFont="1" applyFill="1" applyBorder="1" applyAlignment="1">
      <alignment horizontal="center"/>
    </xf>
    <xf numFmtId="164" fontId="3" fillId="8" borderId="0" xfId="1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6" borderId="0" xfId="0" applyFill="1" applyAlignment="1">
      <alignment horizontal="left" vertical="top"/>
    </xf>
    <xf numFmtId="164" fontId="0" fillId="4" borderId="0" xfId="0" applyNumberFormat="1" applyFill="1" applyAlignment="1">
      <alignment horizontal="left" vertical="top"/>
    </xf>
    <xf numFmtId="0" fontId="0" fillId="8" borderId="0" xfId="0" applyFill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10" borderId="0" xfId="0" applyFill="1" applyAlignment="1">
      <alignment horizontal="left" vertical="top"/>
    </xf>
    <xf numFmtId="2" fontId="3" fillId="10" borderId="0" xfId="1" applyNumberFormat="1" applyFont="1" applyFill="1" applyAlignment="1">
      <alignment horizontal="center"/>
    </xf>
    <xf numFmtId="164" fontId="0" fillId="5" borderId="0" xfId="0" applyNumberFormat="1" applyFill="1" applyAlignment="1">
      <alignment horizontal="left" vertical="top"/>
    </xf>
    <xf numFmtId="164" fontId="3" fillId="11" borderId="0" xfId="1" applyNumberFormat="1" applyFont="1" applyFill="1" applyAlignment="1">
      <alignment horizontal="center"/>
    </xf>
    <xf numFmtId="0" fontId="0" fillId="12" borderId="0" xfId="0" applyFill="1" applyAlignment="1">
      <alignment horizontal="left" vertical="top"/>
    </xf>
    <xf numFmtId="164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3" fillId="5" borderId="0" xfId="1" applyNumberFormat="1" applyFont="1" applyFill="1" applyAlignment="1">
      <alignment horizontal="center"/>
    </xf>
    <xf numFmtId="2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left" vertical="top"/>
    </xf>
    <xf numFmtId="0" fontId="0" fillId="7" borderId="0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2" fontId="0" fillId="7" borderId="0" xfId="0" applyNumberFormat="1" applyFill="1" applyBorder="1" applyAlignment="1">
      <alignment horizontal="left"/>
    </xf>
    <xf numFmtId="0" fontId="0" fillId="7" borderId="0" xfId="0" applyFill="1" applyBorder="1"/>
    <xf numFmtId="0" fontId="15" fillId="0" borderId="0" xfId="5" applyFont="1"/>
    <xf numFmtId="0" fontId="16" fillId="2" borderId="0" xfId="2" applyFont="1" applyFill="1"/>
    <xf numFmtId="0" fontId="7" fillId="0" borderId="8" xfId="0" applyFont="1" applyFill="1" applyBorder="1" applyAlignment="1">
      <alignment horizontal="center" vertical="top" wrapText="1" readingOrder="1"/>
    </xf>
    <xf numFmtId="0" fontId="17" fillId="0" borderId="0" xfId="0" applyFont="1" applyAlignment="1">
      <alignment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9" fillId="2" borderId="0" xfId="2" applyFont="1" applyFill="1"/>
    <xf numFmtId="0" fontId="20" fillId="2" borderId="0" xfId="0" applyFont="1" applyFill="1"/>
    <xf numFmtId="0" fontId="21" fillId="0" borderId="0" xfId="5" applyFont="1"/>
    <xf numFmtId="0" fontId="22" fillId="0" borderId="0" xfId="0" applyFont="1"/>
    <xf numFmtId="2" fontId="5" fillId="14" borderId="0" xfId="1" applyNumberFormat="1" applyFont="1" applyFill="1" applyAlignment="1">
      <alignment horizontal="center"/>
    </xf>
    <xf numFmtId="2" fontId="4" fillId="0" borderId="0" xfId="2" applyNumberFormat="1" applyFont="1" applyAlignment="1">
      <alignment horizontal="center" vertical="top"/>
    </xf>
    <xf numFmtId="0" fontId="5" fillId="2" borderId="0" xfId="1" applyFont="1" applyFill="1" applyAlignment="1">
      <alignment horizontal="center"/>
    </xf>
    <xf numFmtId="0" fontId="5" fillId="15" borderId="0" xfId="1" applyFont="1" applyFill="1" applyAlignment="1">
      <alignment horizontal="center"/>
    </xf>
    <xf numFmtId="2" fontId="5" fillId="16" borderId="0" xfId="1" applyNumberFormat="1" applyFont="1" applyFill="1" applyAlignment="1">
      <alignment horizontal="center"/>
    </xf>
    <xf numFmtId="164" fontId="5" fillId="17" borderId="0" xfId="1" applyNumberFormat="1" applyFont="1" applyFill="1" applyAlignment="1">
      <alignment horizontal="center"/>
    </xf>
    <xf numFmtId="1" fontId="5" fillId="17" borderId="0" xfId="1" applyNumberFormat="1" applyFont="1" applyFill="1" applyAlignment="1">
      <alignment horizontal="center"/>
    </xf>
    <xf numFmtId="2" fontId="5" fillId="17" borderId="0" xfId="1" applyNumberFormat="1" applyFont="1" applyFill="1" applyAlignment="1">
      <alignment horizontal="center"/>
    </xf>
    <xf numFmtId="2" fontId="3" fillId="18" borderId="0" xfId="1" applyNumberFormat="1" applyFont="1" applyFill="1" applyAlignment="1">
      <alignment horizontal="center"/>
    </xf>
    <xf numFmtId="164" fontId="0" fillId="18" borderId="0" xfId="0" applyNumberForma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2" fontId="4" fillId="0" borderId="0" xfId="2" applyNumberFormat="1" applyFont="1"/>
    <xf numFmtId="0" fontId="20" fillId="0" borderId="0" xfId="0" applyFont="1"/>
    <xf numFmtId="0" fontId="19" fillId="0" borderId="0" xfId="2" applyFont="1"/>
    <xf numFmtId="0" fontId="5" fillId="14" borderId="0" xfId="1" applyFont="1" applyFill="1" applyAlignment="1">
      <alignment horizontal="center"/>
    </xf>
    <xf numFmtId="166" fontId="5" fillId="17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23" fillId="0" borderId="0" xfId="2" applyFont="1"/>
    <xf numFmtId="2" fontId="24" fillId="0" borderId="0" xfId="1" applyNumberFormat="1" applyFont="1" applyAlignment="1">
      <alignment horizontal="center"/>
    </xf>
    <xf numFmtId="1" fontId="4" fillId="0" borderId="0" xfId="2" applyNumberFormat="1" applyFont="1" applyAlignment="1">
      <alignment horizontal="left" vertical="top"/>
    </xf>
    <xf numFmtId="2" fontId="5" fillId="2" borderId="0" xfId="1" applyNumberFormat="1" applyFont="1" applyFill="1" applyAlignment="1">
      <alignment horizontal="center"/>
    </xf>
    <xf numFmtId="0" fontId="26" fillId="2" borderId="2" xfId="2" applyFont="1" applyFill="1" applyBorder="1"/>
    <xf numFmtId="0" fontId="26" fillId="2" borderId="11" xfId="2" applyFont="1" applyFill="1" applyBorder="1"/>
    <xf numFmtId="0" fontId="26" fillId="2" borderId="3" xfId="2" applyFont="1" applyFill="1" applyBorder="1" applyAlignment="1">
      <alignment horizontal="left"/>
    </xf>
    <xf numFmtId="0" fontId="26" fillId="2" borderId="4" xfId="2" applyFont="1" applyFill="1" applyBorder="1"/>
    <xf numFmtId="0" fontId="27" fillId="2" borderId="0" xfId="2" applyFont="1" applyFill="1" applyBorder="1"/>
    <xf numFmtId="2" fontId="25" fillId="2" borderId="5" xfId="0" applyNumberFormat="1" applyFont="1" applyFill="1" applyBorder="1" applyAlignment="1">
      <alignment horizontal="left" vertical="top"/>
    </xf>
    <xf numFmtId="0" fontId="25" fillId="2" borderId="5" xfId="0" applyFont="1" applyFill="1" applyBorder="1" applyAlignment="1">
      <alignment horizontal="left" vertical="top"/>
    </xf>
    <xf numFmtId="0" fontId="26" fillId="2" borderId="6" xfId="2" applyFont="1" applyFill="1" applyBorder="1"/>
    <xf numFmtId="0" fontId="27" fillId="2" borderId="12" xfId="2" applyFont="1" applyFill="1" applyBorder="1"/>
    <xf numFmtId="2" fontId="25" fillId="2" borderId="7" xfId="0" applyNumberFormat="1" applyFont="1" applyFill="1" applyBorder="1" applyAlignment="1">
      <alignment horizontal="left" vertical="top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000000"/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Seasonality Enhanced Exponential Smoothing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'4.Trend&amp;SeasIravanDavan'!$B$2</c:f>
              <c:strCache>
                <c:ptCount val="1"/>
                <c:pt idx="0">
                  <c:v>SeasData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'4.Trend&amp;SeasIravanDavan'!$A$4:$A$31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'4.Trend&amp;SeasIravanDavan'!$B$4:$B$31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'4.Trend&amp;SeasIravanDavan'!$F$2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'4.Trend&amp;SeasIravanDavan'!$A$4:$A$35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'4.Trend&amp;SeasIravanDavan'!$F$4:$F$35</c:f>
              <c:numCache>
                <c:formatCode>0.00</c:formatCode>
                <c:ptCount val="32"/>
                <c:pt idx="0">
                  <c:v>22.097587719298243</c:v>
                </c:pt>
                <c:pt idx="1">
                  <c:v>28.76398026315789</c:v>
                </c:pt>
                <c:pt idx="2">
                  <c:v>40.11024305555555</c:v>
                </c:pt>
                <c:pt idx="3">
                  <c:v>29.028988486842103</c:v>
                </c:pt>
                <c:pt idx="4">
                  <c:v>20.850571351071004</c:v>
                </c:pt>
                <c:pt idx="5">
                  <c:v>43.080436232833108</c:v>
                </c:pt>
                <c:pt idx="6">
                  <c:v>74.919622131866248</c:v>
                </c:pt>
                <c:pt idx="7">
                  <c:v>47.432975812688461</c:v>
                </c:pt>
                <c:pt idx="8">
                  <c:v>42.269979570679688</c:v>
                </c:pt>
                <c:pt idx="9">
                  <c:v>39.708169436234975</c:v>
                </c:pt>
                <c:pt idx="10">
                  <c:v>53.932234817800207</c:v>
                </c:pt>
                <c:pt idx="11">
                  <c:v>46.395566371920836</c:v>
                </c:pt>
                <c:pt idx="12">
                  <c:v>46.239645234886758</c:v>
                </c:pt>
                <c:pt idx="13">
                  <c:v>42.610839786370413</c:v>
                </c:pt>
                <c:pt idx="14">
                  <c:v>43.676266293905726</c:v>
                </c:pt>
                <c:pt idx="15">
                  <c:v>31.060880852401684</c:v>
                </c:pt>
                <c:pt idx="16">
                  <c:v>53.271400865048811</c:v>
                </c:pt>
                <c:pt idx="17">
                  <c:v>77.443480650396225</c:v>
                </c:pt>
                <c:pt idx="18">
                  <c:v>49.20343529090065</c:v>
                </c:pt>
                <c:pt idx="19">
                  <c:v>40.364150298753543</c:v>
                </c:pt>
                <c:pt idx="20">
                  <c:v>42.453065609798315</c:v>
                </c:pt>
                <c:pt idx="21">
                  <c:v>53.726248333289163</c:v>
                </c:pt>
                <c:pt idx="22">
                  <c:v>82.260727167368557</c:v>
                </c:pt>
                <c:pt idx="23">
                  <c:v>63.738344485543848</c:v>
                </c:pt>
                <c:pt idx="24">
                  <c:v>49.095613396694205</c:v>
                </c:pt>
                <c:pt idx="25">
                  <c:v>94.027599621540958</c:v>
                </c:pt>
                <c:pt idx="26">
                  <c:v>80.705077643142133</c:v>
                </c:pt>
                <c:pt idx="27">
                  <c:v>63.082572948735844</c:v>
                </c:pt>
                <c:pt idx="28">
                  <c:v>45.706649187670379</c:v>
                </c:pt>
                <c:pt idx="29">
                  <c:v>52.969247781056694</c:v>
                </c:pt>
                <c:pt idx="30">
                  <c:v>54.10341535193578</c:v>
                </c:pt>
                <c:pt idx="31">
                  <c:v>29.754077617714159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FD-4A18-BB69-5A16548D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'1.SeasRegChopraMineEvenp4WasDis'!$M$1</c:f>
          <c:strCache>
            <c:ptCount val="1"/>
            <c:pt idx="0">
              <c:v>Ft(TrSeasAdjExpSmoo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'1.SeasRegChopraMineEvenp4WasDis'!$B$1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'1.SeasRegChopraMineEvenp4WasDis'!$A$3:$A$30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'1.SeasRegChopraMineEvenp4WasDis'!$B$3:$B$30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1-414A-8401-A2662390A46A}"/>
            </c:ext>
          </c:extLst>
        </c:ser>
        <c:ser>
          <c:idx val="0"/>
          <c:order val="1"/>
          <c:tx>
            <c:strRef>
              <c:f>'1.SeasRegChopraMineEvenp4WasDis'!$M$1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'1.SeasRegChopraMineEvenp4WasDis'!$A$3:$A$34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'1.SeasRegChopraMineEvenp4WasDis'!$M$3:$M$34</c:f>
              <c:numCache>
                <c:formatCode>0.0000</c:formatCode>
                <c:ptCount val="32"/>
                <c:pt idx="0">
                  <c:v>27.474864240286269</c:v>
                </c:pt>
                <c:pt idx="1">
                  <c:v>28.288139956007932</c:v>
                </c:pt>
                <c:pt idx="2">
                  <c:v>39.467867736224356</c:v>
                </c:pt>
                <c:pt idx="3">
                  <c:v>29.025422245928031</c:v>
                </c:pt>
                <c:pt idx="4">
                  <c:v>39.166320987669884</c:v>
                </c:pt>
                <c:pt idx="5">
                  <c:v>50.494355728483796</c:v>
                </c:pt>
                <c:pt idx="6">
                  <c:v>48.503688650513396</c:v>
                </c:pt>
                <c:pt idx="7">
                  <c:v>36.059515722185495</c:v>
                </c:pt>
                <c:pt idx="8">
                  <c:v>43.159988147156476</c:v>
                </c:pt>
                <c:pt idx="9">
                  <c:v>56.496090736247808</c:v>
                </c:pt>
                <c:pt idx="10">
                  <c:v>57.538528577840019</c:v>
                </c:pt>
                <c:pt idx="11">
                  <c:v>32.967320179475976</c:v>
                </c:pt>
                <c:pt idx="12">
                  <c:v>36.016429930603891</c:v>
                </c:pt>
                <c:pt idx="13">
                  <c:v>56.425945147863494</c:v>
                </c:pt>
                <c:pt idx="14">
                  <c:v>51.389606808328857</c:v>
                </c:pt>
                <c:pt idx="15">
                  <c:v>47.093507445961507</c:v>
                </c:pt>
                <c:pt idx="16">
                  <c:v>45.076038526650223</c:v>
                </c:pt>
                <c:pt idx="17">
                  <c:v>46.229694916848203</c:v>
                </c:pt>
                <c:pt idx="18">
                  <c:v>60.430276632038364</c:v>
                </c:pt>
                <c:pt idx="19">
                  <c:v>50.080672125503462</c:v>
                </c:pt>
                <c:pt idx="20">
                  <c:v>39.960724091193839</c:v>
                </c:pt>
                <c:pt idx="21">
                  <c:v>74.514883020433416</c:v>
                </c:pt>
                <c:pt idx="22">
                  <c:v>76.556801125692857</c:v>
                </c:pt>
                <c:pt idx="23">
                  <c:v>57.115896503667166</c:v>
                </c:pt>
                <c:pt idx="24">
                  <c:v>61.169105618276788</c:v>
                </c:pt>
                <c:pt idx="25">
                  <c:v>72.414126072113618</c:v>
                </c:pt>
                <c:pt idx="26">
                  <c:v>85.590886771920296</c:v>
                </c:pt>
                <c:pt idx="27">
                  <c:v>42.885005315405451</c:v>
                </c:pt>
                <c:pt idx="28" formatCode="0.00">
                  <c:v>44.712658799175117</c:v>
                </c:pt>
                <c:pt idx="29" formatCode="0.00">
                  <c:v>59.475526622835929</c:v>
                </c:pt>
                <c:pt idx="30" formatCode="0.00">
                  <c:v>64.433404061044953</c:v>
                </c:pt>
                <c:pt idx="31" formatCode="0.00">
                  <c:v>45.540021261621796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1-414A-8401-A2662390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'1.SeasRegChopraMineEvenp4WasDis'!$I$1</c:f>
          <c:strCache>
            <c:ptCount val="1"/>
            <c:pt idx="0">
              <c:v>Ft (Stat.Reg)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'1.SeasRegChopraMineEvenp4WasDis'!$B$1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'1.SeasRegChopraMineEvenp4WasDis'!$A$3:$A$30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'1.SeasRegChopraMineEvenp4WasDis'!$B$3:$B$30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1-4943-962B-C73F926DA4D0}"/>
            </c:ext>
          </c:extLst>
        </c:ser>
        <c:ser>
          <c:idx val="0"/>
          <c:order val="1"/>
          <c:tx>
            <c:strRef>
              <c:f>'1.SeasRegChopraMineEvenp4WasDis'!$M$1</c:f>
              <c:strCache>
                <c:ptCount val="1"/>
                <c:pt idx="0">
                  <c:v>Ft(TrSeasAdjExpSmoo</c:v>
                </c:pt>
              </c:strCache>
            </c:strRef>
          </c:tx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'1.SeasRegChopraMineEvenp4WasDis'!$A$3:$A$34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'1.SeasRegChopraMineEvenp4WasDis'!$I$3:$I$34</c:f>
              <c:numCache>
                <c:formatCode>0.00</c:formatCode>
                <c:ptCount val="32"/>
                <c:pt idx="0">
                  <c:v>27.474864240286269</c:v>
                </c:pt>
                <c:pt idx="1">
                  <c:v>37.222571176867334</c:v>
                </c:pt>
                <c:pt idx="2">
                  <c:v>41.029053287233381</c:v>
                </c:pt>
                <c:pt idx="3">
                  <c:v>29.476340867545851</c:v>
                </c:pt>
                <c:pt idx="4">
                  <c:v>31.818445307733892</c:v>
                </c:pt>
                <c:pt idx="5">
                  <c:v>42.88345899062093</c:v>
                </c:pt>
                <c:pt idx="6">
                  <c:v>47.040288633420154</c:v>
                </c:pt>
                <c:pt idx="7">
                  <c:v>33.642375770592636</c:v>
                </c:pt>
                <c:pt idx="8">
                  <c:v>36.162026375181505</c:v>
                </c:pt>
                <c:pt idx="9">
                  <c:v>48.544346804374527</c:v>
                </c:pt>
                <c:pt idx="10">
                  <c:v>53.051523979606927</c:v>
                </c:pt>
                <c:pt idx="11">
                  <c:v>37.808410673639422</c:v>
                </c:pt>
                <c:pt idx="12">
                  <c:v>40.505607442629127</c:v>
                </c:pt>
                <c:pt idx="13">
                  <c:v>54.205234618128138</c:v>
                </c:pt>
                <c:pt idx="14">
                  <c:v>59.062759325793706</c:v>
                </c:pt>
                <c:pt idx="15">
                  <c:v>41.974445576686215</c:v>
                </c:pt>
                <c:pt idx="16">
                  <c:v>44.849188510076743</c:v>
                </c:pt>
                <c:pt idx="17">
                  <c:v>59.866122431881735</c:v>
                </c:pt>
                <c:pt idx="18">
                  <c:v>65.073994671980486</c:v>
                </c:pt>
                <c:pt idx="19">
                  <c:v>46.140480479733</c:v>
                </c:pt>
                <c:pt idx="20">
                  <c:v>49.192769577524359</c:v>
                </c:pt>
                <c:pt idx="21">
                  <c:v>65.527010245635324</c:v>
                </c:pt>
                <c:pt idx="22">
                  <c:v>71.085230018167252</c:v>
                </c:pt>
                <c:pt idx="23">
                  <c:v>50.306515382779793</c:v>
                </c:pt>
                <c:pt idx="24">
                  <c:v>53.536350644971975</c:v>
                </c:pt>
                <c:pt idx="25">
                  <c:v>71.187898059388928</c:v>
                </c:pt>
                <c:pt idx="26">
                  <c:v>77.096465364354017</c:v>
                </c:pt>
                <c:pt idx="27">
                  <c:v>54.472550285826571</c:v>
                </c:pt>
                <c:pt idx="28">
                  <c:v>57.879931712419591</c:v>
                </c:pt>
                <c:pt idx="29">
                  <c:v>76.848785873142532</c:v>
                </c:pt>
                <c:pt idx="30">
                  <c:v>83.107700710540811</c:v>
                </c:pt>
                <c:pt idx="31">
                  <c:v>58.638585188873371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1-4943-962B-C73F926DA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474082</xdr:colOff>
      <xdr:row>7</xdr:row>
      <xdr:rowOff>81320</xdr:rowOff>
    </xdr:from>
    <xdr:to>
      <xdr:col>12</xdr:col>
      <xdr:colOff>515937</xdr:colOff>
      <xdr:row>23</xdr:row>
      <xdr:rowOff>138906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823121</xdr:colOff>
          <xdr:row>7</xdr:row>
          <xdr:rowOff>38893</xdr:rowOff>
        </xdr:from>
        <xdr:to>
          <xdr:col>17</xdr:col>
          <xdr:colOff>597298</xdr:colOff>
          <xdr:row>23</xdr:row>
          <xdr:rowOff>109140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220612</xdr:colOff>
      <xdr:row>5</xdr:row>
      <xdr:rowOff>164533</xdr:rowOff>
    </xdr:from>
    <xdr:to>
      <xdr:col>21</xdr:col>
      <xdr:colOff>442426</xdr:colOff>
      <xdr:row>21</xdr:row>
      <xdr:rowOff>38746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444500</xdr:colOff>
      <xdr:row>17</xdr:row>
      <xdr:rowOff>190500</xdr:rowOff>
    </xdr:from>
    <xdr:to>
      <xdr:col>28</xdr:col>
      <xdr:colOff>234515</xdr:colOff>
      <xdr:row>33</xdr:row>
      <xdr:rowOff>35080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9L7PgZBdsWE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Presentation.ppt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youtu.be/tq2U_I7b4KQ" TargetMode="External"/><Relationship Id="rId1" Type="http://schemas.openxmlformats.org/officeDocument/2006/relationships/hyperlink" Target="https://youtu.be/9L7PgZBds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sheetPr>
    <tabColor rgb="FFFFFF00"/>
  </sheetPr>
  <dimension ref="A1:BH300"/>
  <sheetViews>
    <sheetView tabSelected="1" zoomScale="96" zoomScaleNormal="96" workbookViewId="0">
      <selection activeCell="K34" sqref="K34"/>
    </sheetView>
  </sheetViews>
  <sheetFormatPr defaultColWidth="9.140625" defaultRowHeight="15" x14ac:dyDescent="0.25"/>
  <cols>
    <col min="1" max="1" width="4.5703125" style="6" bestFit="1" customWidth="1"/>
    <col min="2" max="2" width="11.140625" style="6" customWidth="1"/>
    <col min="3" max="4" width="9.7109375" style="6" customWidth="1"/>
    <col min="5" max="5" width="11" style="6" bestFit="1" customWidth="1"/>
    <col min="6" max="6" width="12.42578125" style="6" bestFit="1" customWidth="1"/>
    <col min="7" max="8" width="9.7109375" style="6" customWidth="1"/>
    <col min="9" max="9" width="9.140625" style="6"/>
    <col min="10" max="10" width="4" style="6" customWidth="1"/>
    <col min="11" max="11" width="32.28515625" style="6" bestFit="1" customWidth="1"/>
    <col min="12" max="12" width="46.5703125" style="6" bestFit="1" customWidth="1"/>
    <col min="13" max="13" width="33.5703125" style="6" bestFit="1" customWidth="1"/>
    <col min="14" max="14" width="31.42578125" bestFit="1" customWidth="1"/>
    <col min="15" max="15" width="10" style="6" bestFit="1" customWidth="1"/>
    <col min="16" max="16" width="9.28515625" style="6" bestFit="1" customWidth="1"/>
    <col min="17" max="17" width="10.42578125" style="6" bestFit="1" customWidth="1"/>
    <col min="18" max="18" width="9.28515625" style="6" bestFit="1" customWidth="1"/>
    <col min="19" max="20" width="9.140625" style="6"/>
    <col min="21" max="21" width="9.28515625" style="6" bestFit="1" customWidth="1"/>
    <col min="22" max="32" width="9.140625" style="6"/>
    <col min="33" max="33" width="9.140625" style="6" customWidth="1"/>
    <col min="34" max="36" width="9.140625" style="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6"/>
  </cols>
  <sheetData>
    <row r="1" spans="1:60" ht="21.75" thickBot="1" x14ac:dyDescent="0.4">
      <c r="K1" s="96" t="s">
        <v>59</v>
      </c>
      <c r="L1" s="95" t="s">
        <v>60</v>
      </c>
      <c r="O1" s="127" t="s">
        <v>5</v>
      </c>
      <c r="P1" s="128" t="s">
        <v>24</v>
      </c>
      <c r="Q1" s="129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5" t="s">
        <v>2</v>
      </c>
      <c r="B2" s="16" t="s">
        <v>93</v>
      </c>
      <c r="C2" s="10" t="s">
        <v>4</v>
      </c>
      <c r="D2" s="10" t="s">
        <v>3</v>
      </c>
      <c r="E2" s="10" t="s">
        <v>9</v>
      </c>
      <c r="F2" s="1" t="s">
        <v>6</v>
      </c>
      <c r="G2" s="1" t="s">
        <v>1</v>
      </c>
      <c r="H2" s="1" t="s">
        <v>7</v>
      </c>
      <c r="I2" s="1" t="s">
        <v>8</v>
      </c>
      <c r="J2" s="6"/>
      <c r="K2" s="6"/>
      <c r="L2" s="6"/>
      <c r="M2" s="6"/>
      <c r="O2" s="130" t="s">
        <v>22</v>
      </c>
      <c r="P2" s="131" t="s">
        <v>23</v>
      </c>
      <c r="Q2" s="132">
        <v>0.5</v>
      </c>
      <c r="R2" s="6"/>
      <c r="S2" s="6"/>
    </row>
    <row r="3" spans="1:60" customFormat="1" ht="16.5" x14ac:dyDescent="0.3">
      <c r="A3" s="10">
        <v>0</v>
      </c>
      <c r="B3" s="7"/>
      <c r="C3" s="73">
        <f>AVERAGE(B4:B7)</f>
        <v>28.5</v>
      </c>
      <c r="D3" s="74">
        <f>(AVERAGE(B28:B31)-AVERAGE(B4:B7))/(COUNT(B4:B31)-Q1)</f>
        <v>1.4895833333333333</v>
      </c>
      <c r="E3" s="17"/>
      <c r="F3" s="9"/>
      <c r="G3" s="9"/>
      <c r="H3" s="9"/>
      <c r="I3" s="9"/>
      <c r="J3" s="1"/>
      <c r="K3" s="77" t="str">
        <f ca="1">_xlfn.FORMULATEXT(C3)</f>
        <v>=AVERAGE(B4:B7)</v>
      </c>
      <c r="L3" s="79" t="str">
        <f ca="1">_xlfn.FORMULATEXT(D3)</f>
        <v>=(AVERAGE(B28:B31)-AVERAGE(B4:B7))/(COUNT(B4:B31)-Q1)</v>
      </c>
      <c r="M3" s="21"/>
      <c r="O3" s="130" t="s">
        <v>20</v>
      </c>
      <c r="P3" s="131" t="s">
        <v>25</v>
      </c>
      <c r="Q3" s="133">
        <v>0.5</v>
      </c>
      <c r="R3" s="6"/>
      <c r="S3" s="6"/>
      <c r="AH3" s="6"/>
      <c r="AI3" s="6"/>
      <c r="AJ3" s="6"/>
      <c r="BD3" s="6"/>
      <c r="BE3" s="6"/>
      <c r="BF3" s="6"/>
      <c r="BG3" s="6"/>
      <c r="BH3" s="6"/>
    </row>
    <row r="4" spans="1:60" customFormat="1" ht="17.25" thickBot="1" x14ac:dyDescent="0.35">
      <c r="A4" s="8">
        <v>1</v>
      </c>
      <c r="B4" s="19">
        <v>21</v>
      </c>
      <c r="C4" s="82">
        <f>(1-$Q$2)*SUM(C3:D3)+$Q$2*B4/E4</f>
        <v>29.244791666666664</v>
      </c>
      <c r="D4" s="84">
        <f>(1-$Q$3)*D3+$Q$3*(C4-C3)</f>
        <v>1.1171874999999987</v>
      </c>
      <c r="E4" s="87">
        <f>B4/AVERAGE($B$4:$B$7)</f>
        <v>0.73684210526315785</v>
      </c>
      <c r="F4" s="76">
        <f>SUM(C3:D3)*E4</f>
        <v>22.097587719298243</v>
      </c>
      <c r="G4" s="12">
        <f t="shared" ref="G4:G31" si="0">B4-F4</f>
        <v>-1.0975877192982431</v>
      </c>
      <c r="H4" s="12">
        <f>G4^2</f>
        <v>1.2046988015543187</v>
      </c>
      <c r="I4" s="12">
        <f>AVERAGE(H4:H$4)</f>
        <v>1.2046988015543187</v>
      </c>
      <c r="J4" s="23"/>
      <c r="K4" s="81" t="str">
        <f ca="1">_xlfn.FORMULATEXT(C4)</f>
        <v>=(1-$Q$2)*SUM(C3:D3)+$Q$2*B4/E4</v>
      </c>
      <c r="L4" s="85" t="str">
        <f ca="1">_xlfn.FORMULATEXT(D4)</f>
        <v>=(1-$Q$3)*D3+$Q$3*(C4-C3)</v>
      </c>
      <c r="M4" s="86" t="str">
        <f ca="1">_xlfn.FORMULATEXT(E4)</f>
        <v>=B4/AVERAGE($B$4:$B$7)</v>
      </c>
      <c r="O4" s="134" t="s">
        <v>21</v>
      </c>
      <c r="P4" s="135" t="s">
        <v>26</v>
      </c>
      <c r="Q4" s="136">
        <v>0.5</v>
      </c>
      <c r="R4" s="6"/>
      <c r="S4" s="6"/>
      <c r="AH4" s="6"/>
      <c r="AI4" s="6"/>
      <c r="AJ4" s="6"/>
      <c r="BD4" s="6"/>
      <c r="BE4" s="6"/>
      <c r="BF4" s="6"/>
      <c r="BG4" s="6"/>
      <c r="BH4" s="6"/>
    </row>
    <row r="5" spans="1:60" customFormat="1" ht="16.5" x14ac:dyDescent="0.3">
      <c r="A5" s="8">
        <v>2</v>
      </c>
      <c r="B5" s="19">
        <v>27</v>
      </c>
      <c r="C5" s="18">
        <f>(1-$Q$2)*SUM(C4:D4)+$Q$2*B5/E5</f>
        <v>29.430989583333332</v>
      </c>
      <c r="D5" s="22">
        <f>(1-$Q$3)*D4+$Q$3*(C5-C4)</f>
        <v>0.65169270833333326</v>
      </c>
      <c r="E5" s="87">
        <f t="shared" ref="E5:E7" si="1">B5/AVERAGE($B$4:$B$7)</f>
        <v>0.94736842105263153</v>
      </c>
      <c r="F5" s="76">
        <f t="shared" ref="F5:F31" si="2">SUM(C4:D4)*E5</f>
        <v>28.76398026315789</v>
      </c>
      <c r="G5" s="12">
        <f t="shared" si="0"/>
        <v>-1.7639802631578902</v>
      </c>
      <c r="H5" s="12">
        <f t="shared" ref="H5:H31" si="3">G5^2</f>
        <v>3.1116263688105796</v>
      </c>
      <c r="I5" s="12">
        <f>AVERAGE(H$4:H5)</f>
        <v>2.1581625851824491</v>
      </c>
      <c r="J5" s="23"/>
      <c r="K5" s="80"/>
      <c r="L5" s="80"/>
      <c r="M5" s="86" t="str">
        <f t="shared" ref="M5:M8" ca="1" si="4">_xlfn.FORMULATEXT(E5)</f>
        <v>=B5/AVERAGE($B$4:$B$7)</v>
      </c>
      <c r="O5" s="23"/>
      <c r="AH5" s="6"/>
      <c r="AI5" s="6"/>
      <c r="AJ5" s="6"/>
      <c r="BD5" s="6"/>
      <c r="BE5" s="6"/>
      <c r="BF5" s="6"/>
      <c r="BG5" s="6"/>
      <c r="BH5" s="6"/>
    </row>
    <row r="6" spans="1:60" customFormat="1" ht="16.5" x14ac:dyDescent="0.3">
      <c r="A6" s="8">
        <v>3</v>
      </c>
      <c r="B6" s="19">
        <v>38</v>
      </c>
      <c r="C6" s="18">
        <f t="shared" ref="C6:C8" si="5">(1-$Q$2)*SUM(C5:D5)+$Q$2*B6/E6</f>
        <v>29.291341145833332</v>
      </c>
      <c r="D6" s="22">
        <f t="shared" ref="D6:D8" si="6">(1-$Q$3)*D5+$Q$3*(C6-C5)</f>
        <v>0.25602213541666663</v>
      </c>
      <c r="E6" s="87">
        <f t="shared" si="1"/>
        <v>1.3333333333333333</v>
      </c>
      <c r="F6" s="76">
        <f t="shared" si="2"/>
        <v>40.11024305555555</v>
      </c>
      <c r="G6" s="12">
        <f t="shared" si="0"/>
        <v>-2.11024305555555</v>
      </c>
      <c r="H6" s="12">
        <f t="shared" si="3"/>
        <v>4.4531257535204238</v>
      </c>
      <c r="I6" s="12">
        <f>AVERAGE(H$4:H6)</f>
        <v>2.9231503079617744</v>
      </c>
      <c r="J6" s="23"/>
      <c r="K6" s="80"/>
      <c r="L6" s="80"/>
      <c r="M6" s="86" t="str">
        <f t="shared" ca="1" si="4"/>
        <v>=B6/AVERAGE($B$4:$B$7)</v>
      </c>
      <c r="O6" s="23"/>
      <c r="AH6" s="6"/>
      <c r="AI6" s="6"/>
      <c r="AJ6" s="6"/>
      <c r="BD6" s="6"/>
      <c r="BE6" s="6"/>
      <c r="BF6" s="6"/>
      <c r="BG6" s="6"/>
      <c r="BH6" s="6"/>
    </row>
    <row r="7" spans="1:60" customFormat="1" ht="16.5" x14ac:dyDescent="0.3">
      <c r="A7" s="8">
        <v>4</v>
      </c>
      <c r="B7" s="19">
        <v>28</v>
      </c>
      <c r="C7" s="18">
        <f t="shared" si="5"/>
        <v>29.023681640625</v>
      </c>
      <c r="D7" s="22">
        <f t="shared" si="6"/>
        <v>-5.8186848958327597E-3</v>
      </c>
      <c r="E7" s="87">
        <f t="shared" si="1"/>
        <v>0.98245614035087714</v>
      </c>
      <c r="F7" s="76">
        <f t="shared" si="2"/>
        <v>29.028988486842103</v>
      </c>
      <c r="G7" s="12">
        <f t="shared" si="0"/>
        <v>-1.0289884868421026</v>
      </c>
      <c r="H7" s="12">
        <f t="shared" si="3"/>
        <v>1.0588173060536001</v>
      </c>
      <c r="I7" s="12">
        <f>AVERAGE(H$4:H7)</f>
        <v>2.4570670574847306</v>
      </c>
      <c r="K7" s="21"/>
      <c r="L7" s="21"/>
      <c r="M7" s="86" t="str">
        <f t="shared" ca="1" si="4"/>
        <v>=B7/AVERAGE($B$4:$B$7)</v>
      </c>
      <c r="AH7" s="6"/>
      <c r="AI7" s="6"/>
      <c r="AJ7" s="6"/>
      <c r="BD7" s="6"/>
      <c r="BE7" s="6"/>
      <c r="BF7" s="6"/>
      <c r="BG7" s="6"/>
      <c r="BH7" s="6"/>
    </row>
    <row r="8" spans="1:60" customFormat="1" ht="16.5" x14ac:dyDescent="0.3">
      <c r="A8" s="8">
        <v>5</v>
      </c>
      <c r="B8" s="19">
        <v>38</v>
      </c>
      <c r="C8" s="18">
        <f t="shared" si="5"/>
        <v>40.951343384746657</v>
      </c>
      <c r="D8" s="22">
        <f t="shared" si="6"/>
        <v>5.9609215296129126</v>
      </c>
      <c r="E8" s="75">
        <f>(1-$Q$4)*E4+$Q$4*B4/SUM(C3:D3)</f>
        <v>0.71854262262115864</v>
      </c>
      <c r="F8" s="76">
        <f t="shared" si="2"/>
        <v>20.850571351071004</v>
      </c>
      <c r="G8" s="12">
        <f t="shared" si="0"/>
        <v>17.149428648928996</v>
      </c>
      <c r="H8" s="12">
        <f t="shared" si="3"/>
        <v>294.10290298470659</v>
      </c>
      <c r="I8" s="12">
        <f>AVERAGE(H$4:H8)</f>
        <v>60.786234242929105</v>
      </c>
      <c r="K8" s="21"/>
      <c r="L8" s="21"/>
      <c r="M8" s="78" t="str">
        <f t="shared" ca="1" si="4"/>
        <v>=(1-$Q$4)*E4+$Q$4*B4/SUM(C3:D3)</v>
      </c>
      <c r="AH8" s="6"/>
      <c r="AI8" s="6"/>
      <c r="AJ8" s="6"/>
      <c r="BD8" s="6"/>
      <c r="BE8" s="6"/>
      <c r="BF8" s="6"/>
      <c r="BG8" s="6"/>
      <c r="BH8" s="6"/>
    </row>
    <row r="9" spans="1:60" customFormat="1" ht="16.5" x14ac:dyDescent="0.3">
      <c r="A9" s="8">
        <v>6</v>
      </c>
      <c r="B9" s="19">
        <v>49</v>
      </c>
      <c r="C9" s="18">
        <f t="shared" ref="C9" si="7">(1-$Q$2)*SUM(C8:D8)+$Q$2*B9/E9</f>
        <v>50.135307296311268</v>
      </c>
      <c r="D9" s="22">
        <f t="shared" ref="D9" si="8">(1-$Q$3)*D8+$Q$3*(C9-C8)</f>
        <v>7.5724427205887617</v>
      </c>
      <c r="E9" s="76">
        <f>(1-$Q$4)*E5+$Q$4*B5/SUM(C4:D4)</f>
        <v>0.91831925641361312</v>
      </c>
      <c r="F9" s="76">
        <f t="shared" si="2"/>
        <v>43.080436232833108</v>
      </c>
      <c r="G9" s="12">
        <f t="shared" si="0"/>
        <v>5.9195637671668919</v>
      </c>
      <c r="H9" s="12">
        <f t="shared" si="3"/>
        <v>35.041235193555082</v>
      </c>
      <c r="I9" s="12">
        <f>AVERAGE(H$4:H9)</f>
        <v>56.495401068033438</v>
      </c>
      <c r="K9" s="21"/>
      <c r="L9" s="21"/>
      <c r="M9" s="21"/>
      <c r="AH9" s="6"/>
      <c r="AI9" s="6"/>
      <c r="AJ9" s="6"/>
      <c r="BD9" s="6"/>
      <c r="BE9" s="6"/>
      <c r="BF9" s="6"/>
      <c r="BG9" s="6"/>
      <c r="BH9" s="6"/>
    </row>
    <row r="10" spans="1:60" customFormat="1" ht="16.5" x14ac:dyDescent="0.3">
      <c r="A10" s="8">
        <v>7</v>
      </c>
      <c r="B10" s="19">
        <v>47</v>
      </c>
      <c r="C10" s="18">
        <f t="shared" ref="C10:C31" si="9">(1-$Q$2)*SUM(C9:D9)+$Q$2*B10/E10</f>
        <v>46.955035783263035</v>
      </c>
      <c r="D10" s="22">
        <f t="shared" ref="D10:D31" si="10">(1-$Q$3)*D9+$Q$3*(C10-C9)</f>
        <v>2.1960856037702645</v>
      </c>
      <c r="E10" s="76">
        <f t="shared" ref="E10:E35" si="11">(1-$Q$4)*E6+$Q$4*B6/SUM(C5:D5)</f>
        <v>1.2982592825040939</v>
      </c>
      <c r="F10" s="76">
        <f t="shared" si="2"/>
        <v>74.919622131866248</v>
      </c>
      <c r="G10" s="12">
        <f t="shared" si="0"/>
        <v>-27.919622131866248</v>
      </c>
      <c r="H10" s="12">
        <f t="shared" si="3"/>
        <v>779.50529998619561</v>
      </c>
      <c r="I10" s="12">
        <f>AVERAGE(H$4:H10)</f>
        <v>159.78252948491374</v>
      </c>
      <c r="K10" s="21"/>
      <c r="L10" s="21"/>
      <c r="M10" s="21"/>
      <c r="AH10" s="6"/>
      <c r="AI10" s="6"/>
      <c r="AJ10" s="6"/>
      <c r="BD10" s="6"/>
      <c r="BE10" s="6"/>
      <c r="BF10" s="6"/>
      <c r="BG10" s="6"/>
      <c r="BH10" s="6"/>
    </row>
    <row r="11" spans="1:60" customFormat="1" ht="16.5" x14ac:dyDescent="0.3">
      <c r="A11" s="8">
        <v>8</v>
      </c>
      <c r="B11" s="19">
        <v>35</v>
      </c>
      <c r="C11" s="18">
        <f t="shared" si="9"/>
        <v>42.709456143588568</v>
      </c>
      <c r="D11" s="22">
        <f t="shared" si="10"/>
        <v>-1.0247470179521014</v>
      </c>
      <c r="E11" s="76">
        <f t="shared" si="11"/>
        <v>0.96504361394289351</v>
      </c>
      <c r="F11" s="76">
        <f t="shared" si="2"/>
        <v>47.432975812688461</v>
      </c>
      <c r="G11" s="12">
        <f t="shared" si="0"/>
        <v>-12.432975812688461</v>
      </c>
      <c r="H11" s="12">
        <f t="shared" si="3"/>
        <v>154.5788875588963</v>
      </c>
      <c r="I11" s="12">
        <f>AVERAGE(H$4:H11)</f>
        <v>159.13207424416154</v>
      </c>
      <c r="K11" s="21"/>
      <c r="L11" s="21"/>
      <c r="M11" s="21"/>
      <c r="AH11" s="6"/>
      <c r="AI11" s="6"/>
      <c r="AJ11" s="6"/>
      <c r="BD11" s="6"/>
      <c r="BE11" s="6"/>
      <c r="BF11" s="6"/>
      <c r="BG11" s="6"/>
      <c r="BH11" s="6"/>
    </row>
    <row r="12" spans="1:60" customFormat="1" ht="16.5" x14ac:dyDescent="0.3">
      <c r="A12" s="8">
        <v>9</v>
      </c>
      <c r="B12" s="19">
        <v>42</v>
      </c>
      <c r="C12" s="18">
        <f t="shared" si="9"/>
        <v>41.551588409847746</v>
      </c>
      <c r="D12" s="22">
        <f t="shared" si="10"/>
        <v>-1.091307375846462</v>
      </c>
      <c r="E12" s="76">
        <f t="shared" si="11"/>
        <v>1.0140404109161283</v>
      </c>
      <c r="F12" s="76">
        <f t="shared" si="2"/>
        <v>42.269979570679688</v>
      </c>
      <c r="G12" s="12">
        <f t="shared" si="0"/>
        <v>-0.2699795706796877</v>
      </c>
      <c r="H12" s="12">
        <f t="shared" si="3"/>
        <v>7.288896858438848E-2</v>
      </c>
      <c r="I12" s="12">
        <f>AVERAGE(H$4:H12)</f>
        <v>141.4588314357641</v>
      </c>
      <c r="K12" s="21"/>
      <c r="L12" s="21"/>
      <c r="M12" s="21"/>
      <c r="AH12" s="6"/>
      <c r="AI12" s="6"/>
      <c r="AJ12" s="6"/>
      <c r="BD12" s="6"/>
      <c r="BE12" s="6"/>
      <c r="BF12" s="6"/>
      <c r="BG12" s="6"/>
      <c r="BH12" s="6"/>
    </row>
    <row r="13" spans="1:60" customFormat="1" ht="16.5" x14ac:dyDescent="0.3">
      <c r="A13" s="8">
        <v>10</v>
      </c>
      <c r="B13" s="19">
        <v>55</v>
      </c>
      <c r="C13" s="18">
        <f t="shared" si="9"/>
        <v>48.251017435585041</v>
      </c>
      <c r="D13" s="22">
        <f t="shared" si="10"/>
        <v>2.8040608249454166</v>
      </c>
      <c r="E13" s="76">
        <f t="shared" si="11"/>
        <v>0.98141111286067784</v>
      </c>
      <c r="F13" s="76">
        <f t="shared" si="2"/>
        <v>39.708169436234975</v>
      </c>
      <c r="G13" s="12">
        <f t="shared" si="0"/>
        <v>15.291830563765025</v>
      </c>
      <c r="H13" s="12">
        <f t="shared" si="3"/>
        <v>233.84008199089817</v>
      </c>
      <c r="I13" s="12">
        <f>AVERAGE(H$4:H13)</f>
        <v>150.69695649127749</v>
      </c>
      <c r="K13" s="21"/>
      <c r="L13" s="21"/>
      <c r="M13" s="21"/>
      <c r="AH13" s="6"/>
      <c r="AI13" s="6"/>
      <c r="AJ13" s="6"/>
      <c r="BD13" s="6"/>
      <c r="BE13" s="6"/>
      <c r="BF13" s="6"/>
      <c r="BG13" s="6"/>
      <c r="BH13" s="6"/>
    </row>
    <row r="14" spans="1:60" customFormat="1" ht="16.5" x14ac:dyDescent="0.3">
      <c r="A14" s="8">
        <v>11</v>
      </c>
      <c r="B14" s="19">
        <v>56</v>
      </c>
      <c r="C14" s="18">
        <f t="shared" si="9"/>
        <v>52.033805672422972</v>
      </c>
      <c r="D14" s="22">
        <f t="shared" si="10"/>
        <v>3.2934245308916736</v>
      </c>
      <c r="E14" s="76">
        <f t="shared" si="11"/>
        <v>1.0563539740863352</v>
      </c>
      <c r="F14" s="76">
        <f t="shared" si="2"/>
        <v>53.932234817800207</v>
      </c>
      <c r="G14" s="12">
        <f t="shared" si="0"/>
        <v>2.0677651821997927</v>
      </c>
      <c r="H14" s="12">
        <f t="shared" si="3"/>
        <v>4.2756528487177414</v>
      </c>
      <c r="I14" s="12">
        <f>AVERAGE(H$4:H14)</f>
        <v>137.38592888740843</v>
      </c>
      <c r="AH14" s="6"/>
      <c r="AI14" s="6"/>
      <c r="AJ14" s="6"/>
      <c r="BD14" s="6"/>
      <c r="BE14" s="6"/>
      <c r="BF14" s="6"/>
      <c r="BG14" s="6"/>
      <c r="BH14" s="6"/>
    </row>
    <row r="15" spans="1:60" customFormat="1" ht="16.5" x14ac:dyDescent="0.3">
      <c r="A15" s="8">
        <v>12</v>
      </c>
      <c r="B15" s="19">
        <v>32</v>
      </c>
      <c r="C15" s="18">
        <f t="shared" si="9"/>
        <v>46.743793499668854</v>
      </c>
      <c r="D15" s="22">
        <f t="shared" si="10"/>
        <v>-0.99829382093122199</v>
      </c>
      <c r="E15" s="76">
        <f t="shared" si="11"/>
        <v>0.83856658288202701</v>
      </c>
      <c r="F15" s="76">
        <f t="shared" si="2"/>
        <v>46.395566371920836</v>
      </c>
      <c r="G15" s="12">
        <f t="shared" si="0"/>
        <v>-14.395566371920836</v>
      </c>
      <c r="H15" s="12">
        <f t="shared" si="3"/>
        <v>207.23233116837801</v>
      </c>
      <c r="I15" s="12">
        <f>AVERAGE(H$4:H15)</f>
        <v>143.20646241082258</v>
      </c>
      <c r="AH15" s="6"/>
      <c r="AI15" s="6"/>
      <c r="AJ15" s="6"/>
      <c r="BD15" s="6"/>
      <c r="BE15" s="6"/>
      <c r="BF15" s="6"/>
      <c r="BG15" s="6"/>
      <c r="BH15" s="6"/>
    </row>
    <row r="16" spans="1:60" customFormat="1" ht="16.5" x14ac:dyDescent="0.3">
      <c r="A16" s="8">
        <v>13</v>
      </c>
      <c r="B16" s="19">
        <v>35</v>
      </c>
      <c r="C16" s="18">
        <f t="shared" si="9"/>
        <v>40.185733974764275</v>
      </c>
      <c r="D16" s="22">
        <f t="shared" si="10"/>
        <v>-3.7781766729179003</v>
      </c>
      <c r="E16" s="76">
        <f t="shared" si="11"/>
        <v>1.0108020583362172</v>
      </c>
      <c r="F16" s="76">
        <f t="shared" si="2"/>
        <v>46.239645234886758</v>
      </c>
      <c r="G16" s="12">
        <f t="shared" si="0"/>
        <v>-11.239645234886758</v>
      </c>
      <c r="H16" s="12">
        <f t="shared" si="3"/>
        <v>126.32962500611261</v>
      </c>
      <c r="I16" s="12">
        <f>AVERAGE(H$4:H16)</f>
        <v>141.9082441489218</v>
      </c>
      <c r="AH16" s="6"/>
      <c r="AI16" s="6"/>
      <c r="AJ16" s="6"/>
      <c r="BD16" s="6"/>
      <c r="BE16" s="6"/>
      <c r="BF16" s="6"/>
      <c r="BG16" s="6"/>
      <c r="BH16" s="6"/>
    </row>
    <row r="17" spans="1:60" customFormat="1" ht="16.5" x14ac:dyDescent="0.3">
      <c r="A17" s="8">
        <v>14</v>
      </c>
      <c r="B17" s="19">
        <v>55</v>
      </c>
      <c r="C17" s="18">
        <f t="shared" si="9"/>
        <v>41.700330955931349</v>
      </c>
      <c r="D17" s="22">
        <f t="shared" si="10"/>
        <v>-1.1317898458754132</v>
      </c>
      <c r="E17" s="76">
        <f t="shared" si="11"/>
        <v>1.1703844735611924</v>
      </c>
      <c r="F17" s="76">
        <f t="shared" si="2"/>
        <v>42.610839786370413</v>
      </c>
      <c r="G17" s="12">
        <f t="shared" si="0"/>
        <v>12.389160213629587</v>
      </c>
      <c r="H17" s="12">
        <f t="shared" si="3"/>
        <v>153.49129079898233</v>
      </c>
      <c r="I17" s="12">
        <f>AVERAGE(H$4:H17)</f>
        <v>142.73560462392612</v>
      </c>
      <c r="AH17" s="7"/>
      <c r="AI17" s="7"/>
      <c r="AJ17" s="7"/>
      <c r="AK17" s="2"/>
      <c r="AL17" s="2"/>
      <c r="AM17" s="2"/>
      <c r="AN17" s="2"/>
      <c r="AO17" s="2"/>
      <c r="AP17" s="2"/>
      <c r="AQ17" s="2"/>
      <c r="BD17" s="6"/>
      <c r="BE17" s="6"/>
      <c r="BF17" s="6"/>
      <c r="BG17" s="6"/>
      <c r="BH17" s="6"/>
    </row>
    <row r="18" spans="1:60" ht="16.5" x14ac:dyDescent="0.3">
      <c r="A18" s="8">
        <v>15</v>
      </c>
      <c r="B18" s="19">
        <v>50</v>
      </c>
      <c r="C18" s="18">
        <f t="shared" si="9"/>
        <v>43.505429637779386</v>
      </c>
      <c r="D18" s="22">
        <f t="shared" si="10"/>
        <v>0.33665441798631179</v>
      </c>
      <c r="E18" s="76">
        <f t="shared" si="11"/>
        <v>1.0766043120806101</v>
      </c>
      <c r="F18" s="76">
        <f t="shared" si="2"/>
        <v>43.676266293905726</v>
      </c>
      <c r="G18" s="12">
        <f t="shared" si="0"/>
        <v>6.3237337060942735</v>
      </c>
      <c r="H18" s="12">
        <f t="shared" si="3"/>
        <v>39.989607985592819</v>
      </c>
      <c r="I18" s="12">
        <f>AVERAGE(H$4:H18)</f>
        <v>135.88587151470389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7"/>
      <c r="AI18" s="7"/>
      <c r="AJ18" s="7"/>
      <c r="AK18" s="2"/>
      <c r="AL18" s="2"/>
      <c r="AM18" s="2"/>
      <c r="AN18" s="2"/>
      <c r="AO18" s="2"/>
      <c r="AP18" s="2"/>
      <c r="AQ18" s="2"/>
    </row>
    <row r="19" spans="1:60" ht="16.5" x14ac:dyDescent="0.3">
      <c r="A19" s="8">
        <v>16</v>
      </c>
      <c r="B19" s="19">
        <v>46</v>
      </c>
      <c r="C19" s="18">
        <f t="shared" si="9"/>
        <v>54.385283401921093</v>
      </c>
      <c r="D19" s="22">
        <f t="shared" si="10"/>
        <v>5.6082540910640093</v>
      </c>
      <c r="E19" s="76">
        <f t="shared" si="11"/>
        <v>0.70847181472699294</v>
      </c>
      <c r="F19" s="76">
        <f t="shared" si="2"/>
        <v>31.060880852401684</v>
      </c>
      <c r="G19" s="12">
        <f t="shared" si="0"/>
        <v>14.939119147598316</v>
      </c>
      <c r="H19" s="12">
        <f t="shared" si="3"/>
        <v>223.17728090613863</v>
      </c>
      <c r="I19" s="12">
        <f>AVERAGE(H$4:H19)</f>
        <v>141.34158460166859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7"/>
      <c r="AI19" s="7"/>
      <c r="AJ19" s="7"/>
      <c r="AK19" s="2"/>
      <c r="AL19" s="2"/>
      <c r="AM19" s="2"/>
      <c r="AN19" s="2"/>
      <c r="AO19" s="2"/>
      <c r="AP19" s="2"/>
      <c r="AQ19" s="2"/>
    </row>
    <row r="20" spans="1:60" ht="16.5" x14ac:dyDescent="0.3">
      <c r="A20" s="8">
        <v>17</v>
      </c>
      <c r="B20" s="19">
        <v>44</v>
      </c>
      <c r="C20" s="18">
        <f t="shared" si="9"/>
        <v>54.772873812496677</v>
      </c>
      <c r="D20" s="22">
        <f t="shared" si="10"/>
        <v>2.9979222508197965</v>
      </c>
      <c r="E20" s="76">
        <f t="shared" si="11"/>
        <v>0.88795232105254174</v>
      </c>
      <c r="F20" s="76">
        <f t="shared" si="2"/>
        <v>53.271400865048811</v>
      </c>
      <c r="G20" s="12">
        <f t="shared" si="0"/>
        <v>-9.2714008650488111</v>
      </c>
      <c r="H20" s="12">
        <f t="shared" si="3"/>
        <v>85.958874000427841</v>
      </c>
      <c r="I20" s="12">
        <f>AVERAGE(H$4:H20)</f>
        <v>138.08377809571326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7"/>
      <c r="AI20" s="7"/>
      <c r="AJ20" s="7"/>
      <c r="AK20" s="2"/>
      <c r="AL20" s="2"/>
      <c r="AM20" s="2"/>
      <c r="AN20" s="2"/>
      <c r="AO20" s="2"/>
      <c r="AP20" s="2"/>
      <c r="AQ20" s="2"/>
    </row>
    <row r="21" spans="1:60" ht="16.5" x14ac:dyDescent="0.3">
      <c r="A21" s="8">
        <v>18</v>
      </c>
      <c r="B21" s="19">
        <v>45</v>
      </c>
      <c r="C21" s="18">
        <f t="shared" si="9"/>
        <v>45.66980519554221</v>
      </c>
      <c r="D21" s="22">
        <f t="shared" si="10"/>
        <v>-3.0525731830673353</v>
      </c>
      <c r="E21" s="76">
        <f t="shared" si="11"/>
        <v>1.340529920437977</v>
      </c>
      <c r="F21" s="76">
        <f t="shared" si="2"/>
        <v>77.443480650396225</v>
      </c>
      <c r="G21" s="12">
        <f t="shared" si="0"/>
        <v>-32.443480650396225</v>
      </c>
      <c r="H21" s="12">
        <f t="shared" si="3"/>
        <v>1052.5794367126343</v>
      </c>
      <c r="I21" s="12">
        <f>AVERAGE(H$4:H21)</f>
        <v>188.88909246332</v>
      </c>
      <c r="J21"/>
      <c r="K21"/>
      <c r="L21"/>
      <c r="M21"/>
      <c r="O21"/>
      <c r="P21" s="7"/>
      <c r="Q21" s="7"/>
      <c r="R21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"/>
      <c r="AL21" s="2"/>
      <c r="AM21" s="2"/>
      <c r="AN21" s="2"/>
      <c r="AO21" s="2"/>
      <c r="AP21" s="2"/>
      <c r="AQ21" s="2"/>
    </row>
    <row r="22" spans="1:60" ht="16.5" x14ac:dyDescent="0.3">
      <c r="A22" s="8">
        <v>19</v>
      </c>
      <c r="B22" s="19">
        <v>59</v>
      </c>
      <c r="C22" s="18">
        <f t="shared" si="9"/>
        <v>46.859847072424969</v>
      </c>
      <c r="D22" s="22">
        <f t="shared" si="10"/>
        <v>-0.93126565309228804</v>
      </c>
      <c r="E22" s="76">
        <f t="shared" si="11"/>
        <v>1.1545431969044322</v>
      </c>
      <c r="F22" s="76">
        <f t="shared" si="2"/>
        <v>49.20343529090065</v>
      </c>
      <c r="G22" s="12">
        <f t="shared" si="0"/>
        <v>9.79656470909935</v>
      </c>
      <c r="H22" s="12">
        <f t="shared" si="3"/>
        <v>95.972680099570837</v>
      </c>
      <c r="I22" s="12">
        <f>AVERAGE(H$4:H22)</f>
        <v>183.99875497049109</v>
      </c>
      <c r="J22"/>
      <c r="K22"/>
      <c r="L22"/>
      <c r="M22"/>
      <c r="O22"/>
      <c r="P22" s="7"/>
      <c r="Q22" s="7"/>
      <c r="R22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"/>
      <c r="AL22" s="2"/>
      <c r="AM22" s="2"/>
      <c r="AN22" s="2"/>
      <c r="AO22" s="2"/>
      <c r="AP22" s="2"/>
      <c r="AQ22" s="2"/>
    </row>
    <row r="23" spans="1:60" ht="16.5" x14ac:dyDescent="0.3">
      <c r="A23" s="8">
        <v>20</v>
      </c>
      <c r="B23" s="19">
        <v>49</v>
      </c>
      <c r="C23" s="18">
        <f t="shared" si="9"/>
        <v>50.841757135818227</v>
      </c>
      <c r="D23" s="22">
        <f t="shared" si="10"/>
        <v>1.5253222051504849</v>
      </c>
      <c r="E23" s="76">
        <f t="shared" si="11"/>
        <v>0.87884600506653343</v>
      </c>
      <c r="F23" s="76">
        <f t="shared" si="2"/>
        <v>40.364150298753543</v>
      </c>
      <c r="G23" s="12">
        <f t="shared" si="0"/>
        <v>8.6358497012464568</v>
      </c>
      <c r="H23" s="12">
        <f t="shared" si="3"/>
        <v>74.577900062518523</v>
      </c>
      <c r="I23" s="12">
        <f>AVERAGE(H$4:H23)</f>
        <v>178.52771222509244</v>
      </c>
      <c r="J23"/>
      <c r="K23"/>
      <c r="L23"/>
      <c r="M23"/>
      <c r="O23" s="7"/>
      <c r="P23" s="7"/>
      <c r="Q23" s="7"/>
      <c r="R2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"/>
      <c r="AL23" s="2"/>
      <c r="AM23" s="2"/>
      <c r="AN23" s="2"/>
      <c r="AO23" s="2"/>
      <c r="AP23" s="2"/>
      <c r="AQ23" s="2"/>
    </row>
    <row r="24" spans="1:60" ht="16.5" x14ac:dyDescent="0.3">
      <c r="A24" s="8">
        <v>21</v>
      </c>
      <c r="B24" s="19">
        <v>39</v>
      </c>
      <c r="C24" s="18">
        <f t="shared" si="9"/>
        <v>50.237351391285102</v>
      </c>
      <c r="D24" s="22">
        <f t="shared" si="10"/>
        <v>0.46045823030868005</v>
      </c>
      <c r="E24" s="76">
        <f t="shared" si="11"/>
        <v>0.81068232454556055</v>
      </c>
      <c r="F24" s="76">
        <f t="shared" si="2"/>
        <v>42.453065609798315</v>
      </c>
      <c r="G24" s="12">
        <f t="shared" si="0"/>
        <v>-3.4530656097983154</v>
      </c>
      <c r="H24" s="12">
        <f t="shared" si="3"/>
        <v>11.923662105571813</v>
      </c>
      <c r="I24" s="12">
        <f>AVERAGE(H$4:H24)</f>
        <v>170.59418602892481</v>
      </c>
      <c r="J24"/>
      <c r="K24"/>
      <c r="L24"/>
      <c r="M24"/>
      <c r="O24" s="7"/>
      <c r="P24" s="7"/>
      <c r="Q24" s="7"/>
      <c r="R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"/>
      <c r="AL24" s="2"/>
      <c r="AM24" s="2"/>
      <c r="AN24" s="2"/>
      <c r="AO24" s="2"/>
      <c r="AP24" s="2"/>
      <c r="AQ24" s="2"/>
    </row>
    <row r="25" spans="1:60" ht="16.5" x14ac:dyDescent="0.3">
      <c r="A25" s="8">
        <v>22</v>
      </c>
      <c r="B25" s="19">
        <v>73</v>
      </c>
      <c r="C25" s="18">
        <f t="shared" si="9"/>
        <v>59.791474478212308</v>
      </c>
      <c r="D25" s="22">
        <f t="shared" si="10"/>
        <v>5.0072906586179426</v>
      </c>
      <c r="E25" s="76">
        <f t="shared" si="11"/>
        <v>1.0597350996877284</v>
      </c>
      <c r="F25" s="76">
        <f t="shared" si="2"/>
        <v>53.726248333289163</v>
      </c>
      <c r="G25" s="12">
        <f t="shared" si="0"/>
        <v>19.273751666710837</v>
      </c>
      <c r="H25" s="12">
        <f t="shared" si="3"/>
        <v>371.47750331003874</v>
      </c>
      <c r="I25" s="12">
        <f>AVERAGE(H$4:H25)</f>
        <v>179.72524590533908</v>
      </c>
      <c r="J25"/>
      <c r="K25"/>
      <c r="L25"/>
      <c r="M25"/>
      <c r="O25" s="7"/>
      <c r="P25" s="7"/>
      <c r="Q25" s="7"/>
      <c r="R25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"/>
      <c r="AL25" s="2"/>
      <c r="AM25" s="2"/>
      <c r="AN25" s="2"/>
      <c r="AO25" s="2"/>
      <c r="AP25" s="2"/>
      <c r="AQ25" s="2"/>
    </row>
    <row r="26" spans="1:60" ht="16.5" x14ac:dyDescent="0.3">
      <c r="A26" s="8">
        <v>23</v>
      </c>
      <c r="B26" s="19">
        <v>75</v>
      </c>
      <c r="C26" s="18">
        <f t="shared" si="9"/>
        <v>61.939039903161571</v>
      </c>
      <c r="D26" s="22">
        <f t="shared" si="10"/>
        <v>3.5774280417836031</v>
      </c>
      <c r="E26" s="76">
        <f t="shared" si="11"/>
        <v>1.2694798580445985</v>
      </c>
      <c r="F26" s="76">
        <f t="shared" si="2"/>
        <v>82.260727167368557</v>
      </c>
      <c r="G26" s="12">
        <f t="shared" si="0"/>
        <v>-7.2607271673685574</v>
      </c>
      <c r="H26" s="12">
        <f t="shared" si="3"/>
        <v>52.718158998963837</v>
      </c>
      <c r="I26" s="12">
        <f>AVERAGE(H$4:H26)</f>
        <v>174.20319864854014</v>
      </c>
      <c r="J26"/>
      <c r="K26"/>
      <c r="L26"/>
      <c r="M26"/>
      <c r="O26" s="7"/>
      <c r="P26" s="7"/>
      <c r="Q26" s="7"/>
      <c r="R26"/>
      <c r="S26" s="7"/>
      <c r="T26" s="7"/>
      <c r="U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"/>
      <c r="AL26" s="2"/>
      <c r="AM26" s="2"/>
      <c r="AN26" s="2"/>
      <c r="AO26" s="2"/>
      <c r="AP26" s="2"/>
      <c r="AQ26" s="2"/>
    </row>
    <row r="27" spans="1:60" ht="16.5" x14ac:dyDescent="0.3">
      <c r="A27" s="8">
        <v>24</v>
      </c>
      <c r="B27" s="19">
        <v>56</v>
      </c>
      <c r="C27" s="18">
        <f t="shared" si="9"/>
        <v>61.53935650185565</v>
      </c>
      <c r="D27" s="22">
        <f t="shared" si="10"/>
        <v>1.5888723202388408</v>
      </c>
      <c r="E27" s="76">
        <f t="shared" si="11"/>
        <v>0.97285990049256743</v>
      </c>
      <c r="F27" s="76">
        <f t="shared" si="2"/>
        <v>63.738344485543848</v>
      </c>
      <c r="G27" s="12">
        <f t="shared" si="0"/>
        <v>-7.7383444855438484</v>
      </c>
      <c r="H27" s="12">
        <f t="shared" si="3"/>
        <v>59.88197537694689</v>
      </c>
      <c r="I27" s="12">
        <f>AVERAGE(H$4:H27)</f>
        <v>169.4398143455571</v>
      </c>
      <c r="J27"/>
      <c r="K27"/>
      <c r="L27"/>
      <c r="M27"/>
      <c r="O27" s="7"/>
      <c r="P27" s="7"/>
      <c r="Q27" s="7"/>
      <c r="R27"/>
      <c r="S27" s="7"/>
      <c r="T27" s="7"/>
      <c r="U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"/>
      <c r="AL27" s="2"/>
      <c r="AM27" s="2"/>
      <c r="AN27" s="2"/>
      <c r="AO27" s="2"/>
      <c r="AP27" s="2"/>
      <c r="AQ27" s="2"/>
    </row>
    <row r="28" spans="1:60" ht="16.5" x14ac:dyDescent="0.3">
      <c r="A28" s="8">
        <v>25</v>
      </c>
      <c r="B28" s="19">
        <v>60</v>
      </c>
      <c r="C28" s="18">
        <f t="shared" si="9"/>
        <v>70.138779918543577</v>
      </c>
      <c r="D28" s="22">
        <f t="shared" si="10"/>
        <v>5.0941478684633834</v>
      </c>
      <c r="E28" s="76">
        <f t="shared" si="11"/>
        <v>0.77771251170460598</v>
      </c>
      <c r="F28" s="76">
        <f t="shared" si="2"/>
        <v>49.095613396694205</v>
      </c>
      <c r="G28" s="12">
        <f t="shared" si="0"/>
        <v>10.904386603305795</v>
      </c>
      <c r="H28" s="12">
        <f t="shared" si="3"/>
        <v>118.9056471943549</v>
      </c>
      <c r="I28" s="12">
        <f>AVERAGE(H$4:H28)</f>
        <v>167.41844765950901</v>
      </c>
      <c r="J28"/>
      <c r="K28"/>
      <c r="L28"/>
      <c r="M28"/>
      <c r="O28" s="7"/>
      <c r="P28" s="7"/>
      <c r="Q28" s="7"/>
      <c r="R28"/>
      <c r="S28" s="7"/>
      <c r="T28" s="7"/>
      <c r="U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"/>
      <c r="AL28" s="2"/>
      <c r="AM28" s="2"/>
      <c r="AN28" s="2"/>
      <c r="AO28" s="2"/>
      <c r="AP28" s="2"/>
      <c r="AQ28" s="2"/>
    </row>
    <row r="29" spans="1:60" ht="16.5" x14ac:dyDescent="0.3">
      <c r="A29" s="8">
        <v>26</v>
      </c>
      <c r="B29" s="19">
        <v>71</v>
      </c>
      <c r="C29" s="18">
        <f t="shared" si="9"/>
        <v>66.020559575925802</v>
      </c>
      <c r="D29" s="22">
        <f t="shared" si="10"/>
        <v>0.48796376292280419</v>
      </c>
      <c r="E29" s="76">
        <f t="shared" si="11"/>
        <v>1.2498197582811594</v>
      </c>
      <c r="F29" s="76">
        <f t="shared" si="2"/>
        <v>94.027599621540958</v>
      </c>
      <c r="G29" s="12">
        <f t="shared" si="0"/>
        <v>-23.027599621540958</v>
      </c>
      <c r="H29" s="12">
        <f t="shared" si="3"/>
        <v>530.27034432999324</v>
      </c>
      <c r="I29" s="12">
        <f>AVERAGE(H$4:H29)</f>
        <v>181.37428983914302</v>
      </c>
      <c r="J29"/>
      <c r="K29"/>
      <c r="L29"/>
      <c r="M29"/>
      <c r="O29" s="7"/>
      <c r="P29" s="7"/>
      <c r="Q29" s="7"/>
      <c r="R29"/>
      <c r="S29" s="7"/>
      <c r="T29" s="7"/>
      <c r="U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"/>
      <c r="AL29" s="2"/>
      <c r="AM29" s="2"/>
      <c r="AN29" s="2"/>
      <c r="AO29" s="2"/>
      <c r="AP29" s="2"/>
      <c r="AQ29" s="2"/>
    </row>
    <row r="30" spans="1:60" ht="16.5" x14ac:dyDescent="0.3">
      <c r="A30" s="8">
        <v>27</v>
      </c>
      <c r="B30" s="19">
        <v>84</v>
      </c>
      <c r="C30" s="18">
        <f t="shared" si="9"/>
        <v>67.866185253503829</v>
      </c>
      <c r="D30" s="22">
        <f t="shared" si="10"/>
        <v>1.1667947202504159</v>
      </c>
      <c r="E30" s="76">
        <f t="shared" si="11"/>
        <v>1.2134546610208847</v>
      </c>
      <c r="F30" s="76">
        <f t="shared" si="2"/>
        <v>80.705077643142133</v>
      </c>
      <c r="G30" s="12">
        <f t="shared" si="0"/>
        <v>3.2949223568578674</v>
      </c>
      <c r="H30" s="12">
        <f t="shared" si="3"/>
        <v>10.856513337721804</v>
      </c>
      <c r="I30" s="12">
        <f>AVERAGE(H$4:H30)</f>
        <v>175.05881663538665</v>
      </c>
      <c r="J30"/>
      <c r="K30"/>
      <c r="L30"/>
      <c r="M30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"/>
      <c r="AL30" s="2"/>
      <c r="AM30" s="2"/>
      <c r="AN30" s="2"/>
      <c r="AO30" s="2"/>
      <c r="AP30" s="2"/>
      <c r="AQ30" s="2"/>
    </row>
    <row r="31" spans="1:60" ht="16.5" x14ac:dyDescent="0.3">
      <c r="A31" s="8">
        <v>28</v>
      </c>
      <c r="B31" s="19">
        <v>42</v>
      </c>
      <c r="C31" s="18">
        <f t="shared" si="9"/>
        <v>57.497362701548013</v>
      </c>
      <c r="D31" s="22">
        <f t="shared" si="10"/>
        <v>-4.6010139158527004</v>
      </c>
      <c r="E31" s="76">
        <f t="shared" si="11"/>
        <v>0.91380341646441021</v>
      </c>
      <c r="F31" s="76">
        <f t="shared" si="2"/>
        <v>63.082572948735844</v>
      </c>
      <c r="G31" s="12">
        <f t="shared" si="0"/>
        <v>-21.082572948735844</v>
      </c>
      <c r="H31" s="12">
        <f t="shared" si="3"/>
        <v>444.47488213876841</v>
      </c>
      <c r="I31" s="12">
        <f>AVERAGE(H$4:H31)</f>
        <v>184.68081897479314</v>
      </c>
      <c r="J31"/>
      <c r="K31"/>
      <c r="L31"/>
      <c r="M3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"/>
      <c r="AL31" s="2"/>
      <c r="AM31" s="2"/>
      <c r="AN31" s="2"/>
      <c r="AO31" s="2"/>
      <c r="AP31" s="2"/>
      <c r="AQ31" s="2"/>
    </row>
    <row r="32" spans="1:60" ht="16.5" x14ac:dyDescent="0.3">
      <c r="A32" s="8">
        <v>29</v>
      </c>
      <c r="B32"/>
      <c r="C32" s="2"/>
      <c r="D32" s="2"/>
      <c r="E32" s="88">
        <f t="shared" si="11"/>
        <v>0.86407947310024491</v>
      </c>
      <c r="F32" s="89">
        <f>($C$31+$D$31*(A32-$A$31))*E32</f>
        <v>45.706649187670379</v>
      </c>
      <c r="G32" s="10"/>
      <c r="H32" s="10"/>
      <c r="I32"/>
      <c r="J32"/>
      <c r="K32"/>
      <c r="L32"/>
      <c r="M32" s="83" t="str">
        <f t="shared" ref="M32:M35" ca="1" si="12">_xlfn.FORMULATEXT(E32)</f>
        <v>=(1-$Q$4)*E28+$Q$4*B28/SUM(C27:D27)</v>
      </c>
      <c r="N32" s="90" t="str">
        <f ca="1">_xlfn.FORMULATEXT(F32)</f>
        <v>=($C$31+$D$31*(A32-$A$31))*E32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2"/>
      <c r="AL32" s="2"/>
      <c r="AM32" s="2"/>
      <c r="AN32" s="2"/>
      <c r="AO32" s="2"/>
      <c r="AP32" s="2"/>
      <c r="AQ32" s="2"/>
      <c r="BD32"/>
      <c r="BE32"/>
      <c r="BF32"/>
      <c r="BG32"/>
      <c r="BH32"/>
    </row>
    <row r="33" spans="1:60" ht="16.5" x14ac:dyDescent="0.3">
      <c r="A33" s="8">
        <v>30</v>
      </c>
      <c r="B33"/>
      <c r="C33"/>
      <c r="D33"/>
      <c r="E33" s="88">
        <f t="shared" si="11"/>
        <v>1.0967777306816573</v>
      </c>
      <c r="F33" s="89">
        <f>($C$31+$D$31*(A33-$A$31))*E33</f>
        <v>52.969247781056694</v>
      </c>
      <c r="G33" s="7"/>
      <c r="H33" s="7"/>
      <c r="I33" s="7"/>
      <c r="J33" s="7"/>
      <c r="K33" s="7"/>
      <c r="L33" s="7"/>
      <c r="M33" s="83" t="str">
        <f t="shared" ca="1" si="12"/>
        <v>=(1-$Q$4)*E29+$Q$4*B29/SUM(C28:D28)</v>
      </c>
      <c r="N33" s="90" t="str">
        <f t="shared" ref="N33:N35" ca="1" si="13">_xlfn.FORMULATEXT(F33)</f>
        <v>=($C$31+$D$31*(A33-$A$31))*E33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"/>
      <c r="AL33" s="2"/>
      <c r="AM33" s="2"/>
      <c r="AN33" s="2"/>
      <c r="AO33" s="2"/>
      <c r="AP33" s="2"/>
      <c r="AQ33" s="2"/>
      <c r="BD33"/>
      <c r="BE33"/>
      <c r="BF33"/>
      <c r="BG33"/>
      <c r="BH33"/>
    </row>
    <row r="34" spans="1:60" ht="16.5" x14ac:dyDescent="0.3">
      <c r="A34" s="8">
        <v>31</v>
      </c>
      <c r="E34" s="88">
        <f t="shared" si="11"/>
        <v>1.2382253384577513</v>
      </c>
      <c r="F34" s="89">
        <f>($C$31+$D$31*(A34-$A$31))*E34</f>
        <v>54.10341535193578</v>
      </c>
      <c r="M34" s="83" t="str">
        <f t="shared" ca="1" si="12"/>
        <v>=(1-$Q$4)*E30+$Q$4*B30/SUM(C29:D29)</v>
      </c>
      <c r="N34" s="90" t="str">
        <f t="shared" ca="1" si="13"/>
        <v>=($C$31+$D$31*(A34-$A$31))*E34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"/>
      <c r="AL34" s="2"/>
      <c r="AM34" s="2"/>
      <c r="AN34" s="2"/>
      <c r="AO34" s="2"/>
      <c r="AP34" s="2"/>
      <c r="AQ34" s="2"/>
      <c r="BD34"/>
      <c r="BE34"/>
      <c r="BF34"/>
      <c r="BG34"/>
      <c r="BH34"/>
    </row>
    <row r="35" spans="1:60" ht="16.5" x14ac:dyDescent="0.3">
      <c r="A35" s="8">
        <v>32</v>
      </c>
      <c r="E35" s="88">
        <f t="shared" si="11"/>
        <v>0.7611041344925813</v>
      </c>
      <c r="F35" s="89">
        <f>($C$31+$D$31*(A35-$A$31))*E35</f>
        <v>29.754077617714159</v>
      </c>
      <c r="M35" s="83" t="str">
        <f t="shared" ca="1" si="12"/>
        <v>=(1-$Q$4)*E31+$Q$4*B31/SUM(C30:D30)</v>
      </c>
      <c r="N35" s="90" t="str">
        <f t="shared" ca="1" si="13"/>
        <v>=($C$31+$D$31*(A35-$A$31))*E35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"/>
      <c r="AL35" s="2"/>
      <c r="AM35" s="2"/>
      <c r="AN35" s="2"/>
      <c r="AO35" s="2"/>
      <c r="AP35" s="2"/>
      <c r="AQ35" s="2"/>
      <c r="BD35"/>
      <c r="BE35"/>
      <c r="BF35"/>
      <c r="BG35"/>
      <c r="BH35"/>
    </row>
    <row r="36" spans="1:60" x14ac:dyDescent="0.25">
      <c r="A3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"/>
      <c r="AL36" s="2"/>
      <c r="AM36" s="2"/>
      <c r="AN36" s="2"/>
      <c r="AO36" s="2"/>
      <c r="AP36" s="2"/>
      <c r="AQ36" s="2"/>
      <c r="BD36"/>
      <c r="BE36"/>
      <c r="BF36"/>
      <c r="BG36"/>
      <c r="BH36"/>
    </row>
    <row r="37" spans="1:60" x14ac:dyDescent="0.25">
      <c r="A3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"/>
      <c r="AL37" s="2"/>
      <c r="AM37" s="2"/>
      <c r="AN37" s="2"/>
      <c r="AO37" s="2"/>
      <c r="AP37" s="2"/>
      <c r="AQ37" s="2"/>
      <c r="BD37"/>
      <c r="BE37"/>
      <c r="BF37"/>
      <c r="BG37"/>
      <c r="BH37"/>
    </row>
    <row r="38" spans="1:60" x14ac:dyDescent="0.25">
      <c r="A38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"/>
      <c r="AL38" s="2"/>
      <c r="AM38" s="2"/>
      <c r="AN38" s="2"/>
      <c r="AO38" s="2"/>
      <c r="AP38" s="2"/>
      <c r="AQ38" s="2"/>
      <c r="BD38"/>
      <c r="BE38"/>
      <c r="BF38"/>
      <c r="BG38"/>
      <c r="BH38"/>
    </row>
    <row r="39" spans="1:60" x14ac:dyDescent="0.25">
      <c r="A39"/>
      <c r="B39" t="s">
        <v>12</v>
      </c>
      <c r="C39"/>
      <c r="D39"/>
      <c r="E39"/>
      <c r="F39" s="7"/>
      <c r="G39" s="7"/>
      <c r="H39" s="7"/>
      <c r="I39" s="7"/>
      <c r="J39" s="7"/>
      <c r="K39" s="7"/>
      <c r="L39" s="7"/>
      <c r="M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"/>
      <c r="AL39" s="2"/>
      <c r="AM39" s="2"/>
      <c r="AN39" s="2"/>
      <c r="AO39" s="2"/>
      <c r="AP39" s="2"/>
      <c r="AQ39" s="2"/>
      <c r="BD39"/>
      <c r="BE39"/>
      <c r="BF39"/>
      <c r="BG39"/>
      <c r="BH39"/>
    </row>
    <row r="40" spans="1:60" x14ac:dyDescent="0.25">
      <c r="A40"/>
      <c r="B40" s="6" t="s">
        <v>13</v>
      </c>
      <c r="C40"/>
      <c r="D40"/>
      <c r="E40"/>
      <c r="F40" s="7"/>
      <c r="G40" s="7"/>
      <c r="H40" s="7"/>
      <c r="I40" s="7"/>
      <c r="J40" s="7"/>
      <c r="K40" s="7"/>
      <c r="L40" s="7"/>
      <c r="M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"/>
      <c r="AL40" s="2"/>
      <c r="AM40" s="2"/>
      <c r="AN40" s="2"/>
      <c r="AO40" s="2"/>
      <c r="AP40" s="2"/>
      <c r="AQ40" s="2"/>
      <c r="BD40"/>
      <c r="BE40"/>
      <c r="BF40"/>
      <c r="BG40"/>
      <c r="BH40"/>
    </row>
    <row r="41" spans="1:60" x14ac:dyDescent="0.25">
      <c r="A41"/>
      <c r="B41" s="6" t="s">
        <v>14</v>
      </c>
      <c r="C41" s="11"/>
      <c r="D41"/>
      <c r="E41"/>
      <c r="F41" s="7"/>
      <c r="G41" s="7"/>
      <c r="H41" s="7"/>
      <c r="I41" s="7"/>
      <c r="J41" s="7"/>
      <c r="K41" s="7"/>
      <c r="L41" s="7"/>
      <c r="M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"/>
      <c r="AL41" s="2"/>
      <c r="AM41" s="2"/>
      <c r="AN41" s="2"/>
      <c r="AO41" s="2"/>
      <c r="AP41" s="2"/>
      <c r="AQ41" s="2"/>
      <c r="BD41"/>
      <c r="BE41"/>
      <c r="BF41"/>
      <c r="BG41"/>
      <c r="BH41"/>
    </row>
    <row r="42" spans="1:60" x14ac:dyDescent="0.25">
      <c r="A42"/>
      <c r="B42" s="6" t="s">
        <v>15</v>
      </c>
      <c r="C42"/>
      <c r="D42"/>
      <c r="E42"/>
      <c r="F42" s="7"/>
      <c r="G42" s="7"/>
      <c r="H42" s="7"/>
      <c r="I42" s="7"/>
      <c r="J42" s="7"/>
      <c r="K42" s="7"/>
      <c r="L42" s="7"/>
      <c r="M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"/>
      <c r="AL42" s="2"/>
      <c r="AM42" s="2"/>
      <c r="AN42" s="2"/>
      <c r="AO42" s="2"/>
      <c r="AP42" s="2"/>
      <c r="AQ42" s="2"/>
      <c r="BD42"/>
      <c r="BE42"/>
      <c r="BF42"/>
      <c r="BG42"/>
      <c r="BH42"/>
    </row>
    <row r="43" spans="1:60" x14ac:dyDescent="0.25">
      <c r="A43"/>
      <c r="B43" s="14" t="s">
        <v>10</v>
      </c>
      <c r="C43"/>
      <c r="D43"/>
      <c r="E43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"/>
      <c r="AL43" s="2"/>
      <c r="AM43" s="2"/>
      <c r="AN43" s="2"/>
      <c r="AO43" s="2"/>
      <c r="AP43" s="2"/>
      <c r="AQ43" s="2"/>
      <c r="BD43"/>
      <c r="BE43"/>
      <c r="BF43"/>
      <c r="BG43"/>
      <c r="BH43"/>
    </row>
    <row r="44" spans="1:60" x14ac:dyDescent="0.25">
      <c r="A44"/>
      <c r="B44" t="s">
        <v>16</v>
      </c>
      <c r="C44"/>
      <c r="D44"/>
      <c r="E44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"/>
      <c r="AL44" s="2"/>
      <c r="AM44" s="2"/>
      <c r="AN44" s="2"/>
      <c r="AO44" s="2"/>
      <c r="AP44" s="2"/>
      <c r="AQ44" s="2"/>
      <c r="BD44"/>
      <c r="BE44"/>
      <c r="BF44"/>
      <c r="BG44"/>
      <c r="BH44"/>
    </row>
    <row r="45" spans="1:60" x14ac:dyDescent="0.25">
      <c r="A45"/>
      <c r="B45" t="s">
        <v>11</v>
      </c>
      <c r="C45"/>
      <c r="D45"/>
      <c r="E45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"/>
      <c r="AL45" s="2"/>
      <c r="AM45" s="2"/>
      <c r="AN45" s="2"/>
      <c r="AO45" s="2"/>
      <c r="AP45" s="2"/>
      <c r="AQ45" s="2"/>
      <c r="BD45"/>
      <c r="BE45"/>
      <c r="BF45"/>
      <c r="BG45"/>
      <c r="BH45"/>
    </row>
    <row r="46" spans="1:60" x14ac:dyDescent="0.25">
      <c r="A46"/>
      <c r="B46" t="s">
        <v>17</v>
      </c>
      <c r="C46"/>
      <c r="D46"/>
      <c r="E46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"/>
      <c r="AL46" s="2"/>
      <c r="AM46" s="2"/>
      <c r="AN46" s="2"/>
      <c r="AO46" s="2"/>
      <c r="AP46" s="2"/>
      <c r="AQ46" s="2"/>
      <c r="BD46"/>
      <c r="BE46"/>
      <c r="BF46"/>
      <c r="BG46"/>
      <c r="BH46"/>
    </row>
    <row r="47" spans="1:60" x14ac:dyDescent="0.25">
      <c r="A47"/>
      <c r="B47" t="s">
        <v>18</v>
      </c>
      <c r="C47"/>
      <c r="D47"/>
      <c r="E4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"/>
      <c r="AL47" s="2"/>
      <c r="AM47" s="2"/>
      <c r="AN47" s="2"/>
      <c r="AO47" s="2"/>
      <c r="AP47" s="2"/>
      <c r="AQ47" s="2"/>
      <c r="BD47"/>
      <c r="BE47"/>
      <c r="BF47"/>
      <c r="BG47"/>
      <c r="BH47"/>
    </row>
    <row r="48" spans="1:60" x14ac:dyDescent="0.25">
      <c r="A48"/>
      <c r="B48" t="s">
        <v>19</v>
      </c>
      <c r="C48"/>
      <c r="D48"/>
      <c r="E48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"/>
      <c r="AL48" s="2"/>
      <c r="AM48" s="2"/>
      <c r="AN48" s="2"/>
      <c r="AO48" s="2"/>
      <c r="AP48" s="2"/>
      <c r="AQ48" s="2"/>
      <c r="BD48"/>
      <c r="BE48"/>
      <c r="BF48"/>
      <c r="BG48"/>
      <c r="BH48"/>
    </row>
    <row r="49" spans="1:60" x14ac:dyDescent="0.25">
      <c r="A4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"/>
      <c r="AL49" s="2"/>
      <c r="AM49" s="2"/>
      <c r="AN49" s="2"/>
      <c r="AO49" s="2"/>
      <c r="AP49" s="2"/>
      <c r="AQ49" s="2"/>
      <c r="BD49"/>
      <c r="BE49"/>
      <c r="BF49"/>
      <c r="BG49"/>
      <c r="BH49"/>
    </row>
    <row r="50" spans="1:60" x14ac:dyDescent="0.25">
      <c r="A50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"/>
      <c r="AL50" s="2"/>
      <c r="AM50" s="2"/>
      <c r="AN50" s="2"/>
      <c r="AO50" s="2"/>
      <c r="AP50" s="2"/>
      <c r="AQ50" s="2"/>
      <c r="BD50"/>
      <c r="BE50"/>
      <c r="BF50"/>
      <c r="BG50"/>
      <c r="BH50"/>
    </row>
    <row r="51" spans="1:60" x14ac:dyDescent="0.25">
      <c r="A51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"/>
      <c r="AL51" s="2"/>
      <c r="AM51" s="2"/>
      <c r="AN51" s="2"/>
      <c r="AO51" s="2"/>
      <c r="AP51" s="2"/>
      <c r="AQ51" s="2"/>
      <c r="BD51"/>
      <c r="BE51"/>
      <c r="BF51"/>
      <c r="BG51"/>
      <c r="BH51"/>
    </row>
    <row r="52" spans="1:60" x14ac:dyDescent="0.25">
      <c r="A52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"/>
      <c r="AL52" s="2"/>
      <c r="AM52" s="2"/>
      <c r="AN52" s="2"/>
      <c r="AO52" s="2"/>
      <c r="AP52" s="2"/>
      <c r="AQ52" s="2"/>
      <c r="BD52"/>
      <c r="BE52"/>
      <c r="BF52"/>
      <c r="BG52"/>
      <c r="BH52"/>
    </row>
    <row r="53" spans="1:60" x14ac:dyDescent="0.25">
      <c r="A53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"/>
      <c r="AL53" s="2"/>
      <c r="AM53" s="2"/>
      <c r="AN53" s="2"/>
      <c r="AO53" s="2"/>
      <c r="AP53" s="2"/>
      <c r="AQ53" s="2"/>
      <c r="BD53"/>
      <c r="BE53"/>
      <c r="BF53"/>
      <c r="BG53"/>
      <c r="BH53"/>
    </row>
    <row r="54" spans="1:60" x14ac:dyDescent="0.25">
      <c r="A5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"/>
      <c r="AL54" s="2"/>
      <c r="AM54" s="2"/>
      <c r="AN54" s="2"/>
      <c r="AO54" s="2"/>
      <c r="AP54" s="2"/>
      <c r="AQ54" s="2"/>
      <c r="BD54"/>
      <c r="BE54"/>
      <c r="BF54"/>
      <c r="BG54"/>
      <c r="BH54"/>
    </row>
    <row r="55" spans="1:60" x14ac:dyDescent="0.25">
      <c r="A55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"/>
      <c r="AL55" s="2"/>
      <c r="AM55" s="2"/>
      <c r="AN55" s="2"/>
      <c r="AO55" s="2"/>
      <c r="AP55" s="2"/>
      <c r="AQ55" s="2"/>
      <c r="BD55"/>
      <c r="BE55"/>
      <c r="BF55"/>
      <c r="BG55"/>
      <c r="BH55"/>
    </row>
    <row r="56" spans="1:60" x14ac:dyDescent="0.25">
      <c r="A56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"/>
      <c r="AL56" s="2"/>
      <c r="AM56" s="2"/>
      <c r="AN56" s="2"/>
      <c r="AO56" s="2"/>
      <c r="AP56" s="2"/>
      <c r="AQ56" s="2"/>
      <c r="BD56"/>
      <c r="BE56"/>
      <c r="BF56"/>
      <c r="BG56"/>
      <c r="BH56"/>
    </row>
    <row r="57" spans="1:60" x14ac:dyDescent="0.25">
      <c r="A5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"/>
      <c r="AL57" s="2"/>
      <c r="AM57" s="2"/>
      <c r="AN57" s="2"/>
      <c r="AO57" s="2"/>
      <c r="AP57" s="2"/>
      <c r="AQ57" s="2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"/>
      <c r="AL58" s="2"/>
      <c r="AM58" s="2"/>
      <c r="AN58" s="2"/>
      <c r="AO58" s="2"/>
      <c r="AP58" s="2"/>
      <c r="AQ58" s="2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"/>
      <c r="AL59" s="2"/>
      <c r="AM59" s="2"/>
      <c r="AN59" s="2"/>
      <c r="AO59" s="2"/>
      <c r="AP59" s="2"/>
      <c r="AQ59" s="2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"/>
      <c r="AL60" s="2"/>
      <c r="AM60" s="2"/>
      <c r="AN60" s="2"/>
      <c r="AO60" s="2"/>
      <c r="AP60" s="2"/>
      <c r="AQ60" s="2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"/>
      <c r="AL61" s="2"/>
      <c r="AM61" s="2"/>
      <c r="AN61" s="2"/>
      <c r="AO61" s="2"/>
      <c r="AP61" s="2"/>
      <c r="AQ61" s="2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"/>
      <c r="AL62" s="2"/>
      <c r="AM62" s="2"/>
      <c r="AN62" s="2"/>
      <c r="AO62" s="2"/>
      <c r="AP62" s="2"/>
      <c r="AQ62" s="2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"/>
      <c r="AL63" s="2"/>
      <c r="AM63" s="2"/>
      <c r="AN63" s="2"/>
      <c r="AO63" s="2"/>
      <c r="AP63" s="2"/>
      <c r="AQ63" s="2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2"/>
      <c r="AL64" s="2"/>
      <c r="AM64" s="2"/>
      <c r="AN64" s="2"/>
      <c r="AO64" s="2"/>
      <c r="AP64" s="2"/>
      <c r="AQ64" s="2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2"/>
      <c r="AL65" s="2"/>
      <c r="AM65" s="2"/>
      <c r="AN65" s="2"/>
      <c r="AO65" s="2"/>
      <c r="AP65" s="2"/>
      <c r="AQ65" s="2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2"/>
      <c r="AL66" s="2"/>
      <c r="AM66" s="2"/>
      <c r="AN66" s="2"/>
      <c r="AO66" s="2"/>
      <c r="AP66" s="2"/>
      <c r="AQ66" s="2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"/>
      <c r="AL67" s="2"/>
      <c r="AM67" s="2"/>
      <c r="AN67" s="2"/>
      <c r="AO67" s="2"/>
      <c r="AP67" s="2"/>
      <c r="AQ67" s="2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2"/>
      <c r="AL68" s="2"/>
      <c r="AM68" s="2"/>
      <c r="AN68" s="2"/>
      <c r="AO68" s="2"/>
      <c r="AP68" s="2"/>
      <c r="AQ68" s="2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2"/>
      <c r="AL69" s="2"/>
      <c r="AM69" s="2"/>
      <c r="AN69" s="2"/>
      <c r="AO69" s="2"/>
      <c r="AP69" s="2"/>
      <c r="AQ69" s="2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2"/>
      <c r="AL70" s="2"/>
      <c r="AM70" s="2"/>
      <c r="AN70" s="2"/>
      <c r="AO70" s="2"/>
      <c r="AP70" s="2"/>
      <c r="AQ70" s="2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2"/>
      <c r="AL71" s="2"/>
      <c r="AM71" s="2"/>
      <c r="AN71" s="2"/>
      <c r="AO71" s="2"/>
      <c r="AP71" s="2"/>
      <c r="AQ71" s="2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2"/>
      <c r="AL72" s="2"/>
      <c r="AM72" s="2"/>
      <c r="AN72" s="2"/>
      <c r="AO72" s="2"/>
      <c r="AP72" s="2"/>
      <c r="AQ72" s="2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2"/>
      <c r="AL73" s="2"/>
      <c r="AM73" s="2"/>
      <c r="AN73" s="2"/>
      <c r="AO73" s="2"/>
      <c r="AP73" s="2"/>
      <c r="AQ73" s="2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60" ht="16.5" x14ac:dyDescent="0.3">
      <c r="A89"/>
      <c r="B89"/>
      <c r="C89"/>
      <c r="D89"/>
      <c r="E89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60" ht="16.5" x14ac:dyDescent="0.3">
      <c r="A90"/>
      <c r="B90"/>
      <c r="C90"/>
      <c r="D90"/>
      <c r="E90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hyperlinks>
    <hyperlink ref="L1" r:id="rId1" display="https://youtu.be/9L7PgZBdsWE" xr:uid="{E1AA5160-49F8-43B7-B679-9DE3CFB328DE}"/>
  </hyperlinks>
  <pageMargins left="0.75" right="0.75" top="1" bottom="1" header="0.5" footer="0.5"/>
  <pageSetup orientation="portrait" horizontalDpi="200" verticalDpi="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resentation" shapeId="1025" r:id="rId5">
          <objectPr defaultSize="0" r:id="rId6">
            <anchor moveWithCells="1">
              <from>
                <xdr:col>12</xdr:col>
                <xdr:colOff>819150</xdr:colOff>
                <xdr:row>7</xdr:row>
                <xdr:rowOff>38100</xdr:rowOff>
              </from>
              <to>
                <xdr:col>17</xdr:col>
                <xdr:colOff>600075</xdr:colOff>
                <xdr:row>23</xdr:row>
                <xdr:rowOff>104775</xdr:rowOff>
              </to>
            </anchor>
          </objectPr>
        </oleObject>
      </mc:Choice>
      <mc:Fallback>
        <oleObject progId="Presentation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dimension ref="A1:AK31"/>
  <sheetViews>
    <sheetView workbookViewId="0">
      <selection activeCell="P29" sqref="P29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24" t="s">
        <v>31</v>
      </c>
      <c r="B1" s="4" t="s">
        <v>0</v>
      </c>
      <c r="C1" s="4" t="s">
        <v>32</v>
      </c>
      <c r="D1" s="4" t="s">
        <v>33</v>
      </c>
      <c r="E1" s="4" t="s">
        <v>34</v>
      </c>
      <c r="F1" s="4" t="s">
        <v>6</v>
      </c>
      <c r="H1" s="24" t="s">
        <v>31</v>
      </c>
      <c r="I1" s="4" t="s">
        <v>0</v>
      </c>
      <c r="J1" s="4" t="s">
        <v>32</v>
      </c>
      <c r="K1" s="4" t="s">
        <v>33</v>
      </c>
      <c r="L1" s="4" t="s">
        <v>34</v>
      </c>
      <c r="M1" s="4" t="s">
        <v>6</v>
      </c>
      <c r="N1" s="1"/>
      <c r="P1" s="24" t="s">
        <v>31</v>
      </c>
      <c r="Q1" s="4" t="s">
        <v>0</v>
      </c>
      <c r="R1" s="4" t="s">
        <v>32</v>
      </c>
      <c r="S1" s="4" t="s">
        <v>33</v>
      </c>
      <c r="T1" s="4" t="s">
        <v>34</v>
      </c>
      <c r="U1" s="4" t="s">
        <v>6</v>
      </c>
      <c r="W1" s="24" t="s">
        <v>31</v>
      </c>
      <c r="X1" s="4" t="s">
        <v>0</v>
      </c>
      <c r="Y1" s="4" t="s">
        <v>32</v>
      </c>
      <c r="Z1" s="4" t="s">
        <v>33</v>
      </c>
      <c r="AA1" s="4" t="s">
        <v>34</v>
      </c>
      <c r="AB1" s="4" t="s">
        <v>6</v>
      </c>
      <c r="AC1" s="1"/>
      <c r="AD1" s="1"/>
      <c r="AE1" s="24" t="s">
        <v>31</v>
      </c>
      <c r="AF1" s="4" t="s">
        <v>0</v>
      </c>
      <c r="AG1" s="4" t="s">
        <v>32</v>
      </c>
      <c r="AH1" s="4" t="s">
        <v>33</v>
      </c>
      <c r="AI1" s="4" t="s">
        <v>34</v>
      </c>
      <c r="AJ1" s="4" t="s">
        <v>6</v>
      </c>
    </row>
    <row r="2" spans="1:37" x14ac:dyDescent="0.25">
      <c r="A2" s="25">
        <v>0</v>
      </c>
      <c r="B2" s="26"/>
      <c r="C2" s="27">
        <f>AVERAGE(B3:B6)</f>
        <v>9.75</v>
      </c>
      <c r="D2" s="28">
        <f>(AVERAGE(B11:B14)-AVERAGE(B3:B6))/(A14-$B$15)</f>
        <v>0.84375</v>
      </c>
      <c r="E2" s="29"/>
      <c r="F2" s="27"/>
      <c r="G2" s="30"/>
      <c r="H2" s="25">
        <v>0</v>
      </c>
      <c r="I2" s="26"/>
      <c r="J2" s="26">
        <f>AVERAGE(I3:I6)</f>
        <v>9.75</v>
      </c>
      <c r="K2" s="31">
        <f>(AVERAGE(I11:I14)-J2)/(H14-I15)</f>
        <v>0.84375</v>
      </c>
      <c r="L2" s="29"/>
      <c r="M2" s="27"/>
      <c r="N2" s="30"/>
      <c r="O2" s="30"/>
      <c r="P2" s="25">
        <v>0</v>
      </c>
      <c r="Q2" s="26"/>
      <c r="R2" s="26">
        <f>AVERAGE(Q3:Q6)</f>
        <v>9.75</v>
      </c>
      <c r="S2" s="31">
        <f>(AVERAGE(Q11:Q14)-R2)/(P14-Q15)</f>
        <v>0.84375</v>
      </c>
      <c r="T2" s="29"/>
      <c r="U2" s="27"/>
      <c r="W2" s="25">
        <v>0</v>
      </c>
      <c r="X2" s="26"/>
      <c r="Y2" s="26">
        <f>AVERAGE(X3:X6)</f>
        <v>9.75</v>
      </c>
      <c r="Z2" s="31">
        <f>(AVERAGE(X11:X14)-Y2)/(W14-X15)</f>
        <v>0.84375</v>
      </c>
      <c r="AA2" s="29"/>
      <c r="AB2" s="27"/>
      <c r="AC2" s="29"/>
      <c r="AD2" s="29"/>
      <c r="AE2" s="25">
        <v>0</v>
      </c>
      <c r="AF2" s="26"/>
      <c r="AG2" s="26">
        <f>AVERAGE(AF3:AF6)</f>
        <v>9.75</v>
      </c>
      <c r="AH2" s="31">
        <f>(AVERAGE(AF11:AF14)-AG2)/(AE14-AF15)</f>
        <v>0.84375</v>
      </c>
      <c r="AI2" s="29"/>
      <c r="AJ2" s="27"/>
    </row>
    <row r="3" spans="1:37" x14ac:dyDescent="0.25">
      <c r="A3" s="32">
        <v>1</v>
      </c>
      <c r="B3" s="33">
        <v>4</v>
      </c>
      <c r="C3" s="34"/>
      <c r="D3" s="27"/>
      <c r="E3" s="28">
        <f>B3/AVERAGE($B$3:$B$6)</f>
        <v>0.41025641025641024</v>
      </c>
      <c r="F3" s="35">
        <f>(C2+D2)*E3</f>
        <v>4.3461538461538458</v>
      </c>
      <c r="G3" s="30"/>
      <c r="H3" s="32">
        <v>1</v>
      </c>
      <c r="I3" s="33">
        <v>4</v>
      </c>
      <c r="J3" s="34">
        <f>(1-$B$24)*(J2+K2)+$B$24*I3/L3</f>
        <v>10.3828125</v>
      </c>
      <c r="K3" s="27">
        <f>(1-$B$25)*K2+$B$25*(J3-J2)</f>
        <v>0.791015625</v>
      </c>
      <c r="L3" s="31">
        <f>I3/AVERAGE($B$3:$B$6)</f>
        <v>0.41025641025641024</v>
      </c>
      <c r="M3" s="36">
        <f>(J2+K2)*L3</f>
        <v>4.3461538461538458</v>
      </c>
      <c r="N3" s="30"/>
      <c r="O3" s="30"/>
      <c r="P3" s="32">
        <v>1</v>
      </c>
      <c r="Q3" s="33">
        <v>4</v>
      </c>
      <c r="R3" s="37">
        <f>(1-$B$24)*(R2+S2)+$B$24*Q3/T3</f>
        <v>10.3828125</v>
      </c>
      <c r="S3" s="38">
        <f>(1-$B$25)*S2+$B$25*(R3-R2)</f>
        <v>0.791015625</v>
      </c>
      <c r="T3" s="31">
        <f>Q3/AVERAGE($B$3:$B$6)</f>
        <v>0.41025641025641024</v>
      </c>
      <c r="U3" s="36">
        <f>(R2+S2)*T3</f>
        <v>4.3461538461538458</v>
      </c>
      <c r="W3" s="32">
        <v>1</v>
      </c>
      <c r="X3" s="33">
        <v>4</v>
      </c>
      <c r="Y3" s="37">
        <f>(1-$B$24)*(Y2+Z2)+$B$24*X3/AA3</f>
        <v>10.3828125</v>
      </c>
      <c r="Z3" s="38">
        <f>(1-$B$25)*Z2+$B$25*(Y3-Y2)</f>
        <v>0.791015625</v>
      </c>
      <c r="AA3" s="31">
        <f>X3/AVERAGE($B$3:$B$6)</f>
        <v>0.41025641025641024</v>
      </c>
      <c r="AB3" s="36">
        <f>(Y2+Z2)*AA3</f>
        <v>4.3461538461538458</v>
      </c>
      <c r="AC3" s="39"/>
      <c r="AD3" s="39"/>
      <c r="AE3" s="32">
        <v>1</v>
      </c>
      <c r="AF3" s="33">
        <v>4</v>
      </c>
      <c r="AG3" s="37">
        <f>(1-$B$24)*(AG2+AH2)+$B$24*AF3/AI3</f>
        <v>10.3828125</v>
      </c>
      <c r="AH3" s="38">
        <f>(1-$B$25)*AH2+$B$25*(AG3-AG2)</f>
        <v>0.791015625</v>
      </c>
      <c r="AI3" s="38">
        <f>AF3/AVERAGE($B$3:$B$6)</f>
        <v>0.41025641025641024</v>
      </c>
      <c r="AJ3" s="40">
        <f>(AG2+AH2)*AI3</f>
        <v>4.3461538461538458</v>
      </c>
    </row>
    <row r="4" spans="1:37" x14ac:dyDescent="0.25">
      <c r="A4" s="32">
        <v>2</v>
      </c>
      <c r="B4" s="33">
        <v>9</v>
      </c>
      <c r="C4" s="34"/>
      <c r="D4" s="27"/>
      <c r="E4" s="28">
        <f>B4/AVERAGE($B$3:$B$6)</f>
        <v>0.92307692307692313</v>
      </c>
      <c r="F4" s="41"/>
      <c r="G4" s="30"/>
      <c r="H4" s="32">
        <v>2</v>
      </c>
      <c r="I4" s="33">
        <v>9</v>
      </c>
      <c r="J4" s="34"/>
      <c r="K4" s="27"/>
      <c r="L4" s="31">
        <f>I4/AVERAGE($B$3:$B$6)</f>
        <v>0.92307692307692313</v>
      </c>
      <c r="M4" s="35">
        <f>(J3+K3)*L4</f>
        <v>10.314302884615385</v>
      </c>
      <c r="N4" s="30"/>
      <c r="O4" s="30"/>
      <c r="P4" s="32">
        <v>2</v>
      </c>
      <c r="Q4" s="33">
        <v>9</v>
      </c>
      <c r="R4" s="42">
        <f>(1-$B$24)*(R3+S3)+$B$24*Q4/T4</f>
        <v>10.81787109375</v>
      </c>
      <c r="S4" s="28">
        <f>(1-$B$25)*S3+$B$25*(R4-R3)</f>
        <v>0.7020263671875</v>
      </c>
      <c r="T4" s="31">
        <f>Q4/AVERAGE($B$3:$B$6)</f>
        <v>0.92307692307692313</v>
      </c>
      <c r="U4" s="40">
        <f>(R3+S3)*T4</f>
        <v>10.314302884615385</v>
      </c>
      <c r="W4" s="32">
        <v>2</v>
      </c>
      <c r="X4" s="33">
        <v>9</v>
      </c>
      <c r="Y4" s="43">
        <f>(1-$B$24)*(Y3+Z3)+$B$24*X4/AA4</f>
        <v>10.81787109375</v>
      </c>
      <c r="Z4" s="31">
        <f>(1-$B$25)*Z3+$B$25*(Y4-Y3)</f>
        <v>0.7020263671875</v>
      </c>
      <c r="AA4" s="31">
        <f>X4/AVERAGE($B$3:$B$6)</f>
        <v>0.92307692307692313</v>
      </c>
      <c r="AB4" s="40">
        <f>(Y3+Z3)*AA4</f>
        <v>10.314302884615385</v>
      </c>
      <c r="AC4" s="44"/>
      <c r="AD4" s="44"/>
      <c r="AE4" s="32">
        <v>2</v>
      </c>
      <c r="AF4" s="33">
        <v>9</v>
      </c>
      <c r="AG4" s="43">
        <f>(1-$B$24)*(AG3+AH3)+$B$24*AF4/AI4</f>
        <v>10.81787109375</v>
      </c>
      <c r="AH4" s="31">
        <f>(1-$B$25)*AH3+$B$25*(AG4-AG3)</f>
        <v>0.7020263671875</v>
      </c>
      <c r="AI4" s="38">
        <f>AF4/AVERAGE($B$3:$B$6)</f>
        <v>0.92307692307692313</v>
      </c>
      <c r="AJ4" s="40">
        <f>(AG3+AH3)*AI4</f>
        <v>10.314302884615385</v>
      </c>
    </row>
    <row r="5" spans="1:37" x14ac:dyDescent="0.25">
      <c r="A5" s="32">
        <v>3</v>
      </c>
      <c r="B5" s="33">
        <v>15</v>
      </c>
      <c r="C5" s="34"/>
      <c r="D5" s="27"/>
      <c r="E5" s="28">
        <f>B5/AVERAGE($B$3:$B$6)</f>
        <v>1.5384615384615385</v>
      </c>
      <c r="F5" s="41"/>
      <c r="G5" s="30"/>
      <c r="H5" s="32">
        <v>3</v>
      </c>
      <c r="I5" s="33">
        <v>15</v>
      </c>
      <c r="J5" s="34"/>
      <c r="K5" s="27"/>
      <c r="L5" s="31">
        <f>I5/AVERAGE($B$3:$B$6)</f>
        <v>1.5384615384615385</v>
      </c>
      <c r="M5" s="41"/>
      <c r="N5" s="30"/>
      <c r="O5" s="30"/>
      <c r="P5" s="32">
        <v>3</v>
      </c>
      <c r="Q5" s="33">
        <v>15</v>
      </c>
      <c r="R5" s="34"/>
      <c r="S5" s="27"/>
      <c r="T5" s="31">
        <f>Q5/AVERAGE($B$3:$B$6)</f>
        <v>1.5384615384615385</v>
      </c>
      <c r="U5" s="35">
        <f>(R4+S4)*T5</f>
        <v>17.722919170673077</v>
      </c>
      <c r="W5" s="32">
        <v>3</v>
      </c>
      <c r="X5" s="33">
        <v>15</v>
      </c>
      <c r="Y5" s="42">
        <f>(1-$B$24)*(Y4+Z4)+$B$24*X5/AA5</f>
        <v>11.077423095703125</v>
      </c>
      <c r="Z5" s="28">
        <f>(1-$B$25)*Z4+$B$25*(Y5-Y4)</f>
        <v>0.59140777587890625</v>
      </c>
      <c r="AA5" s="31">
        <f>X5/AVERAGE($B$3:$B$6)</f>
        <v>1.5384615384615385</v>
      </c>
      <c r="AB5" s="36">
        <f>(Y4+Z4)*AA5</f>
        <v>17.722919170673077</v>
      </c>
      <c r="AC5" s="45"/>
      <c r="AD5" s="45"/>
      <c r="AE5" s="32">
        <v>3</v>
      </c>
      <c r="AF5" s="33">
        <v>15</v>
      </c>
      <c r="AG5" s="37">
        <f>(1-$B$24)*(AG4+AH4)+$B$24*AF5/AI5</f>
        <v>11.077423095703125</v>
      </c>
      <c r="AH5" s="38">
        <f>(1-$B$25)*AH4+$B$25*(AG5-AG4)</f>
        <v>0.59140777587890625</v>
      </c>
      <c r="AI5" s="38">
        <f>AF5/AVERAGE($B$3:$B$6)</f>
        <v>1.5384615384615385</v>
      </c>
      <c r="AJ5" s="40">
        <f>(AG4+AH4)*AI5</f>
        <v>17.722919170673077</v>
      </c>
    </row>
    <row r="6" spans="1:37" x14ac:dyDescent="0.25">
      <c r="A6" s="32">
        <v>4</v>
      </c>
      <c r="B6" s="33">
        <v>11</v>
      </c>
      <c r="C6" s="34"/>
      <c r="D6" s="27"/>
      <c r="E6" s="28">
        <f>B6/AVERAGE($B$3:$B$6)</f>
        <v>1.1282051282051282</v>
      </c>
      <c r="F6" s="41"/>
      <c r="G6" s="30"/>
      <c r="H6" s="32">
        <v>4</v>
      </c>
      <c r="I6" s="33">
        <v>11</v>
      </c>
      <c r="J6" s="34"/>
      <c r="K6" s="27"/>
      <c r="L6" s="31">
        <f>I6/AVERAGE($B$3:$B$6)</f>
        <v>1.1282051282051282</v>
      </c>
      <c r="M6" s="41"/>
      <c r="N6" s="30"/>
      <c r="O6" s="30"/>
      <c r="P6" s="32">
        <v>4</v>
      </c>
      <c r="Q6" s="33">
        <v>11</v>
      </c>
      <c r="R6" s="34"/>
      <c r="S6" s="27"/>
      <c r="T6" s="31">
        <f>Q6/AVERAGE($B$3:$B$6)</f>
        <v>1.1282051282051282</v>
      </c>
      <c r="U6" s="41"/>
      <c r="W6" s="32">
        <v>4</v>
      </c>
      <c r="X6" s="33">
        <v>11</v>
      </c>
      <c r="Y6" s="34"/>
      <c r="Z6" s="27"/>
      <c r="AA6" s="31">
        <f>X6/AVERAGE($B$3:$B$6)</f>
        <v>1.1282051282051282</v>
      </c>
      <c r="AB6" s="35">
        <f>(Y5+Z5)*AA6</f>
        <v>13.164834829477163</v>
      </c>
      <c r="AC6" s="29"/>
      <c r="AD6" s="29"/>
      <c r="AE6" s="32">
        <v>4</v>
      </c>
      <c r="AF6" s="33">
        <v>11</v>
      </c>
      <c r="AG6" s="42">
        <f>(1-$B$24)*(AG5+AH5)+$B$24*AF6/AI6</f>
        <v>11.189123153686523</v>
      </c>
      <c r="AH6" s="28">
        <f>(1-$B$25)*AH5+$B$25*(AG6-AG5)</f>
        <v>0.4714808464050293</v>
      </c>
      <c r="AI6" s="38">
        <f>AF6/AVERAGE($B$3:$B$6)</f>
        <v>1.1282051282051282</v>
      </c>
      <c r="AJ6" s="40">
        <f>(AG5+AH5)*AI6</f>
        <v>13.164834829477163</v>
      </c>
    </row>
    <row r="7" spans="1:37" x14ac:dyDescent="0.25">
      <c r="A7" s="32">
        <v>5</v>
      </c>
      <c r="B7" s="33">
        <v>6</v>
      </c>
      <c r="C7" s="25"/>
      <c r="D7" s="26"/>
      <c r="E7" s="26"/>
      <c r="F7" s="26"/>
      <c r="G7" s="30"/>
      <c r="H7" s="32">
        <v>5</v>
      </c>
      <c r="I7" s="33">
        <v>6</v>
      </c>
      <c r="J7" s="25"/>
      <c r="K7" s="26"/>
      <c r="L7" s="28">
        <f>(1-$B$26)*L3+$B$26*I3/(J2+K2)</f>
        <v>0.40208758792829591</v>
      </c>
      <c r="M7" s="26"/>
      <c r="N7" s="30"/>
      <c r="O7" s="30"/>
      <c r="P7" s="32">
        <v>5</v>
      </c>
      <c r="Q7" s="33">
        <v>6</v>
      </c>
      <c r="R7" s="25"/>
      <c r="S7" s="26"/>
      <c r="T7" s="38">
        <f>(1-$B$26)*T3+J26*Q3/(R2+S2)</f>
        <v>0.30769230769230771</v>
      </c>
      <c r="U7" s="26"/>
      <c r="W7" s="32">
        <v>5</v>
      </c>
      <c r="X7" s="33">
        <v>6</v>
      </c>
      <c r="Y7" s="25"/>
      <c r="Z7" s="26"/>
      <c r="AA7" s="38">
        <f>(1-$B$26)*AA3+Q26*X3/(Y2+Z2)</f>
        <v>0.30769230769230771</v>
      </c>
      <c r="AB7" s="26"/>
      <c r="AC7" s="30"/>
      <c r="AD7" s="30"/>
      <c r="AE7" s="32">
        <v>5</v>
      </c>
      <c r="AF7" s="33">
        <v>6</v>
      </c>
      <c r="AG7" s="25"/>
      <c r="AH7" s="26"/>
      <c r="AI7" s="38">
        <f>(1-$B$26)*AI3+Z26*AF3/(AG2+AH2)</f>
        <v>0.30769230769230771</v>
      </c>
      <c r="AJ7" s="35">
        <f>(AG6+AH6)*AI7</f>
        <v>3.5878781538743243</v>
      </c>
    </row>
    <row r="8" spans="1:37" x14ac:dyDescent="0.25">
      <c r="A8" s="32">
        <v>6</v>
      </c>
      <c r="B8" s="33">
        <v>14</v>
      </c>
      <c r="C8" s="25"/>
      <c r="D8" s="26"/>
      <c r="E8" s="26"/>
      <c r="F8" s="26"/>
      <c r="G8" s="30"/>
      <c r="H8" s="32">
        <v>6</v>
      </c>
      <c r="I8" s="33">
        <v>14</v>
      </c>
      <c r="J8" s="25"/>
      <c r="K8" s="26"/>
      <c r="L8" s="26"/>
      <c r="M8" s="26"/>
      <c r="N8" s="30"/>
      <c r="O8" s="30"/>
      <c r="P8" s="32">
        <v>6</v>
      </c>
      <c r="Q8" s="33">
        <v>14</v>
      </c>
      <c r="R8" s="25"/>
      <c r="S8" s="26"/>
      <c r="T8" s="28">
        <f>(1-$B$26)*T4+J27*Q4/(R3+S3)</f>
        <v>0.69230769230769229</v>
      </c>
      <c r="U8" s="26"/>
      <c r="W8" s="32">
        <v>6</v>
      </c>
      <c r="X8" s="33">
        <v>14</v>
      </c>
      <c r="Y8" s="25"/>
      <c r="Z8" s="26"/>
      <c r="AA8" s="31">
        <f>(1-$B$26)*AA4+Q27*X4/(Y3+Z3)</f>
        <v>0.69230769230769229</v>
      </c>
      <c r="AB8" s="26"/>
      <c r="AC8" s="30"/>
      <c r="AD8" s="30"/>
      <c r="AE8" s="32">
        <v>6</v>
      </c>
      <c r="AF8" s="33">
        <v>14</v>
      </c>
      <c r="AG8" s="25"/>
      <c r="AH8" s="26"/>
      <c r="AI8" s="38">
        <f>(1-$B$26)*AI4+Z27*AF4/(AG3+AH3)</f>
        <v>0.69230769230769229</v>
      </c>
      <c r="AJ8" s="26"/>
    </row>
    <row r="9" spans="1:37" x14ac:dyDescent="0.25">
      <c r="A9" s="32">
        <v>7</v>
      </c>
      <c r="B9" s="33">
        <v>23</v>
      </c>
      <c r="C9" s="25"/>
      <c r="D9" s="26"/>
      <c r="E9" s="26"/>
      <c r="F9" s="26"/>
      <c r="G9" s="30"/>
      <c r="H9" s="32">
        <v>7</v>
      </c>
      <c r="I9" s="33">
        <v>23</v>
      </c>
      <c r="J9" s="25"/>
      <c r="K9" s="26"/>
      <c r="L9" s="26"/>
      <c r="M9" s="26"/>
      <c r="N9" s="30"/>
      <c r="O9" s="30"/>
      <c r="P9" s="32">
        <v>7</v>
      </c>
      <c r="Q9" s="33">
        <v>23</v>
      </c>
      <c r="R9" s="25"/>
      <c r="S9" s="26"/>
      <c r="T9" s="26"/>
      <c r="U9" s="26"/>
      <c r="W9" s="32">
        <v>7</v>
      </c>
      <c r="X9" s="33">
        <v>23</v>
      </c>
      <c r="Y9" s="25"/>
      <c r="Z9" s="26"/>
      <c r="AA9" s="28">
        <f>(1-$B$26)*AA5+Q28*X5/(Y4+Z4)</f>
        <v>1.153846153846154</v>
      </c>
      <c r="AB9" s="26"/>
      <c r="AC9" s="30"/>
      <c r="AD9" s="30"/>
      <c r="AE9" s="32">
        <v>7</v>
      </c>
      <c r="AF9" s="33">
        <v>23</v>
      </c>
      <c r="AG9" s="25"/>
      <c r="AH9" s="26"/>
      <c r="AI9" s="38">
        <f>(1-$B$26)*AI5+Z28*AF5/(AG4+AH4)</f>
        <v>1.153846153846154</v>
      </c>
      <c r="AJ9" s="26"/>
    </row>
    <row r="10" spans="1:37" x14ac:dyDescent="0.25">
      <c r="A10" s="32">
        <v>8</v>
      </c>
      <c r="B10" s="33">
        <v>16</v>
      </c>
      <c r="C10" s="25"/>
      <c r="D10" s="26"/>
      <c r="E10" s="26"/>
      <c r="F10" s="26"/>
      <c r="G10" s="30"/>
      <c r="H10" s="32">
        <v>8</v>
      </c>
      <c r="I10" s="33">
        <v>16</v>
      </c>
      <c r="J10" s="25"/>
      <c r="K10" s="26"/>
      <c r="L10" s="26"/>
      <c r="M10" s="26"/>
      <c r="N10" s="30"/>
      <c r="O10" s="30"/>
      <c r="P10" s="32">
        <v>8</v>
      </c>
      <c r="Q10" s="33">
        <v>16</v>
      </c>
      <c r="R10" s="25"/>
      <c r="S10" s="26"/>
      <c r="T10" s="26"/>
      <c r="U10" s="26"/>
      <c r="W10" s="32">
        <v>8</v>
      </c>
      <c r="X10" s="33">
        <v>16</v>
      </c>
      <c r="Y10" s="25"/>
      <c r="Z10" s="26"/>
      <c r="AA10" s="26"/>
      <c r="AB10" s="26"/>
      <c r="AC10" s="30"/>
      <c r="AD10" s="30"/>
      <c r="AE10" s="32">
        <v>8</v>
      </c>
      <c r="AF10" s="33">
        <v>16</v>
      </c>
      <c r="AG10" s="25"/>
      <c r="AH10" s="26"/>
      <c r="AI10" s="28">
        <f>(1-$B$26)*AI6+Z29*AF6/(AG5+AH5)</f>
        <v>0.84615384615384615</v>
      </c>
      <c r="AJ10" s="26"/>
    </row>
    <row r="11" spans="1:37" x14ac:dyDescent="0.25">
      <c r="A11" s="32">
        <v>9</v>
      </c>
      <c r="B11" s="33">
        <v>8</v>
      </c>
      <c r="C11" s="25"/>
      <c r="D11" s="26"/>
      <c r="E11" s="26"/>
      <c r="F11" s="26"/>
      <c r="G11" s="30"/>
      <c r="H11" s="32">
        <v>9</v>
      </c>
      <c r="I11" s="33">
        <v>8</v>
      </c>
      <c r="J11" s="25"/>
      <c r="K11" s="26"/>
      <c r="L11" s="26"/>
      <c r="M11" s="26"/>
      <c r="N11" s="30"/>
      <c r="O11" s="30"/>
      <c r="P11" s="32">
        <v>9</v>
      </c>
      <c r="Q11" s="33">
        <v>8</v>
      </c>
      <c r="R11" s="25"/>
      <c r="S11" s="26"/>
      <c r="T11" s="26"/>
      <c r="U11" s="26"/>
      <c r="W11" s="32">
        <v>9</v>
      </c>
      <c r="X11" s="33">
        <v>8</v>
      </c>
      <c r="Y11" s="25"/>
      <c r="Z11" s="26"/>
      <c r="AA11" s="26"/>
      <c r="AB11" s="26"/>
      <c r="AC11" s="30"/>
      <c r="AD11" s="30"/>
      <c r="AE11" s="32">
        <v>9</v>
      </c>
      <c r="AF11" s="33">
        <v>8</v>
      </c>
      <c r="AG11" s="25"/>
      <c r="AH11" s="26"/>
      <c r="AI11" s="26"/>
      <c r="AJ11" s="26"/>
    </row>
    <row r="12" spans="1:37" x14ac:dyDescent="0.25">
      <c r="A12" s="32">
        <v>10</v>
      </c>
      <c r="B12" s="33">
        <v>17</v>
      </c>
      <c r="C12" s="25"/>
      <c r="D12" s="26"/>
      <c r="E12" s="26"/>
      <c r="F12" s="26"/>
      <c r="G12" s="30"/>
      <c r="H12" s="32">
        <v>10</v>
      </c>
      <c r="I12" s="33">
        <v>17</v>
      </c>
      <c r="J12" s="25"/>
      <c r="K12" s="26"/>
      <c r="L12" s="26"/>
      <c r="M12" s="26"/>
      <c r="N12" s="30"/>
      <c r="O12" s="30"/>
      <c r="P12" s="32">
        <v>10</v>
      </c>
      <c r="Q12" s="33">
        <v>17</v>
      </c>
      <c r="R12" s="25"/>
      <c r="S12" s="26"/>
      <c r="T12" s="26"/>
      <c r="U12" s="26"/>
      <c r="W12" s="32">
        <v>10</v>
      </c>
      <c r="X12" s="33">
        <v>17</v>
      </c>
      <c r="Y12" s="25"/>
      <c r="Z12" s="26"/>
      <c r="AA12" s="26"/>
      <c r="AB12" s="26"/>
      <c r="AC12" s="30"/>
      <c r="AD12" s="30"/>
      <c r="AE12" s="32">
        <v>10</v>
      </c>
      <c r="AF12" s="33">
        <v>17</v>
      </c>
      <c r="AG12" s="25"/>
      <c r="AH12" s="26"/>
      <c r="AI12" s="26"/>
      <c r="AJ12" s="26"/>
    </row>
    <row r="13" spans="1:37" x14ac:dyDescent="0.25">
      <c r="A13" s="32">
        <v>11</v>
      </c>
      <c r="B13" s="33">
        <v>24</v>
      </c>
      <c r="C13" s="25"/>
      <c r="D13" s="26"/>
      <c r="E13" s="26"/>
      <c r="F13" s="26"/>
      <c r="G13" s="30"/>
      <c r="H13" s="32">
        <v>11</v>
      </c>
      <c r="I13" s="33">
        <v>24</v>
      </c>
      <c r="J13" s="25"/>
      <c r="K13" s="26"/>
      <c r="L13" s="26"/>
      <c r="M13" s="26"/>
      <c r="N13" s="30"/>
      <c r="O13" s="30"/>
      <c r="P13" s="32">
        <v>11</v>
      </c>
      <c r="Q13" s="33">
        <v>24</v>
      </c>
      <c r="R13" s="25"/>
      <c r="S13" s="26"/>
      <c r="T13" s="26"/>
      <c r="U13" s="26"/>
      <c r="W13" s="32">
        <v>11</v>
      </c>
      <c r="X13" s="33">
        <v>24</v>
      </c>
      <c r="Y13" s="25"/>
      <c r="Z13" s="26"/>
      <c r="AA13" s="26"/>
      <c r="AB13" s="26"/>
      <c r="AC13" s="30"/>
      <c r="AD13" s="30"/>
      <c r="AE13" s="32">
        <v>11</v>
      </c>
      <c r="AF13" s="33">
        <v>24</v>
      </c>
      <c r="AG13" s="25"/>
      <c r="AH13" s="26"/>
      <c r="AI13" s="26"/>
      <c r="AJ13" s="26"/>
    </row>
    <row r="14" spans="1:37" ht="15.75" thickBot="1" x14ac:dyDescent="0.3">
      <c r="A14" s="46">
        <v>12</v>
      </c>
      <c r="B14" s="47">
        <v>17</v>
      </c>
      <c r="C14" s="48"/>
      <c r="D14" s="49"/>
      <c r="E14" s="49"/>
      <c r="F14" s="49"/>
      <c r="G14" s="30"/>
      <c r="H14" s="46">
        <v>12</v>
      </c>
      <c r="I14" s="47">
        <v>17</v>
      </c>
      <c r="J14" s="48"/>
      <c r="K14" s="49"/>
      <c r="L14" s="49"/>
      <c r="M14" s="49"/>
      <c r="N14" s="30"/>
      <c r="O14" s="30"/>
      <c r="P14" s="46">
        <v>12</v>
      </c>
      <c r="Q14" s="47">
        <v>17</v>
      </c>
      <c r="R14" s="48"/>
      <c r="S14" s="49"/>
      <c r="T14" s="49"/>
      <c r="U14" s="49"/>
      <c r="W14" s="46">
        <v>12</v>
      </c>
      <c r="X14" s="47">
        <v>17</v>
      </c>
      <c r="Y14" s="48"/>
      <c r="Z14" s="49"/>
      <c r="AA14" s="49"/>
      <c r="AB14" s="49"/>
      <c r="AC14" s="30"/>
      <c r="AD14" s="30"/>
      <c r="AE14" s="46">
        <v>12</v>
      </c>
      <c r="AF14" s="47">
        <v>17</v>
      </c>
      <c r="AG14" s="48"/>
      <c r="AH14" s="49"/>
      <c r="AI14" s="49"/>
      <c r="AJ14" s="49"/>
    </row>
    <row r="15" spans="1:37" ht="15.75" thickBot="1" x14ac:dyDescent="0.3">
      <c r="A15" s="13" t="s">
        <v>35</v>
      </c>
      <c r="B15" s="3">
        <v>4</v>
      </c>
      <c r="C15" s="13"/>
      <c r="D15" s="3"/>
      <c r="E15" s="13"/>
      <c r="F15" s="3"/>
      <c r="H15" s="13"/>
      <c r="I15" s="3">
        <v>4</v>
      </c>
      <c r="J15" s="1"/>
      <c r="K15" s="3"/>
      <c r="L15" s="13"/>
      <c r="M15" s="3"/>
      <c r="N15" s="3"/>
      <c r="P15" s="13"/>
      <c r="Q15" s="3">
        <v>4</v>
      </c>
      <c r="R15" s="1"/>
      <c r="S15" s="3"/>
      <c r="T15" s="13"/>
      <c r="U15" s="3"/>
      <c r="W15" s="13"/>
      <c r="X15" s="3">
        <v>4</v>
      </c>
      <c r="Y15" s="1"/>
      <c r="Z15" s="3"/>
      <c r="AA15" s="13"/>
      <c r="AB15" s="3"/>
      <c r="AC15" s="3"/>
      <c r="AD15" s="3"/>
      <c r="AF15" s="97">
        <v>4</v>
      </c>
    </row>
    <row r="16" spans="1:37" x14ac:dyDescent="0.25">
      <c r="A16" s="50" t="s">
        <v>36</v>
      </c>
      <c r="B16" s="51" t="str">
        <f ca="1">_xlfn.FORMULATEXT(C2)</f>
        <v>=AVERAGE(B3:B6)</v>
      </c>
      <c r="C16" s="52"/>
      <c r="D16" s="53"/>
      <c r="E16" s="55"/>
      <c r="F16" s="56"/>
      <c r="H16" s="54"/>
      <c r="I16" s="55"/>
      <c r="J16" s="53"/>
      <c r="K16" s="50" t="s">
        <v>37</v>
      </c>
      <c r="L16" s="51" t="str">
        <f ca="1">_xlfn.FORMULATEXT(J3)</f>
        <v>=(1-$B$24)*(J2+K2)+$B$24*I3/L3</v>
      </c>
      <c r="M16" s="53"/>
      <c r="N16" s="56"/>
      <c r="P16" s="54"/>
      <c r="Q16" s="55"/>
      <c r="R16" s="50" t="s">
        <v>38</v>
      </c>
      <c r="S16" s="51" t="str">
        <f ca="1">_xlfn.FORMULATEXT(R4)</f>
        <v>=(1-$B$24)*(R3+S3)+$B$24*Q4/T4</v>
      </c>
      <c r="T16" s="53"/>
      <c r="U16" s="57"/>
      <c r="W16" s="54"/>
      <c r="X16" s="55"/>
      <c r="Y16" s="50" t="s">
        <v>39</v>
      </c>
      <c r="Z16" s="51" t="str">
        <f ca="1">_xlfn.FORMULATEXT(Y5)</f>
        <v>=(1-$B$24)*(Y4+Z4)+$B$24*X5/AA5</v>
      </c>
      <c r="AA16" s="51"/>
      <c r="AB16" s="51"/>
      <c r="AC16" s="57"/>
      <c r="AE16" s="54"/>
      <c r="AF16" s="55"/>
      <c r="AG16" s="50" t="s">
        <v>40</v>
      </c>
      <c r="AH16" s="51" t="str">
        <f ca="1">_xlfn.FORMULATEXT(AG5)</f>
        <v>=(1-$B$24)*(AG4+AH4)+$B$24*AF5/AI5</v>
      </c>
      <c r="AI16" s="51"/>
      <c r="AJ16" s="51"/>
      <c r="AK16" s="57"/>
    </row>
    <row r="17" spans="1:37" x14ac:dyDescent="0.25">
      <c r="A17" s="58" t="s">
        <v>41</v>
      </c>
      <c r="B17" s="92" t="str">
        <f ca="1">_xlfn.FORMULATEXT(D2)</f>
        <v>=(AVERAGE(B11:B14)-AVERAGE(B3:B6))/(A14-$B$15)</v>
      </c>
      <c r="C17" s="93"/>
      <c r="D17" s="94"/>
      <c r="E17" s="91"/>
      <c r="F17" s="63"/>
      <c r="H17" s="61"/>
      <c r="I17" s="62"/>
      <c r="J17" s="60"/>
      <c r="K17" s="58" t="s">
        <v>42</v>
      </c>
      <c r="L17" s="59" t="str">
        <f ca="1">_xlfn.FORMULATEXT(K3)</f>
        <v>=(1-$B$25)*K2+$B$25*(J3-J2)</v>
      </c>
      <c r="M17" s="60"/>
      <c r="N17" s="63"/>
      <c r="P17" s="61"/>
      <c r="Q17" s="62"/>
      <c r="R17" s="58" t="s">
        <v>43</v>
      </c>
      <c r="S17" s="59" t="str">
        <f ca="1">_xlfn.FORMULATEXT(S4)</f>
        <v>=(1-$B$25)*S3+$B$25*(R4-R3)</v>
      </c>
      <c r="T17" s="60"/>
      <c r="U17" s="64"/>
      <c r="W17" s="61"/>
      <c r="X17" s="62"/>
      <c r="Y17" s="58" t="s">
        <v>44</v>
      </c>
      <c r="Z17" s="59" t="str">
        <f ca="1">_xlfn.FORMULATEXT(Z5)</f>
        <v>=(1-$B$25)*Z4+$B$25*(Y5-Y4)</v>
      </c>
      <c r="AA17" s="59"/>
      <c r="AB17" s="59"/>
      <c r="AC17" s="64"/>
      <c r="AE17" s="61"/>
      <c r="AF17" s="62"/>
      <c r="AG17" s="58" t="s">
        <v>45</v>
      </c>
      <c r="AH17" s="59" t="str">
        <f ca="1">_xlfn.FORMULATEXT(AH6)</f>
        <v>=(1-$B$25)*AH5+$B$25*(AG6-AG5)</v>
      </c>
      <c r="AI17" s="59"/>
      <c r="AJ17" s="59"/>
      <c r="AK17" s="64"/>
    </row>
    <row r="18" spans="1:37" x14ac:dyDescent="0.25">
      <c r="A18" s="58" t="s">
        <v>27</v>
      </c>
      <c r="B18" s="92" t="str">
        <f ca="1">_xlfn.FORMULATEXT(E3)</f>
        <v>=B3/AVERAGE($B$3:$B$6)</v>
      </c>
      <c r="C18" s="93"/>
      <c r="D18" s="94"/>
      <c r="E18" s="91"/>
      <c r="F18" s="63"/>
      <c r="H18" s="61"/>
      <c r="I18" s="62"/>
      <c r="J18" s="60"/>
      <c r="K18" s="58" t="s">
        <v>46</v>
      </c>
      <c r="L18" s="59" t="str">
        <f ca="1">_xlfn.FORMULATEXT(M4)</f>
        <v>=(J3+K3)*L4</v>
      </c>
      <c r="M18" s="60"/>
      <c r="N18" s="63"/>
      <c r="P18" s="61"/>
      <c r="Q18" s="62"/>
      <c r="R18" s="58" t="s">
        <v>47</v>
      </c>
      <c r="S18" s="59" t="str">
        <f ca="1">_xlfn.FORMULATEXT(U5)</f>
        <v>=(R4+S4)*T5</v>
      </c>
      <c r="T18" s="60"/>
      <c r="U18" s="64"/>
      <c r="W18" s="61"/>
      <c r="X18" s="62"/>
      <c r="Y18" s="58" t="s">
        <v>48</v>
      </c>
      <c r="Z18" s="59" t="str">
        <f ca="1">_xlfn.FORMULATEXT(AB6)</f>
        <v>=(Y5+Z5)*AA6</v>
      </c>
      <c r="AA18" s="59"/>
      <c r="AB18" s="59"/>
      <c r="AC18" s="64"/>
      <c r="AE18" s="61"/>
      <c r="AF18" s="62"/>
      <c r="AG18" s="58" t="s">
        <v>49</v>
      </c>
      <c r="AH18" s="59" t="str">
        <f ca="1">_xlfn.FORMULATEXT(AJ6)</f>
        <v>=(AG5+AH5)*AI6</v>
      </c>
      <c r="AI18" s="59"/>
      <c r="AJ18" s="59"/>
      <c r="AK18" s="64"/>
    </row>
    <row r="19" spans="1:37" ht="15.75" thickBot="1" x14ac:dyDescent="0.3">
      <c r="A19" s="58" t="s">
        <v>28</v>
      </c>
      <c r="B19" s="92" t="str">
        <f ca="1">_xlfn.FORMULATEXT(E4)</f>
        <v>=B4/AVERAGE($B$3:$B$6)</v>
      </c>
      <c r="C19" s="93"/>
      <c r="D19" s="94"/>
      <c r="E19" s="91"/>
      <c r="F19" s="63"/>
      <c r="H19" s="65"/>
      <c r="I19" s="66"/>
      <c r="J19" s="67"/>
      <c r="K19" s="68" t="s">
        <v>50</v>
      </c>
      <c r="L19" s="69" t="str">
        <f ca="1">_xlfn.FORMULATEXT(L7)</f>
        <v>=(1-$B$26)*L3+$B$26*I3/(J2+K2)</v>
      </c>
      <c r="M19" s="67"/>
      <c r="N19" s="70"/>
      <c r="P19" s="65"/>
      <c r="Q19" s="66"/>
      <c r="R19" s="68" t="s">
        <v>51</v>
      </c>
      <c r="S19" s="69" t="str">
        <f ca="1">_xlfn.FORMULATEXT(T8)</f>
        <v>=(1-$B$26)*T4+J27*Q4/(R3+S3)</v>
      </c>
      <c r="T19" s="67"/>
      <c r="U19" s="71"/>
      <c r="W19" s="65"/>
      <c r="X19" s="66"/>
      <c r="Y19" s="68" t="s">
        <v>52</v>
      </c>
      <c r="Z19" s="69" t="str">
        <f ca="1">_xlfn.FORMULATEXT(AA9)</f>
        <v>=(1-$B$26)*AA5+Q28*X5/(Y4+Z4)</v>
      </c>
      <c r="AA19" s="69"/>
      <c r="AB19" s="69"/>
      <c r="AC19" s="71"/>
      <c r="AE19" s="65"/>
      <c r="AF19" s="66"/>
      <c r="AG19" s="68" t="s">
        <v>53</v>
      </c>
      <c r="AH19" s="69" t="str">
        <f ca="1">_xlfn.FORMULATEXT(AI10)</f>
        <v>=(1-$B$26)*AI6+Z29*AF6/(AG5+AH5)</v>
      </c>
      <c r="AI19" s="69"/>
      <c r="AJ19" s="69"/>
      <c r="AK19" s="71"/>
    </row>
    <row r="20" spans="1:37" x14ac:dyDescent="0.25">
      <c r="A20" s="58" t="s">
        <v>29</v>
      </c>
      <c r="B20" s="92" t="str">
        <f ca="1">_xlfn.FORMULATEXT(E5)</f>
        <v>=B5/AVERAGE($B$3:$B$6)</v>
      </c>
      <c r="C20" s="93"/>
      <c r="D20" s="94"/>
      <c r="E20" s="91"/>
      <c r="F20" s="63"/>
    </row>
    <row r="21" spans="1:37" x14ac:dyDescent="0.25">
      <c r="A21" s="58" t="s">
        <v>30</v>
      </c>
      <c r="B21" s="92" t="str">
        <f ca="1">_xlfn.FORMULATEXT(E6)</f>
        <v>=B6/AVERAGE($B$3:$B$6)</v>
      </c>
      <c r="C21" s="93"/>
      <c r="D21" s="94"/>
      <c r="E21" s="91"/>
      <c r="F21" s="63"/>
    </row>
    <row r="22" spans="1:37" ht="15.75" thickBot="1" x14ac:dyDescent="0.3">
      <c r="A22" s="68" t="s">
        <v>54</v>
      </c>
      <c r="B22" s="69" t="str">
        <f ca="1">_xlfn.FORMULATEXT(F3)</f>
        <v>=(C2+D2)*E3</v>
      </c>
      <c r="C22" s="67"/>
      <c r="D22" s="67"/>
      <c r="E22" s="67"/>
      <c r="F22" s="70"/>
    </row>
    <row r="23" spans="1:37" x14ac:dyDescent="0.25">
      <c r="AF23" t="s">
        <v>55</v>
      </c>
    </row>
    <row r="24" spans="1:37" x14ac:dyDescent="0.25">
      <c r="A24" s="72" t="s">
        <v>56</v>
      </c>
      <c r="B24" s="3">
        <v>0.25</v>
      </c>
    </row>
    <row r="25" spans="1:37" x14ac:dyDescent="0.25">
      <c r="A25" s="72" t="s">
        <v>57</v>
      </c>
      <c r="B25" s="3">
        <v>0.25</v>
      </c>
    </row>
    <row r="26" spans="1:37" x14ac:dyDescent="0.25">
      <c r="A26" s="72" t="s">
        <v>58</v>
      </c>
      <c r="B26" s="3">
        <v>0.25</v>
      </c>
    </row>
    <row r="28" spans="1:37" ht="15.75" x14ac:dyDescent="0.25">
      <c r="B28" s="98" t="s">
        <v>61</v>
      </c>
    </row>
    <row r="29" spans="1:37" ht="15.75" x14ac:dyDescent="0.25">
      <c r="B29" s="98" t="s">
        <v>62</v>
      </c>
    </row>
    <row r="30" spans="1:37" ht="15.75" x14ac:dyDescent="0.25">
      <c r="B30" s="98" t="s">
        <v>63</v>
      </c>
    </row>
    <row r="31" spans="1:37" ht="15.75" x14ac:dyDescent="0.25">
      <c r="B31" s="98" t="s">
        <v>64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A247-9124-45A5-B8F5-6965106F4A86}">
  <sheetPr>
    <tabColor rgb="FFFFFF00"/>
  </sheetPr>
  <dimension ref="A1:BP298"/>
  <sheetViews>
    <sheetView zoomScale="75" zoomScaleNormal="75" workbookViewId="0">
      <selection activeCell="V40" sqref="O39:V40"/>
    </sheetView>
  </sheetViews>
  <sheetFormatPr defaultColWidth="9.140625" defaultRowHeight="15" x14ac:dyDescent="0.25"/>
  <cols>
    <col min="1" max="1" width="4.5703125" style="6" bestFit="1" customWidth="1"/>
    <col min="2" max="2" width="17" style="6" customWidth="1"/>
    <col min="3" max="3" width="14.140625" style="6" bestFit="1" customWidth="1"/>
    <col min="4" max="4" width="11.7109375" style="6" bestFit="1" customWidth="1"/>
    <col min="5" max="5" width="9" style="6" bestFit="1" customWidth="1"/>
    <col min="6" max="6" width="5.140625" style="6" bestFit="1" customWidth="1"/>
    <col min="7" max="8" width="11.85546875" style="6" bestFit="1" customWidth="1"/>
    <col min="9" max="9" width="12.85546875" style="6" bestFit="1" customWidth="1"/>
    <col min="10" max="11" width="9.7109375" style="6" customWidth="1"/>
    <col min="12" max="12" width="11" style="6" bestFit="1" customWidth="1"/>
    <col min="13" max="13" width="20.5703125" style="6" bestFit="1" customWidth="1"/>
    <col min="14" max="16" width="9.7109375" style="6" customWidth="1"/>
    <col min="17" max="17" width="9.140625" style="6"/>
    <col min="18" max="18" width="12.140625" style="6" bestFit="1" customWidth="1"/>
    <col min="19" max="19" width="13.85546875" style="6" bestFit="1" customWidth="1"/>
    <col min="20" max="20" width="12.42578125" style="6" bestFit="1" customWidth="1"/>
    <col min="21" max="21" width="12.42578125" style="6" customWidth="1"/>
    <col min="22" max="22" width="12.140625" style="6" bestFit="1" customWidth="1"/>
    <col min="23" max="24" width="9.28515625" style="6" bestFit="1" customWidth="1"/>
    <col min="25" max="25" width="13.140625" style="6" customWidth="1"/>
    <col min="26" max="26" width="15.85546875" style="6" customWidth="1"/>
    <col min="27" max="28" width="9.140625" style="6"/>
    <col min="29" max="29" width="9.28515625" style="6" bestFit="1" customWidth="1"/>
    <col min="30" max="40" width="9.140625" style="6"/>
    <col min="41" max="41" width="9.140625" style="6" customWidth="1"/>
    <col min="42" max="44" width="9.140625" style="6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6"/>
  </cols>
  <sheetData>
    <row r="1" spans="1:68" customFormat="1" ht="17.25" thickBot="1" x14ac:dyDescent="0.35">
      <c r="A1" s="99" t="s">
        <v>2</v>
      </c>
      <c r="B1" s="100" t="s">
        <v>65</v>
      </c>
      <c r="C1" s="101" t="s">
        <v>66</v>
      </c>
      <c r="D1" s="101" t="s">
        <v>67</v>
      </c>
      <c r="E1" s="101" t="s">
        <v>68</v>
      </c>
      <c r="F1" s="101" t="s">
        <v>69</v>
      </c>
      <c r="G1" s="101" t="s">
        <v>70</v>
      </c>
      <c r="H1" s="101" t="s">
        <v>71</v>
      </c>
      <c r="I1" s="101" t="s">
        <v>89</v>
      </c>
      <c r="J1" s="9" t="s">
        <v>4</v>
      </c>
      <c r="K1" s="9" t="s">
        <v>3</v>
      </c>
      <c r="L1" s="9" t="s">
        <v>9</v>
      </c>
      <c r="M1" s="1" t="s">
        <v>72</v>
      </c>
      <c r="N1" s="1" t="s">
        <v>1</v>
      </c>
      <c r="O1" s="1" t="s">
        <v>73</v>
      </c>
      <c r="P1" s="1" t="s">
        <v>74</v>
      </c>
      <c r="Q1" s="1" t="s">
        <v>7</v>
      </c>
      <c r="R1" s="6" t="s">
        <v>75</v>
      </c>
      <c r="S1" s="6" t="s">
        <v>76</v>
      </c>
      <c r="T1" s="6" t="s">
        <v>77</v>
      </c>
      <c r="U1" s="6" t="s">
        <v>8</v>
      </c>
      <c r="V1" s="6" t="s">
        <v>78</v>
      </c>
      <c r="W1" s="6"/>
      <c r="X1" s="102" t="s">
        <v>79</v>
      </c>
      <c r="Y1" s="103"/>
      <c r="Z1" s="103"/>
      <c r="AA1" s="104" t="s">
        <v>80</v>
      </c>
      <c r="AB1" s="105"/>
      <c r="AC1" s="105"/>
      <c r="AD1" s="105"/>
      <c r="AE1" s="105"/>
      <c r="AF1" s="105"/>
      <c r="AG1" s="105"/>
    </row>
    <row r="2" spans="1:68" customFormat="1" ht="16.5" x14ac:dyDescent="0.3">
      <c r="A2" s="6">
        <v>0</v>
      </c>
      <c r="B2" s="6"/>
      <c r="C2" s="106">
        <f>INTERCEPT($C$5:$C$28,$A$5:$A$28)</f>
        <v>30.653007246376816</v>
      </c>
      <c r="D2" s="106">
        <f>SLOPE($C$5:$C$28,$A$5:$A$28)</f>
        <v>1.2613586956521738</v>
      </c>
      <c r="E2" s="6"/>
      <c r="F2" s="6"/>
      <c r="G2" s="6"/>
      <c r="H2" s="6"/>
      <c r="I2" s="6"/>
      <c r="J2" s="107">
        <f>C2</f>
        <v>30.653007246376816</v>
      </c>
      <c r="K2" s="107">
        <f>D2</f>
        <v>1.2613586956521738</v>
      </c>
      <c r="L2" s="101"/>
      <c r="M2" s="9"/>
      <c r="N2" s="9"/>
      <c r="O2" s="9"/>
      <c r="P2" s="9"/>
      <c r="Q2" s="9"/>
      <c r="R2" s="6"/>
      <c r="W2" s="6"/>
      <c r="X2" s="102" t="s">
        <v>81</v>
      </c>
      <c r="Y2" s="102"/>
      <c r="Z2" s="6"/>
      <c r="AA2" s="6"/>
      <c r="AB2" s="6"/>
      <c r="AC2" s="6"/>
      <c r="AD2" s="6"/>
      <c r="AE2" s="6"/>
      <c r="AF2" s="6"/>
      <c r="AG2" s="6"/>
      <c r="AP2" s="6"/>
      <c r="AQ2" s="6"/>
      <c r="AR2" s="6"/>
      <c r="BL2" s="6"/>
      <c r="BM2" s="6"/>
      <c r="BN2" s="6"/>
      <c r="BO2" s="6"/>
      <c r="BP2" s="6"/>
    </row>
    <row r="3" spans="1:68" customFormat="1" ht="16.5" x14ac:dyDescent="0.3">
      <c r="A3" s="101">
        <v>1</v>
      </c>
      <c r="B3" s="108">
        <v>21</v>
      </c>
      <c r="C3" s="109"/>
      <c r="D3" s="110">
        <f t="shared" ref="D3:D34" si="0">$C$2+$D$2*A3</f>
        <v>31.91436594202899</v>
      </c>
      <c r="E3" s="111">
        <f>B3/D3</f>
        <v>0.65801087943108616</v>
      </c>
      <c r="F3" s="112">
        <f t="shared" ref="F3:F34" si="1">IF(MOD(A3,$C$37)&gt;0,MOD(A3,$C$37),$C$37)</f>
        <v>1</v>
      </c>
      <c r="G3" s="113">
        <f>AVERAGEIF($F$3:$F$30,F3,$E$3:$E$30)</f>
        <v>0.84597858424179706</v>
      </c>
      <c r="H3" s="113">
        <f>G3/AVERAGE($G$3:$G$6)</f>
        <v>0.86089331338097475</v>
      </c>
      <c r="I3" s="126">
        <f>D3*VLOOKUP(F3,$F$3:$H$6,3,0)</f>
        <v>27.474864240286269</v>
      </c>
      <c r="J3" s="114">
        <f>(1-$C$38)*SUM(J2:K2)+$C$38*B3/L3</f>
        <v>24.393266475176794</v>
      </c>
      <c r="K3" s="114">
        <f>(1-$C$39)*K2+$C$39*(J3-J2)</f>
        <v>1.1668803779882901</v>
      </c>
      <c r="L3" s="115">
        <f>H3</f>
        <v>0.86089331338097475</v>
      </c>
      <c r="M3" s="116">
        <f>(J2+K2)*L3</f>
        <v>27.474864240286269</v>
      </c>
      <c r="N3" s="12">
        <f>B3-M3</f>
        <v>-6.4748642402862693</v>
      </c>
      <c r="O3" s="12">
        <f>ABS(N3)</f>
        <v>6.4748642402862693</v>
      </c>
      <c r="P3" s="12">
        <f>O3/B3</f>
        <v>0.30832686858506042</v>
      </c>
      <c r="Q3" s="12">
        <f>N3^2</f>
        <v>41.923866930137891</v>
      </c>
      <c r="R3" s="117">
        <f>SUM($N3:N3)</f>
        <v>-6.4748642402862693</v>
      </c>
      <c r="S3" s="11">
        <f>AVERAGE(O$3:O3)</f>
        <v>6.4748642402862693</v>
      </c>
      <c r="T3" s="11">
        <f>AVERAGE(P$3:P3)</f>
        <v>0.30832686858506042</v>
      </c>
      <c r="U3" s="11">
        <f>AVERAGE(Q$3:Q3)</f>
        <v>41.923866930137891</v>
      </c>
      <c r="V3" s="11">
        <f>R3/S3</f>
        <v>-1</v>
      </c>
      <c r="W3" s="6"/>
      <c r="X3" s="102" t="s">
        <v>82</v>
      </c>
      <c r="Y3" s="103"/>
      <c r="Z3" s="103"/>
      <c r="AA3" s="102"/>
      <c r="AB3" s="103"/>
      <c r="AC3" s="102"/>
      <c r="AD3" s="118"/>
      <c r="AE3" s="118"/>
      <c r="AF3" s="119"/>
      <c r="AG3" s="6"/>
      <c r="AP3" s="6"/>
      <c r="AQ3" s="6"/>
      <c r="AR3" s="6"/>
      <c r="BL3" s="6"/>
      <c r="BM3" s="6"/>
      <c r="BN3" s="6"/>
      <c r="BO3" s="6"/>
      <c r="BP3" s="6"/>
    </row>
    <row r="4" spans="1:68" customFormat="1" ht="16.5" x14ac:dyDescent="0.3">
      <c r="A4" s="101">
        <v>2</v>
      </c>
      <c r="B4" s="108">
        <v>27</v>
      </c>
      <c r="C4" s="109"/>
      <c r="D4" s="110">
        <f t="shared" si="0"/>
        <v>33.175724637681164</v>
      </c>
      <c r="E4" s="111">
        <f t="shared" ref="E4:E30" si="2">B4/D4</f>
        <v>0.81384808605908365</v>
      </c>
      <c r="F4" s="112">
        <f t="shared" si="1"/>
        <v>2</v>
      </c>
      <c r="G4" s="113">
        <f t="shared" ref="G4:G6" si="3">AVERAGEIF($F$3:$F$30,F4,$E$3:$E$30)</f>
        <v>1.1025441413126487</v>
      </c>
      <c r="H4" s="113">
        <f>G4/AVERAGE($G$3:$G$6)</f>
        <v>1.121982159647833</v>
      </c>
      <c r="I4" s="126">
        <f>D4*VLOOKUP(F4,$F$3:$H$6,3,0)</f>
        <v>37.222571176867334</v>
      </c>
      <c r="J4" s="114">
        <f>(1-$C$38)*(J3+K3)+$C$38*(B4/L4)</f>
        <v>24.064553761242284</v>
      </c>
      <c r="K4" s="114">
        <f>(1-$C$39)*K3+$C$39*(J4-J3)</f>
        <v>1.1480930823465625</v>
      </c>
      <c r="L4" s="115">
        <f t="shared" ref="L4:L6" si="4">H4</f>
        <v>1.121982159647833</v>
      </c>
      <c r="M4" s="116">
        <f t="shared" ref="M4:M30" si="5">(J4+K4)*L4</f>
        <v>28.288139956007932</v>
      </c>
      <c r="N4" s="12">
        <f t="shared" ref="N4:N30" si="6">B4-M4</f>
        <v>-1.2881399560079316</v>
      </c>
      <c r="O4" s="12">
        <f t="shared" ref="O4:O30" si="7">ABS(N4)</f>
        <v>1.2881399560079316</v>
      </c>
      <c r="P4" s="12">
        <f t="shared" ref="P4:P30" si="8">O4/B4</f>
        <v>4.7708887259553023E-2</v>
      </c>
      <c r="Q4" s="12">
        <f t="shared" ref="Q4:Q30" si="9">N4^2</f>
        <v>1.6593045462641161</v>
      </c>
      <c r="R4" s="117">
        <f>SUM($N4:N4)</f>
        <v>-1.2881399560079316</v>
      </c>
      <c r="S4" s="11">
        <f>AVERAGE(O$3:O4)</f>
        <v>3.8815020981471005</v>
      </c>
      <c r="T4" s="11">
        <f>AVERAGE(P$3:P4)</f>
        <v>0.17801787792230672</v>
      </c>
      <c r="U4" s="11">
        <f>AVERAGE(Q$3:Q4)</f>
        <v>21.791585738201004</v>
      </c>
      <c r="V4" s="11">
        <f t="shared" ref="V4:V30" si="10">R4/S4</f>
        <v>-0.33186635571389916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P4" s="6"/>
      <c r="AQ4" s="6"/>
      <c r="AR4" s="6"/>
      <c r="BL4" s="6"/>
      <c r="BM4" s="6"/>
      <c r="BN4" s="6"/>
      <c r="BO4" s="6"/>
      <c r="BP4" s="6"/>
    </row>
    <row r="5" spans="1:68" customFormat="1" ht="16.5" x14ac:dyDescent="0.3">
      <c r="A5" s="101">
        <v>3</v>
      </c>
      <c r="B5" s="108">
        <v>38</v>
      </c>
      <c r="C5" s="120">
        <f>AVERAGE(AVERAGE(B3:B6),AVERAGE(B4:B7))</f>
        <v>30.625</v>
      </c>
      <c r="D5" s="110">
        <f t="shared" si="0"/>
        <v>34.437083333333341</v>
      </c>
      <c r="E5" s="111">
        <f t="shared" si="2"/>
        <v>1.1034616268799378</v>
      </c>
      <c r="F5" s="112">
        <f t="shared" si="1"/>
        <v>3</v>
      </c>
      <c r="G5" s="113">
        <f t="shared" si="3"/>
        <v>1.1707796605485288</v>
      </c>
      <c r="H5" s="113">
        <f>G5/AVERAGE($G$3:$G$6)</f>
        <v>1.1914206813072159</v>
      </c>
      <c r="I5" s="126">
        <f>D5*VLOOKUP(F5,$F$3:$H$6,3,0)</f>
        <v>41.029053287233381</v>
      </c>
      <c r="J5" s="114">
        <f>(1-$C$38)*(J4+K4)+$C$38*(B5/L5)</f>
        <v>31.894695632030448</v>
      </c>
      <c r="K5" s="114">
        <f>(1-$C$39)*K4+$C$39*(J5-J4)</f>
        <v>1.2320314388145666</v>
      </c>
      <c r="L5" s="115">
        <f t="shared" si="4"/>
        <v>1.1914206813072159</v>
      </c>
      <c r="M5" s="116">
        <f t="shared" si="5"/>
        <v>39.467867736224356</v>
      </c>
      <c r="N5" s="12">
        <f t="shared" si="6"/>
        <v>-1.4678677362243562</v>
      </c>
      <c r="O5" s="12">
        <f t="shared" si="7"/>
        <v>1.4678677362243562</v>
      </c>
      <c r="P5" s="12">
        <f t="shared" si="8"/>
        <v>3.8628098321693581E-2</v>
      </c>
      <c r="Q5" s="12">
        <f t="shared" si="9"/>
        <v>2.1546356910484161</v>
      </c>
      <c r="R5" s="117">
        <f>SUM($N5:N5)</f>
        <v>-1.4678677362243562</v>
      </c>
      <c r="S5" s="11">
        <f>AVERAGE(O$3:O5)</f>
        <v>3.0769573108395192</v>
      </c>
      <c r="T5" s="11">
        <f>AVERAGE(P$3:P5)</f>
        <v>0.13155461805543567</v>
      </c>
      <c r="U5" s="11">
        <f>AVERAGE(Q$3:Q5)</f>
        <v>15.245935722483475</v>
      </c>
      <c r="V5" s="11">
        <f t="shared" si="10"/>
        <v>-0.47705170658473067</v>
      </c>
      <c r="W5" s="6"/>
      <c r="X5" s="102" t="s">
        <v>83</v>
      </c>
      <c r="Y5" s="103"/>
      <c r="Z5" s="103"/>
      <c r="AA5" s="102"/>
      <c r="AB5" s="103"/>
      <c r="AC5" s="102"/>
      <c r="AD5" s="103"/>
      <c r="AE5" s="103"/>
      <c r="AF5" s="102"/>
      <c r="AG5" s="6"/>
      <c r="AP5" s="6"/>
      <c r="AQ5" s="6"/>
      <c r="AR5" s="6"/>
      <c r="BL5" s="6"/>
      <c r="BM5" s="6"/>
      <c r="BN5" s="6"/>
      <c r="BO5" s="6"/>
      <c r="BP5" s="6"/>
    </row>
    <row r="6" spans="1:68" customFormat="1" ht="16.5" x14ac:dyDescent="0.3">
      <c r="A6" s="101">
        <v>4</v>
      </c>
      <c r="B6" s="108">
        <v>28</v>
      </c>
      <c r="C6" s="120">
        <f t="shared" ref="C6:C27" si="11">AVERAGE(AVERAGE(B4:B7),AVERAGE(B5:B8))</f>
        <v>35.5</v>
      </c>
      <c r="D6" s="110">
        <f t="shared" si="0"/>
        <v>35.698442028985511</v>
      </c>
      <c r="E6" s="111">
        <f t="shared" si="2"/>
        <v>0.78434795494059029</v>
      </c>
      <c r="F6" s="112">
        <f t="shared" si="1"/>
        <v>4</v>
      </c>
      <c r="G6" s="113">
        <f t="shared" si="3"/>
        <v>0.81139876393568344</v>
      </c>
      <c r="H6" s="113">
        <f>G6/AVERAGE($G$3:$G$6)</f>
        <v>0.82570384566397614</v>
      </c>
      <c r="I6" s="126">
        <f t="shared" ref="I6:I34" si="12">D6*VLOOKUP(F6,$F$3:$H$6,3,0)</f>
        <v>29.476340867545851</v>
      </c>
      <c r="J6" s="114">
        <f>(1-$C$38)*(J5+K5)+$C$38*(B6/L6)</f>
        <v>33.910463354429773</v>
      </c>
      <c r="K6" s="114">
        <f>(1-$C$39)*K5+$C$39*(J6-J5)</f>
        <v>1.2418765533342691</v>
      </c>
      <c r="L6" s="115">
        <f t="shared" si="4"/>
        <v>0.82570384566397614</v>
      </c>
      <c r="M6" s="116">
        <f t="shared" si="5"/>
        <v>29.025422245928031</v>
      </c>
      <c r="N6" s="12">
        <f t="shared" si="6"/>
        <v>-1.0254222459280307</v>
      </c>
      <c r="O6" s="12">
        <f t="shared" si="7"/>
        <v>1.0254222459280307</v>
      </c>
      <c r="P6" s="12">
        <f t="shared" si="8"/>
        <v>3.6622223068858241E-2</v>
      </c>
      <c r="Q6" s="12">
        <f t="shared" si="9"/>
        <v>1.0514907824440867</v>
      </c>
      <c r="R6" s="117">
        <f>SUM($N6:N6)</f>
        <v>-1.0254222459280307</v>
      </c>
      <c r="S6" s="11">
        <f>AVERAGE(O$3:O6)</f>
        <v>2.5640735446116469</v>
      </c>
      <c r="T6" s="11">
        <f>AVERAGE(P$3:P6)</f>
        <v>0.10782151930879132</v>
      </c>
      <c r="U6" s="11">
        <f>AVERAGE(Q$3:Q6)</f>
        <v>11.697324487473628</v>
      </c>
      <c r="V6" s="11">
        <f t="shared" si="10"/>
        <v>-0.3999192020380759</v>
      </c>
      <c r="W6" s="6"/>
      <c r="X6" s="102" t="s">
        <v>90</v>
      </c>
      <c r="Y6" s="103"/>
      <c r="Z6" s="103"/>
      <c r="AA6" s="102"/>
      <c r="AB6" s="103"/>
      <c r="AC6" s="102"/>
      <c r="AD6" s="103"/>
      <c r="AE6" s="103"/>
      <c r="AF6" s="102"/>
      <c r="AG6" s="105"/>
      <c r="AP6" s="6"/>
      <c r="AQ6" s="6"/>
      <c r="AR6" s="6"/>
      <c r="BL6" s="6"/>
      <c r="BM6" s="6"/>
      <c r="BN6" s="6"/>
      <c r="BO6" s="6"/>
      <c r="BP6" s="6"/>
    </row>
    <row r="7" spans="1:68" customFormat="1" ht="16.5" x14ac:dyDescent="0.3">
      <c r="A7" s="101">
        <v>5</v>
      </c>
      <c r="B7" s="108">
        <v>38</v>
      </c>
      <c r="C7" s="120">
        <f t="shared" si="11"/>
        <v>39.375</v>
      </c>
      <c r="D7" s="110">
        <f t="shared" si="0"/>
        <v>36.959800724637688</v>
      </c>
      <c r="E7" s="111">
        <f t="shared" si="2"/>
        <v>1.028144071530908</v>
      </c>
      <c r="F7" s="112">
        <f t="shared" si="1"/>
        <v>1</v>
      </c>
      <c r="G7" s="121">
        <f>AVERAGE(G3:G6)</f>
        <v>0.98267528750966449</v>
      </c>
      <c r="H7" s="121">
        <f>AVERAGE(H3:H6)</f>
        <v>0.99999999999999989</v>
      </c>
      <c r="I7" s="126">
        <f t="shared" si="12"/>
        <v>31.818445307733892</v>
      </c>
      <c r="J7" s="122">
        <f>(1-$C$38)*(J6+K6)+$C$38*(B7/L7)</f>
        <v>44.14019647889134</v>
      </c>
      <c r="K7" s="122">
        <f>(1-$C$39)*K6+$C$39*(J7-J6)</f>
        <v>1.3547799356106089</v>
      </c>
      <c r="L7" s="122">
        <f>(1-$C$40)*L3+$C$40*(B3/SUM(J2:K2))</f>
        <v>0.86089331338097475</v>
      </c>
      <c r="M7" s="116">
        <f t="shared" si="5"/>
        <v>39.166320987669884</v>
      </c>
      <c r="N7" s="12">
        <f t="shared" si="6"/>
        <v>-1.1663209876698843</v>
      </c>
      <c r="O7" s="12">
        <f t="shared" si="7"/>
        <v>1.1663209876698843</v>
      </c>
      <c r="P7" s="12">
        <f t="shared" si="8"/>
        <v>3.0692657570260115E-2</v>
      </c>
      <c r="Q7" s="12">
        <f t="shared" si="9"/>
        <v>1.3603046462792545</v>
      </c>
      <c r="R7" s="117">
        <f>SUM($N7:N7)</f>
        <v>-1.1663209876698843</v>
      </c>
      <c r="S7" s="11">
        <f>AVERAGE(O$3:O7)</f>
        <v>2.2845230332232944</v>
      </c>
      <c r="T7" s="11">
        <f>AVERAGE(P$3:P7)</f>
        <v>9.2395746961085073E-2</v>
      </c>
      <c r="U7" s="11">
        <f>AVERAGE(Q$3:Q7)</f>
        <v>9.6299205192347532</v>
      </c>
      <c r="V7" s="11">
        <f t="shared" si="10"/>
        <v>-0.51053150732487518</v>
      </c>
      <c r="W7" s="6"/>
      <c r="X7" s="102" t="s">
        <v>36</v>
      </c>
      <c r="Y7" s="103">
        <f>C2</f>
        <v>30.653007246376816</v>
      </c>
      <c r="Z7" s="118"/>
      <c r="AA7" s="119"/>
      <c r="AB7" s="118"/>
      <c r="AC7" s="119"/>
      <c r="AD7" s="118"/>
      <c r="AE7" s="118"/>
      <c r="AF7" s="119"/>
      <c r="AG7" s="105"/>
      <c r="AP7" s="6"/>
      <c r="AQ7" s="6"/>
      <c r="AR7" s="6"/>
      <c r="BL7" s="6"/>
      <c r="BM7" s="6"/>
      <c r="BN7" s="6"/>
      <c r="BO7" s="6"/>
      <c r="BP7" s="6"/>
    </row>
    <row r="8" spans="1:68" customFormat="1" ht="16.5" x14ac:dyDescent="0.3">
      <c r="A8" s="101">
        <v>6</v>
      </c>
      <c r="B8" s="108">
        <v>49</v>
      </c>
      <c r="C8" s="120">
        <f t="shared" si="11"/>
        <v>41.375</v>
      </c>
      <c r="D8" s="110">
        <f t="shared" si="0"/>
        <v>38.221159420289858</v>
      </c>
      <c r="E8" s="111">
        <f t="shared" si="2"/>
        <v>1.2820123916489083</v>
      </c>
      <c r="F8" s="112">
        <f t="shared" si="1"/>
        <v>2</v>
      </c>
      <c r="G8" s="112"/>
      <c r="H8" s="112"/>
      <c r="I8" s="126">
        <f t="shared" si="12"/>
        <v>42.88345899062093</v>
      </c>
      <c r="J8" s="122">
        <f t="shared" ref="J8:J30" si="13">(1-$C$38)*(J7+K7)+$C$38*(B8/L8)</f>
        <v>43.672708677810071</v>
      </c>
      <c r="K8" s="122">
        <f t="shared" ref="K8:K30" si="14">(1-$C$39)*K7+$C$39*(J8-J7)</f>
        <v>1.331889028389583</v>
      </c>
      <c r="L8" s="122">
        <f t="shared" ref="L8:L30" si="15">(1-$C$40)*L4+$C$40*(B4/SUM(J3:K3))</f>
        <v>1.121982159647833</v>
      </c>
      <c r="M8" s="116">
        <f t="shared" si="5"/>
        <v>50.494355728483796</v>
      </c>
      <c r="N8" s="12">
        <f t="shared" si="6"/>
        <v>-1.4943557284837965</v>
      </c>
      <c r="O8" s="12">
        <f t="shared" si="7"/>
        <v>1.4943557284837965</v>
      </c>
      <c r="P8" s="12">
        <f t="shared" si="8"/>
        <v>3.0497055683342787E-2</v>
      </c>
      <c r="Q8" s="12">
        <f t="shared" si="9"/>
        <v>2.2330990432523383</v>
      </c>
      <c r="R8" s="117">
        <f>SUM($N8:N8)</f>
        <v>-1.4943557284837965</v>
      </c>
      <c r="S8" s="11">
        <f>AVERAGE(O$3:O8)</f>
        <v>2.1528284824333781</v>
      </c>
      <c r="T8" s="11">
        <f>AVERAGE(P$3:P8)</f>
        <v>8.2079298414794694E-2</v>
      </c>
      <c r="U8" s="11">
        <f>AVERAGE(Q$3:Q8)</f>
        <v>8.3971169399043504</v>
      </c>
      <c r="V8" s="11">
        <f t="shared" si="10"/>
        <v>-0.69413598931704079</v>
      </c>
      <c r="W8" s="6"/>
      <c r="X8" s="102" t="s">
        <v>41</v>
      </c>
      <c r="Y8" s="103">
        <f>D2</f>
        <v>1.2613586956521738</v>
      </c>
      <c r="Z8" s="118"/>
      <c r="AA8" s="119"/>
      <c r="AB8" s="118"/>
      <c r="AC8" s="119"/>
      <c r="AD8" s="118"/>
      <c r="AE8" s="118"/>
      <c r="AF8" s="119"/>
      <c r="AG8" s="105"/>
      <c r="AP8" s="6"/>
      <c r="AQ8" s="6"/>
      <c r="AR8" s="6"/>
      <c r="BL8" s="6"/>
      <c r="BM8" s="6"/>
      <c r="BN8" s="6"/>
      <c r="BO8" s="6"/>
      <c r="BP8" s="6"/>
    </row>
    <row r="9" spans="1:68" customFormat="1" ht="16.5" x14ac:dyDescent="0.3">
      <c r="A9" s="101">
        <v>7</v>
      </c>
      <c r="B9" s="108">
        <v>47</v>
      </c>
      <c r="C9" s="120">
        <f t="shared" si="11"/>
        <v>42.75</v>
      </c>
      <c r="D9" s="110">
        <f t="shared" si="0"/>
        <v>39.482518115942035</v>
      </c>
      <c r="E9" s="111">
        <f t="shared" si="2"/>
        <v>1.1904002642886802</v>
      </c>
      <c r="F9" s="112">
        <f t="shared" si="1"/>
        <v>3</v>
      </c>
      <c r="G9" s="112"/>
      <c r="H9" s="112"/>
      <c r="I9" s="126">
        <f t="shared" si="12"/>
        <v>47.040288633420154</v>
      </c>
      <c r="J9" s="122">
        <f t="shared" si="13"/>
        <v>39.448702492248188</v>
      </c>
      <c r="K9" s="122">
        <f t="shared" si="14"/>
        <v>1.2620971535121923</v>
      </c>
      <c r="L9" s="122">
        <f t="shared" si="15"/>
        <v>1.1914206813072159</v>
      </c>
      <c r="M9" s="116">
        <f t="shared" si="5"/>
        <v>48.503688650513396</v>
      </c>
      <c r="N9" s="12">
        <f t="shared" si="6"/>
        <v>-1.5036886505133964</v>
      </c>
      <c r="O9" s="12">
        <f t="shared" si="7"/>
        <v>1.5036886505133964</v>
      </c>
      <c r="P9" s="12">
        <f t="shared" si="8"/>
        <v>3.1993375542838223E-2</v>
      </c>
      <c r="Q9" s="12">
        <f t="shared" si="9"/>
        <v>2.2610795576827991</v>
      </c>
      <c r="R9" s="117">
        <f>SUM($N9:N9)</f>
        <v>-1.5036886505133964</v>
      </c>
      <c r="S9" s="11">
        <f>AVERAGE(O$3:O9)</f>
        <v>2.0600942207305235</v>
      </c>
      <c r="T9" s="11">
        <f>AVERAGE(P$3:P9)</f>
        <v>7.4924166575943779E-2</v>
      </c>
      <c r="U9" s="11">
        <f>AVERAGE(Q$3:Q9)</f>
        <v>7.5205401710155568</v>
      </c>
      <c r="V9" s="11">
        <f t="shared" si="10"/>
        <v>-0.72991256195077237</v>
      </c>
      <c r="W9" s="6"/>
      <c r="X9" s="102" t="s">
        <v>27</v>
      </c>
      <c r="Y9" s="103">
        <f>H3</f>
        <v>0.86089331338097475</v>
      </c>
      <c r="Z9" s="118"/>
      <c r="AA9" s="119"/>
      <c r="AB9" s="118"/>
      <c r="AC9" s="119"/>
      <c r="AD9" s="118"/>
      <c r="AE9" s="118"/>
      <c r="AF9" s="119"/>
      <c r="AG9" s="105"/>
      <c r="AP9" s="6"/>
      <c r="AQ9" s="6"/>
      <c r="AR9" s="6"/>
      <c r="BL9" s="6"/>
      <c r="BM9" s="6"/>
      <c r="BN9" s="6"/>
      <c r="BO9" s="6"/>
      <c r="BP9" s="6"/>
    </row>
    <row r="10" spans="1:68" customFormat="1" ht="16.5" x14ac:dyDescent="0.3">
      <c r="A10" s="101">
        <v>8</v>
      </c>
      <c r="B10" s="108">
        <v>35</v>
      </c>
      <c r="C10" s="120">
        <f t="shared" si="11"/>
        <v>44</v>
      </c>
      <c r="D10" s="110">
        <f t="shared" si="0"/>
        <v>40.743876811594205</v>
      </c>
      <c r="E10" s="111">
        <f t="shared" si="2"/>
        <v>0.85902478455462761</v>
      </c>
      <c r="F10" s="112">
        <f t="shared" si="1"/>
        <v>4</v>
      </c>
      <c r="G10" s="112"/>
      <c r="H10" s="112"/>
      <c r="I10" s="126">
        <f t="shared" si="12"/>
        <v>33.642375770592636</v>
      </c>
      <c r="J10" s="122">
        <f t="shared" si="13"/>
        <v>42.388079193037214</v>
      </c>
      <c r="K10" s="122">
        <f t="shared" si="14"/>
        <v>1.2831667525219073</v>
      </c>
      <c r="L10" s="122">
        <f t="shared" si="15"/>
        <v>0.82570384566397614</v>
      </c>
      <c r="M10" s="116">
        <f t="shared" si="5"/>
        <v>36.059515722185495</v>
      </c>
      <c r="N10" s="12">
        <f t="shared" si="6"/>
        <v>-1.0595157221854947</v>
      </c>
      <c r="O10" s="12">
        <f t="shared" si="7"/>
        <v>1.0595157221854947</v>
      </c>
      <c r="P10" s="12">
        <f t="shared" si="8"/>
        <v>3.027187777672842E-2</v>
      </c>
      <c r="Q10" s="12">
        <f t="shared" si="9"/>
        <v>1.1225735655582505</v>
      </c>
      <c r="R10" s="117">
        <f>SUM($N10:N10)</f>
        <v>-1.0595157221854947</v>
      </c>
      <c r="S10" s="11">
        <f>AVERAGE(O$3:O10)</f>
        <v>1.935021908412395</v>
      </c>
      <c r="T10" s="11">
        <f>AVERAGE(P$3:P10)</f>
        <v>6.9342630476041861E-2</v>
      </c>
      <c r="U10" s="11">
        <f>AVERAGE(Q$3:Q10)</f>
        <v>6.7207943453333936</v>
      </c>
      <c r="V10" s="11">
        <f t="shared" si="10"/>
        <v>-0.54754714537303784</v>
      </c>
      <c r="W10" s="6"/>
      <c r="X10" s="102" t="s">
        <v>28</v>
      </c>
      <c r="Y10" s="103">
        <f>H4</f>
        <v>1.121982159647833</v>
      </c>
      <c r="Z10" s="118"/>
      <c r="AA10" s="119"/>
      <c r="AB10" s="118"/>
      <c r="AC10" s="119"/>
      <c r="AD10" s="118"/>
      <c r="AE10" s="118"/>
      <c r="AF10" s="119"/>
      <c r="AG10" s="105"/>
      <c r="AP10" s="6"/>
      <c r="AQ10" s="6"/>
      <c r="AR10" s="6"/>
      <c r="BL10" s="6"/>
      <c r="BM10" s="6"/>
      <c r="BN10" s="6"/>
      <c r="BO10" s="6"/>
      <c r="BP10" s="6"/>
    </row>
    <row r="11" spans="1:68" customFormat="1" ht="16.5" x14ac:dyDescent="0.3">
      <c r="A11" s="101">
        <v>9</v>
      </c>
      <c r="B11" s="108">
        <v>42</v>
      </c>
      <c r="C11" s="120">
        <f t="shared" si="11"/>
        <v>45.875</v>
      </c>
      <c r="D11" s="110">
        <f t="shared" si="0"/>
        <v>42.005235507246383</v>
      </c>
      <c r="E11" s="111">
        <f t="shared" si="2"/>
        <v>0.99987536060247828</v>
      </c>
      <c r="F11" s="112">
        <f t="shared" si="1"/>
        <v>1</v>
      </c>
      <c r="G11" s="112"/>
      <c r="H11" s="112"/>
      <c r="I11" s="126">
        <f t="shared" si="12"/>
        <v>36.162026375181505</v>
      </c>
      <c r="J11" s="122">
        <f t="shared" si="13"/>
        <v>48.786532950353589</v>
      </c>
      <c r="K11" s="122">
        <f t="shared" si="14"/>
        <v>1.3474238086492578</v>
      </c>
      <c r="L11" s="122">
        <f t="shared" si="15"/>
        <v>0.86089331338097475</v>
      </c>
      <c r="M11" s="116">
        <f t="shared" si="5"/>
        <v>43.159988147156476</v>
      </c>
      <c r="N11" s="12">
        <f t="shared" si="6"/>
        <v>-1.1599881471564757</v>
      </c>
      <c r="O11" s="12">
        <f t="shared" si="7"/>
        <v>1.1599881471564757</v>
      </c>
      <c r="P11" s="12">
        <f t="shared" si="8"/>
        <v>2.7618765408487518E-2</v>
      </c>
      <c r="Q11" s="12">
        <f t="shared" si="9"/>
        <v>1.3455725015435136</v>
      </c>
      <c r="R11" s="117">
        <f>SUM($N11:N11)</f>
        <v>-1.1599881471564757</v>
      </c>
      <c r="S11" s="11">
        <f>AVERAGE(O$3:O11)</f>
        <v>1.8489070460506261</v>
      </c>
      <c r="T11" s="11">
        <f>AVERAGE(P$3:P11)</f>
        <v>6.4706645468535828E-2</v>
      </c>
      <c r="U11" s="11">
        <f>AVERAGE(Q$3:Q11)</f>
        <v>6.1235474738011852</v>
      </c>
      <c r="V11" s="11">
        <f t="shared" si="10"/>
        <v>-0.62739127401470962</v>
      </c>
      <c r="W11" s="6"/>
      <c r="X11" s="102" t="s">
        <v>29</v>
      </c>
      <c r="Y11" s="103">
        <f>H5</f>
        <v>1.1914206813072159</v>
      </c>
      <c r="Z11" s="118"/>
      <c r="AA11" s="119"/>
      <c r="AB11" s="118"/>
      <c r="AC11" s="119"/>
      <c r="AD11" s="118"/>
      <c r="AE11" s="118"/>
      <c r="AF11" s="119"/>
      <c r="AG11" s="105"/>
      <c r="AP11" s="6"/>
      <c r="AQ11" s="6"/>
      <c r="AR11" s="6"/>
      <c r="BL11" s="6"/>
      <c r="BM11" s="6"/>
      <c r="BN11" s="6"/>
      <c r="BO11" s="6"/>
      <c r="BP11" s="6"/>
    </row>
    <row r="12" spans="1:68" customFormat="1" ht="16.5" x14ac:dyDescent="0.3">
      <c r="A12" s="101">
        <v>10</v>
      </c>
      <c r="B12" s="108">
        <v>55</v>
      </c>
      <c r="C12" s="120">
        <f t="shared" si="11"/>
        <v>46.625</v>
      </c>
      <c r="D12" s="110">
        <f t="shared" si="0"/>
        <v>43.266594202898553</v>
      </c>
      <c r="E12" s="111">
        <f t="shared" si="2"/>
        <v>1.2711885696867584</v>
      </c>
      <c r="F12" s="112">
        <f t="shared" si="1"/>
        <v>2</v>
      </c>
      <c r="G12" s="112"/>
      <c r="H12" s="112"/>
      <c r="I12" s="126">
        <f t="shared" si="12"/>
        <v>48.544346804374527</v>
      </c>
      <c r="J12" s="122">
        <f t="shared" si="13"/>
        <v>49.020387291419468</v>
      </c>
      <c r="K12" s="122">
        <f t="shared" si="14"/>
        <v>1.3334354057085935</v>
      </c>
      <c r="L12" s="122">
        <f t="shared" si="15"/>
        <v>1.121982159647833</v>
      </c>
      <c r="M12" s="116">
        <f t="shared" si="5"/>
        <v>56.496090736247808</v>
      </c>
      <c r="N12" s="12">
        <f t="shared" si="6"/>
        <v>-1.4960907362478082</v>
      </c>
      <c r="O12" s="12">
        <f t="shared" si="7"/>
        <v>1.4960907362478082</v>
      </c>
      <c r="P12" s="12">
        <f t="shared" si="8"/>
        <v>2.7201649749960147E-2</v>
      </c>
      <c r="Q12" s="12">
        <f t="shared" si="9"/>
        <v>2.2382874910865089</v>
      </c>
      <c r="R12" s="117">
        <f>SUM($N12:N12)</f>
        <v>-1.4960907362478082</v>
      </c>
      <c r="S12" s="11">
        <f>AVERAGE(O$3:O12)</f>
        <v>1.8136254150703444</v>
      </c>
      <c r="T12" s="11">
        <f>AVERAGE(P$3:P12)</f>
        <v>6.0956145896678263E-2</v>
      </c>
      <c r="U12" s="11">
        <f>AVERAGE(Q$3:Q12)</f>
        <v>5.7350214755297175</v>
      </c>
      <c r="V12" s="11">
        <f t="shared" si="10"/>
        <v>-0.82491716526247505</v>
      </c>
      <c r="W12" s="6"/>
      <c r="X12" s="102" t="s">
        <v>30</v>
      </c>
      <c r="Y12" s="103">
        <f>H6</f>
        <v>0.82570384566397614</v>
      </c>
      <c r="Z12" s="118"/>
      <c r="AA12" s="119"/>
      <c r="AB12" s="118"/>
      <c r="AC12" s="119"/>
      <c r="AD12" s="118"/>
      <c r="AE12" s="118"/>
      <c r="AF12" s="119"/>
      <c r="AG12" s="105"/>
      <c r="AP12" s="6"/>
      <c r="AQ12" s="6"/>
      <c r="AR12" s="6"/>
      <c r="BL12" s="6"/>
      <c r="BM12" s="6"/>
      <c r="BN12" s="6"/>
      <c r="BO12" s="6"/>
      <c r="BP12" s="6"/>
    </row>
    <row r="13" spans="1:68" customFormat="1" ht="16.5" x14ac:dyDescent="0.3">
      <c r="A13" s="101">
        <v>11</v>
      </c>
      <c r="B13" s="108">
        <v>56</v>
      </c>
      <c r="C13" s="120">
        <f t="shared" si="11"/>
        <v>45.375</v>
      </c>
      <c r="D13" s="110">
        <f t="shared" si="0"/>
        <v>44.52795289855073</v>
      </c>
      <c r="E13" s="111">
        <f t="shared" si="2"/>
        <v>1.2576369753082148</v>
      </c>
      <c r="F13" s="112">
        <f t="shared" si="1"/>
        <v>3</v>
      </c>
      <c r="G13" s="112"/>
      <c r="H13" s="112"/>
      <c r="I13" s="126">
        <f t="shared" si="12"/>
        <v>53.051523979606927</v>
      </c>
      <c r="J13" s="122">
        <f t="shared" si="13"/>
        <v>47.002709352465921</v>
      </c>
      <c r="K13" s="122">
        <f t="shared" si="14"/>
        <v>1.2913394924049526</v>
      </c>
      <c r="L13" s="122">
        <f t="shared" si="15"/>
        <v>1.1914206813072159</v>
      </c>
      <c r="M13" s="116">
        <f t="shared" si="5"/>
        <v>57.538528577840019</v>
      </c>
      <c r="N13" s="12">
        <f t="shared" si="6"/>
        <v>-1.5385285778400188</v>
      </c>
      <c r="O13" s="12">
        <f t="shared" si="7"/>
        <v>1.5385285778400188</v>
      </c>
      <c r="P13" s="12">
        <f t="shared" si="8"/>
        <v>2.747372460428605E-2</v>
      </c>
      <c r="Q13" s="12">
        <f t="shared" si="9"/>
        <v>2.367070184830431</v>
      </c>
      <c r="R13" s="117">
        <f>SUM($N13:N13)</f>
        <v>-1.5385285778400188</v>
      </c>
      <c r="S13" s="11">
        <f>AVERAGE(O$3:O13)</f>
        <v>1.7886166116857694</v>
      </c>
      <c r="T13" s="11">
        <f>AVERAGE(P$3:P13)</f>
        <v>5.7912289415551703E-2</v>
      </c>
      <c r="U13" s="11">
        <f>AVERAGE(Q$3:Q13)</f>
        <v>5.4288440854661459</v>
      </c>
      <c r="V13" s="11">
        <f t="shared" si="10"/>
        <v>-0.86017795417317366</v>
      </c>
      <c r="W13" s="6"/>
      <c r="X13" s="102" t="s">
        <v>84</v>
      </c>
      <c r="Y13" s="103"/>
      <c r="Z13" s="103"/>
      <c r="AA13" s="102"/>
      <c r="AB13" s="103"/>
      <c r="AC13" s="102"/>
      <c r="AD13" s="103"/>
      <c r="AE13" s="103"/>
      <c r="AF13" s="102"/>
      <c r="AG13" s="105"/>
      <c r="AP13" s="6"/>
      <c r="AQ13" s="6"/>
      <c r="AR13" s="6"/>
      <c r="BL13" s="6"/>
      <c r="BM13" s="6"/>
      <c r="BN13" s="6"/>
      <c r="BO13" s="6"/>
      <c r="BP13" s="6"/>
    </row>
    <row r="14" spans="1:68" customFormat="1" ht="16.5" x14ac:dyDescent="0.3">
      <c r="A14" s="101">
        <v>12</v>
      </c>
      <c r="B14" s="108">
        <v>32</v>
      </c>
      <c r="C14" s="120">
        <f t="shared" si="11"/>
        <v>44.5</v>
      </c>
      <c r="D14" s="110">
        <f t="shared" si="0"/>
        <v>45.7893115942029</v>
      </c>
      <c r="E14" s="111">
        <f t="shared" si="2"/>
        <v>0.69885304858025687</v>
      </c>
      <c r="F14" s="112">
        <f t="shared" si="1"/>
        <v>4</v>
      </c>
      <c r="G14" s="112"/>
      <c r="H14" s="112"/>
      <c r="I14" s="126">
        <f t="shared" si="12"/>
        <v>37.808410673639422</v>
      </c>
      <c r="J14" s="122">
        <f t="shared" si="13"/>
        <v>38.754815262205454</v>
      </c>
      <c r="K14" s="122">
        <f t="shared" si="14"/>
        <v>1.1715098392185879</v>
      </c>
      <c r="L14" s="122">
        <f t="shared" si="15"/>
        <v>0.82570384566397614</v>
      </c>
      <c r="M14" s="116">
        <f t="shared" si="5"/>
        <v>32.967320179475976</v>
      </c>
      <c r="N14" s="12">
        <f t="shared" si="6"/>
        <v>-0.96732017947597626</v>
      </c>
      <c r="O14" s="12">
        <f t="shared" si="7"/>
        <v>0.96732017947597626</v>
      </c>
      <c r="P14" s="12">
        <f t="shared" si="8"/>
        <v>3.0228755608624258E-2</v>
      </c>
      <c r="Q14" s="12">
        <f t="shared" si="9"/>
        <v>0.93570832962143491</v>
      </c>
      <c r="R14" s="117">
        <f>SUM($N14:N14)</f>
        <v>-0.96732017947597626</v>
      </c>
      <c r="S14" s="11">
        <f>AVERAGE(O$3:O14)</f>
        <v>1.7201752423349532</v>
      </c>
      <c r="T14" s="11">
        <f>AVERAGE(P$3:P14)</f>
        <v>5.5605328264974413E-2</v>
      </c>
      <c r="U14" s="11">
        <f>AVERAGE(Q$3:Q14)</f>
        <v>5.05441610581242</v>
      </c>
      <c r="V14" s="11">
        <f t="shared" si="10"/>
        <v>-0.56233815931622344</v>
      </c>
      <c r="X14" s="123" t="s">
        <v>85</v>
      </c>
      <c r="Y14" s="123"/>
      <c r="Z14" s="104" t="s">
        <v>60</v>
      </c>
      <c r="AA14" s="105"/>
      <c r="AB14" s="105"/>
      <c r="AC14" s="123"/>
      <c r="AD14" s="123"/>
      <c r="AE14" s="123"/>
      <c r="AF14" s="123"/>
      <c r="AG14" s="105"/>
      <c r="AP14" s="6"/>
      <c r="AQ14" s="6"/>
      <c r="AR14" s="6"/>
      <c r="BL14" s="6"/>
      <c r="BM14" s="6"/>
      <c r="BN14" s="6"/>
      <c r="BO14" s="6"/>
      <c r="BP14" s="6"/>
    </row>
    <row r="15" spans="1:68" customFormat="1" ht="16.5" x14ac:dyDescent="0.3">
      <c r="A15" s="101">
        <v>13</v>
      </c>
      <c r="B15" s="108">
        <v>35</v>
      </c>
      <c r="C15" s="120">
        <f t="shared" si="11"/>
        <v>43.75</v>
      </c>
      <c r="D15" s="110">
        <f t="shared" si="0"/>
        <v>47.050670289855077</v>
      </c>
      <c r="E15" s="111">
        <f t="shared" si="2"/>
        <v>0.74387888173288352</v>
      </c>
      <c r="F15" s="112">
        <f t="shared" si="1"/>
        <v>1</v>
      </c>
      <c r="G15" s="112"/>
      <c r="H15" s="112"/>
      <c r="I15" s="126">
        <f t="shared" si="12"/>
        <v>40.505607442629127</v>
      </c>
      <c r="J15" s="122">
        <f t="shared" si="13"/>
        <v>40.655444125294657</v>
      </c>
      <c r="K15" s="122">
        <f t="shared" si="14"/>
        <v>1.1806688643126755</v>
      </c>
      <c r="L15" s="122">
        <f t="shared" si="15"/>
        <v>0.86089331338097475</v>
      </c>
      <c r="M15" s="116">
        <f t="shared" si="5"/>
        <v>36.016429930603891</v>
      </c>
      <c r="N15" s="12">
        <f t="shared" si="6"/>
        <v>-1.0164299306038913</v>
      </c>
      <c r="O15" s="12">
        <f t="shared" si="7"/>
        <v>1.0164299306038913</v>
      </c>
      <c r="P15" s="12">
        <f t="shared" si="8"/>
        <v>2.9040855160111179E-2</v>
      </c>
      <c r="Q15" s="12">
        <f t="shared" si="9"/>
        <v>1.0331298038274312</v>
      </c>
      <c r="R15" s="117">
        <f>SUM($N15:N15)</f>
        <v>-1.0164299306038913</v>
      </c>
      <c r="S15" s="11">
        <f>AVERAGE(O$3:O15)</f>
        <v>1.6660409875864099</v>
      </c>
      <c r="T15" s="11">
        <f>AVERAGE(P$3:P15)</f>
        <v>5.3561907256908015E-2</v>
      </c>
      <c r="U15" s="11">
        <f>AVERAGE(Q$3:Q15)</f>
        <v>4.7450863902751133</v>
      </c>
      <c r="V15" s="11">
        <f t="shared" si="10"/>
        <v>-0.61008698956223828</v>
      </c>
      <c r="X15" s="103" t="s">
        <v>86</v>
      </c>
      <c r="Y15" s="103"/>
      <c r="Z15" s="103"/>
      <c r="AA15" s="103"/>
      <c r="AB15" s="103"/>
      <c r="AC15" s="103"/>
      <c r="AD15" s="103"/>
      <c r="AE15" s="103"/>
      <c r="AF15" s="103"/>
      <c r="AG15" s="118"/>
      <c r="AP15" s="6"/>
      <c r="AQ15" s="6"/>
      <c r="AR15" s="6"/>
      <c r="BL15" s="6"/>
      <c r="BM15" s="6"/>
      <c r="BN15" s="6"/>
      <c r="BO15" s="6"/>
      <c r="BP15" s="6"/>
    </row>
    <row r="16" spans="1:68" customFormat="1" ht="16.5" x14ac:dyDescent="0.3">
      <c r="A16" s="101">
        <v>14</v>
      </c>
      <c r="B16" s="108">
        <v>55</v>
      </c>
      <c r="C16" s="120">
        <f t="shared" si="11"/>
        <v>44.75</v>
      </c>
      <c r="D16" s="110">
        <f t="shared" si="0"/>
        <v>48.312028985507254</v>
      </c>
      <c r="E16" s="111">
        <f t="shared" si="2"/>
        <v>1.1384328324628845</v>
      </c>
      <c r="F16" s="112">
        <f t="shared" si="1"/>
        <v>2</v>
      </c>
      <c r="G16" s="112"/>
      <c r="H16" s="112"/>
      <c r="I16" s="126">
        <f t="shared" si="12"/>
        <v>54.205234618128138</v>
      </c>
      <c r="J16" s="122">
        <f t="shared" si="13"/>
        <v>49.020387291419468</v>
      </c>
      <c r="K16" s="122">
        <f t="shared" si="14"/>
        <v>1.2709160619016158</v>
      </c>
      <c r="L16" s="122">
        <f t="shared" si="15"/>
        <v>1.121982159647833</v>
      </c>
      <c r="M16" s="116">
        <f t="shared" si="5"/>
        <v>56.425945147863494</v>
      </c>
      <c r="N16" s="12">
        <f t="shared" si="6"/>
        <v>-1.4259451478634944</v>
      </c>
      <c r="O16" s="12">
        <f t="shared" si="7"/>
        <v>1.4259451478634944</v>
      </c>
      <c r="P16" s="12">
        <f t="shared" si="8"/>
        <v>2.5926275415699897E-2</v>
      </c>
      <c r="Q16" s="12">
        <f t="shared" si="9"/>
        <v>2.033319564715443</v>
      </c>
      <c r="R16" s="117">
        <f>SUM($N16:N16)</f>
        <v>-1.4259451478634944</v>
      </c>
      <c r="S16" s="11">
        <f>AVERAGE(O$3:O16)</f>
        <v>1.6488912847490589</v>
      </c>
      <c r="T16" s="11">
        <f>AVERAGE(P$3:P16)</f>
        <v>5.1587933553964578E-2</v>
      </c>
      <c r="U16" s="11">
        <f>AVERAGE(Q$3:Q16)</f>
        <v>4.5513887598779936</v>
      </c>
      <c r="V16" s="11">
        <f t="shared" si="10"/>
        <v>-0.86479027516996421</v>
      </c>
      <c r="X16" s="6"/>
      <c r="Y16" s="6"/>
      <c r="Z16" s="6"/>
      <c r="AA16" s="6"/>
      <c r="AB16" s="6"/>
      <c r="AC16" s="6"/>
      <c r="AD16" s="6"/>
      <c r="AE16" s="6"/>
      <c r="AF16" s="6"/>
      <c r="AG16" s="118"/>
      <c r="AP16" s="6"/>
      <c r="AQ16" s="6"/>
      <c r="AR16" s="6"/>
      <c r="BL16" s="6"/>
      <c r="BM16" s="6"/>
      <c r="BN16" s="6"/>
      <c r="BO16" s="6"/>
      <c r="BP16" s="6"/>
    </row>
    <row r="17" spans="1:68" ht="16.5" x14ac:dyDescent="0.3">
      <c r="A17" s="101">
        <v>15</v>
      </c>
      <c r="B17" s="108">
        <v>50</v>
      </c>
      <c r="C17" s="120">
        <f t="shared" si="11"/>
        <v>47.625</v>
      </c>
      <c r="D17" s="110">
        <f t="shared" si="0"/>
        <v>49.573387681159424</v>
      </c>
      <c r="E17" s="111">
        <f t="shared" si="2"/>
        <v>1.0086056720913328</v>
      </c>
      <c r="F17" s="112">
        <f t="shared" si="1"/>
        <v>3</v>
      </c>
      <c r="G17" s="112"/>
      <c r="H17" s="112"/>
      <c r="I17" s="126">
        <f t="shared" si="12"/>
        <v>59.062759325793706</v>
      </c>
      <c r="J17" s="122">
        <f t="shared" si="13"/>
        <v>41.966704778987435</v>
      </c>
      <c r="K17" s="122">
        <f t="shared" si="14"/>
        <v>1.1663443736801624</v>
      </c>
      <c r="L17" s="122">
        <f t="shared" si="15"/>
        <v>1.1914206813072159</v>
      </c>
      <c r="M17" s="116">
        <f t="shared" si="5"/>
        <v>51.389606808328857</v>
      </c>
      <c r="N17" s="12">
        <f t="shared" si="6"/>
        <v>-1.3896068083288569</v>
      </c>
      <c r="O17" s="12">
        <f t="shared" si="7"/>
        <v>1.3896068083288569</v>
      </c>
      <c r="P17" s="12">
        <f t="shared" si="8"/>
        <v>2.7792136166577136E-2</v>
      </c>
      <c r="Q17" s="12">
        <f t="shared" si="9"/>
        <v>1.9310070817539122</v>
      </c>
      <c r="R17" s="117">
        <f>SUM($N17:N17)</f>
        <v>-1.3896068083288569</v>
      </c>
      <c r="S17" s="11">
        <f>AVERAGE(O$3:O17)</f>
        <v>1.6316056529877121</v>
      </c>
      <c r="T17" s="11">
        <f>AVERAGE(P$3:P17)</f>
        <v>5.0001547061472085E-2</v>
      </c>
      <c r="U17" s="11">
        <f>AVERAGE(Q$3:Q17)</f>
        <v>4.3766966480030556</v>
      </c>
      <c r="V17" s="11">
        <f t="shared" si="10"/>
        <v>-0.85168055515392493</v>
      </c>
      <c r="W17"/>
      <c r="AG17" s="105"/>
      <c r="AH17"/>
      <c r="AI17"/>
      <c r="AJ17"/>
      <c r="AK17"/>
      <c r="AL17"/>
      <c r="AM17"/>
      <c r="AN17"/>
      <c r="AO17"/>
    </row>
    <row r="18" spans="1:68" ht="16.5" x14ac:dyDescent="0.3">
      <c r="A18" s="101">
        <v>16</v>
      </c>
      <c r="B18" s="108">
        <v>46</v>
      </c>
      <c r="C18" s="120">
        <f t="shared" si="11"/>
        <v>47.5</v>
      </c>
      <c r="D18" s="110">
        <f t="shared" si="0"/>
        <v>50.834746376811594</v>
      </c>
      <c r="E18" s="111">
        <f t="shared" si="2"/>
        <v>0.90489287895774817</v>
      </c>
      <c r="F18" s="112">
        <f t="shared" si="1"/>
        <v>4</v>
      </c>
      <c r="G18" s="112"/>
      <c r="H18" s="112"/>
      <c r="I18" s="126">
        <f t="shared" si="12"/>
        <v>41.974445576686215</v>
      </c>
      <c r="J18" s="122">
        <f t="shared" si="13"/>
        <v>55.710046939420344</v>
      </c>
      <c r="K18" s="122">
        <f t="shared" si="14"/>
        <v>1.3243337205026302</v>
      </c>
      <c r="L18" s="122">
        <f t="shared" si="15"/>
        <v>0.82570384566397614</v>
      </c>
      <c r="M18" s="116">
        <f t="shared" si="5"/>
        <v>47.093507445961507</v>
      </c>
      <c r="N18" s="12">
        <f t="shared" si="6"/>
        <v>-1.0935074459615066</v>
      </c>
      <c r="O18" s="12">
        <f t="shared" si="7"/>
        <v>1.0935074459615066</v>
      </c>
      <c r="P18" s="12">
        <f t="shared" si="8"/>
        <v>2.3771900999163188E-2</v>
      </c>
      <c r="Q18" s="12">
        <f t="shared" si="9"/>
        <v>1.1957585343732573</v>
      </c>
      <c r="R18" s="117">
        <f>SUM($N18:N18)</f>
        <v>-1.0935074459615066</v>
      </c>
      <c r="S18" s="11">
        <f>AVERAGE(O$3:O18)</f>
        <v>1.5979745150485742</v>
      </c>
      <c r="T18" s="11">
        <f>AVERAGE(P$3:P18)</f>
        <v>4.8362194182577777E-2</v>
      </c>
      <c r="U18" s="11">
        <f>AVERAGE(Q$3:Q18)</f>
        <v>4.1778880159011926</v>
      </c>
      <c r="V18" s="11">
        <f t="shared" si="10"/>
        <v>-0.68430843900427718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101">
        <v>17</v>
      </c>
      <c r="B19" s="108">
        <v>44</v>
      </c>
      <c r="C19" s="120">
        <f t="shared" si="11"/>
        <v>47.375</v>
      </c>
      <c r="D19" s="110">
        <f t="shared" si="0"/>
        <v>52.096105072463772</v>
      </c>
      <c r="E19" s="111">
        <f t="shared" si="2"/>
        <v>0.84459289113452174</v>
      </c>
      <c r="F19" s="112">
        <f t="shared" si="1"/>
        <v>1</v>
      </c>
      <c r="G19" s="112"/>
      <c r="H19" s="112"/>
      <c r="I19" s="126">
        <f t="shared" si="12"/>
        <v>44.849188510076743</v>
      </c>
      <c r="J19" s="122">
        <f t="shared" si="13"/>
        <v>51.109701186084706</v>
      </c>
      <c r="K19" s="122">
        <f t="shared" si="14"/>
        <v>1.2499092627683601</v>
      </c>
      <c r="L19" s="122">
        <f t="shared" si="15"/>
        <v>0.86089331338097475</v>
      </c>
      <c r="M19" s="116">
        <f t="shared" si="5"/>
        <v>45.076038526650223</v>
      </c>
      <c r="N19" s="12">
        <f t="shared" si="6"/>
        <v>-1.0760385266502226</v>
      </c>
      <c r="O19" s="12">
        <f t="shared" si="7"/>
        <v>1.0760385266502226</v>
      </c>
      <c r="P19" s="12">
        <f t="shared" si="8"/>
        <v>2.4455421060232331E-2</v>
      </c>
      <c r="Q19" s="12">
        <f t="shared" si="9"/>
        <v>1.1578589108355819</v>
      </c>
      <c r="R19" s="117">
        <f>SUM($N19:N19)</f>
        <v>-1.0760385266502226</v>
      </c>
      <c r="S19" s="11">
        <f>AVERAGE(O$3:O19)</f>
        <v>1.5672723980839653</v>
      </c>
      <c r="T19" s="11">
        <f>AVERAGE(P$3:P19)</f>
        <v>4.6955913410675107E-2</v>
      </c>
      <c r="U19" s="11">
        <f>AVERAGE(Q$3:Q19)</f>
        <v>4.0002392450149804</v>
      </c>
      <c r="V19" s="11">
        <f t="shared" si="10"/>
        <v>-0.68656764960941696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101">
        <v>18</v>
      </c>
      <c r="B20" s="108">
        <v>45</v>
      </c>
      <c r="C20" s="120">
        <f t="shared" si="11"/>
        <v>48.875</v>
      </c>
      <c r="D20" s="110">
        <f t="shared" si="0"/>
        <v>53.357463768115949</v>
      </c>
      <c r="E20" s="111">
        <f t="shared" si="2"/>
        <v>0.84336842162445513</v>
      </c>
      <c r="F20" s="112">
        <f t="shared" si="1"/>
        <v>2</v>
      </c>
      <c r="G20" s="112"/>
      <c r="H20" s="112"/>
      <c r="I20" s="126">
        <f t="shared" si="12"/>
        <v>59.866122431881735</v>
      </c>
      <c r="J20" s="122">
        <f t="shared" si="13"/>
        <v>40.107589602070476</v>
      </c>
      <c r="K20" s="122">
        <f t="shared" si="14"/>
        <v>1.0960022013488786</v>
      </c>
      <c r="L20" s="122">
        <f t="shared" si="15"/>
        <v>1.121982159647833</v>
      </c>
      <c r="M20" s="116">
        <f t="shared" si="5"/>
        <v>46.229694916848203</v>
      </c>
      <c r="N20" s="12">
        <f t="shared" si="6"/>
        <v>-1.229694916848203</v>
      </c>
      <c r="O20" s="12">
        <f t="shared" si="7"/>
        <v>1.229694916848203</v>
      </c>
      <c r="P20" s="12">
        <f t="shared" si="8"/>
        <v>2.7326553707737844E-2</v>
      </c>
      <c r="Q20" s="12">
        <f t="shared" si="9"/>
        <v>1.5121495885223089</v>
      </c>
      <c r="R20" s="117">
        <f>SUM($N20:N20)</f>
        <v>-1.229694916848203</v>
      </c>
      <c r="S20" s="11">
        <f>AVERAGE(O$3:O20)</f>
        <v>1.5485180935708673</v>
      </c>
      <c r="T20" s="11">
        <f>AVERAGE(P$3:P20)</f>
        <v>4.5865393427178588E-2</v>
      </c>
      <c r="U20" s="11">
        <f>AVERAGE(Q$3:Q20)</f>
        <v>3.8620120418764987</v>
      </c>
      <c r="V20" s="11">
        <f t="shared" si="10"/>
        <v>-0.79411078369290389</v>
      </c>
    </row>
    <row r="21" spans="1:68" ht="16.5" x14ac:dyDescent="0.3">
      <c r="A21" s="101">
        <v>19</v>
      </c>
      <c r="B21" s="108">
        <v>59</v>
      </c>
      <c r="C21" s="120">
        <f t="shared" si="11"/>
        <v>48.625</v>
      </c>
      <c r="D21" s="110">
        <f t="shared" si="0"/>
        <v>54.618822463768119</v>
      </c>
      <c r="E21" s="111">
        <f t="shared" si="2"/>
        <v>1.0802136944482494</v>
      </c>
      <c r="F21" s="112">
        <f t="shared" si="1"/>
        <v>3</v>
      </c>
      <c r="G21" s="112"/>
      <c r="H21" s="112"/>
      <c r="I21" s="126">
        <f t="shared" si="12"/>
        <v>65.073994671980486</v>
      </c>
      <c r="J21" s="122">
        <f t="shared" si="13"/>
        <v>49.520711639205167</v>
      </c>
      <c r="K21" s="122">
        <f t="shared" si="14"/>
        <v>1.2004799433807676</v>
      </c>
      <c r="L21" s="122">
        <f t="shared" si="15"/>
        <v>1.1914206813072159</v>
      </c>
      <c r="M21" s="116">
        <f t="shared" si="5"/>
        <v>60.430276632038364</v>
      </c>
      <c r="N21" s="12">
        <f t="shared" si="6"/>
        <v>-1.430276632038364</v>
      </c>
      <c r="O21" s="12">
        <f t="shared" si="7"/>
        <v>1.430276632038364</v>
      </c>
      <c r="P21" s="12">
        <f t="shared" si="8"/>
        <v>2.4241976814209559E-2</v>
      </c>
      <c r="Q21" s="12">
        <f t="shared" si="9"/>
        <v>2.0456912441550057</v>
      </c>
      <c r="R21" s="117">
        <f>SUM($N21:N21)</f>
        <v>-1.430276632038364</v>
      </c>
      <c r="S21" s="11">
        <f>AVERAGE(O$3:O21)</f>
        <v>1.5422948587533671</v>
      </c>
      <c r="T21" s="11">
        <f>AVERAGE(P$3:P21)</f>
        <v>4.4727318868601276E-2</v>
      </c>
      <c r="U21" s="11">
        <f>AVERAGE(Q$3:Q21)</f>
        <v>3.7664162104174728</v>
      </c>
      <c r="V21" s="11">
        <f t="shared" si="10"/>
        <v>-0.92736912395237625</v>
      </c>
    </row>
    <row r="22" spans="1:68" ht="16.5" x14ac:dyDescent="0.3">
      <c r="A22" s="101">
        <v>20</v>
      </c>
      <c r="B22" s="108">
        <v>49</v>
      </c>
      <c r="C22" s="120">
        <f t="shared" si="11"/>
        <v>51.5</v>
      </c>
      <c r="D22" s="110">
        <f t="shared" si="0"/>
        <v>55.880181159420289</v>
      </c>
      <c r="E22" s="111">
        <f t="shared" si="2"/>
        <v>0.87687618370828369</v>
      </c>
      <c r="F22" s="112">
        <f t="shared" si="1"/>
        <v>4</v>
      </c>
      <c r="G22" s="112"/>
      <c r="H22" s="112"/>
      <c r="I22" s="126">
        <f t="shared" si="12"/>
        <v>46.140480479733</v>
      </c>
      <c r="J22" s="122">
        <f t="shared" si="13"/>
        <v>59.343310870252104</v>
      </c>
      <c r="K22" s="122">
        <f t="shared" si="14"/>
        <v>1.3087890182156681</v>
      </c>
      <c r="L22" s="122">
        <f t="shared" si="15"/>
        <v>0.82570384566397614</v>
      </c>
      <c r="M22" s="116">
        <f t="shared" si="5"/>
        <v>50.080672125503462</v>
      </c>
      <c r="N22" s="12">
        <f t="shared" si="6"/>
        <v>-1.0806721255034617</v>
      </c>
      <c r="O22" s="12">
        <f t="shared" si="7"/>
        <v>1.0806721255034617</v>
      </c>
      <c r="P22" s="12">
        <f t="shared" si="8"/>
        <v>2.2054533173540034E-2</v>
      </c>
      <c r="Q22" s="12">
        <f t="shared" si="9"/>
        <v>1.1678522428401696</v>
      </c>
      <c r="R22" s="117">
        <f>SUM($N22:N22)</f>
        <v>-1.0806721255034617</v>
      </c>
      <c r="S22" s="11">
        <f>AVERAGE(O$3:O22)</f>
        <v>1.5192137220908719</v>
      </c>
      <c r="T22" s="11">
        <f>AVERAGE(P$3:P22)</f>
        <v>4.3593679583848209E-2</v>
      </c>
      <c r="U22" s="11">
        <f>AVERAGE(Q$3:Q22)</f>
        <v>3.6364880120386074</v>
      </c>
      <c r="V22" s="11">
        <f t="shared" si="10"/>
        <v>-0.71133646951012808</v>
      </c>
    </row>
    <row r="23" spans="1:68" ht="16.5" x14ac:dyDescent="0.3">
      <c r="A23" s="101">
        <v>21</v>
      </c>
      <c r="B23" s="108">
        <v>39</v>
      </c>
      <c r="C23" s="120">
        <f t="shared" si="11"/>
        <v>57</v>
      </c>
      <c r="D23" s="110">
        <f t="shared" si="0"/>
        <v>57.141539855072466</v>
      </c>
      <c r="E23" s="111">
        <f t="shared" si="2"/>
        <v>0.68251573371868035</v>
      </c>
      <c r="F23" s="112">
        <f t="shared" si="1"/>
        <v>1</v>
      </c>
      <c r="G23" s="112"/>
      <c r="H23" s="112"/>
      <c r="I23" s="126">
        <f t="shared" si="12"/>
        <v>49.192769577524359</v>
      </c>
      <c r="J23" s="122">
        <f t="shared" si="13"/>
        <v>45.301780596756899</v>
      </c>
      <c r="K23" s="122">
        <f t="shared" si="14"/>
        <v>1.1159618459815952</v>
      </c>
      <c r="L23" s="122">
        <f t="shared" si="15"/>
        <v>0.86089331338097475</v>
      </c>
      <c r="M23" s="116">
        <f t="shared" si="5"/>
        <v>39.960724091193839</v>
      </c>
      <c r="N23" s="12">
        <f t="shared" si="6"/>
        <v>-0.96072409119383906</v>
      </c>
      <c r="O23" s="12">
        <f t="shared" si="7"/>
        <v>0.96072409119383906</v>
      </c>
      <c r="P23" s="12">
        <f t="shared" si="8"/>
        <v>2.4633951056252285E-2</v>
      </c>
      <c r="Q23" s="12">
        <f t="shared" si="9"/>
        <v>0.922990779400228</v>
      </c>
      <c r="R23" s="117">
        <f>SUM($N23:N23)</f>
        <v>-0.96072409119383906</v>
      </c>
      <c r="S23" s="11">
        <f>AVERAGE(O$3:O23)</f>
        <v>1.4926189777624419</v>
      </c>
      <c r="T23" s="11">
        <f>AVERAGE(P$3:P23)</f>
        <v>4.2690835368248407E-2</v>
      </c>
      <c r="U23" s="11">
        <f>AVERAGE(Q$3:Q23)</f>
        <v>3.5072738581034466</v>
      </c>
      <c r="V23" s="11">
        <f t="shared" si="10"/>
        <v>-0.64364992372939223</v>
      </c>
    </row>
    <row r="24" spans="1:68" ht="16.5" x14ac:dyDescent="0.3">
      <c r="A24" s="101">
        <v>22</v>
      </c>
      <c r="B24" s="108">
        <v>73</v>
      </c>
      <c r="C24" s="120">
        <f t="shared" si="11"/>
        <v>59.875</v>
      </c>
      <c r="D24" s="110">
        <f t="shared" si="0"/>
        <v>58.402898550724643</v>
      </c>
      <c r="E24" s="111">
        <f t="shared" si="2"/>
        <v>1.2499379621817459</v>
      </c>
      <c r="F24" s="112">
        <f t="shared" si="1"/>
        <v>2</v>
      </c>
      <c r="G24" s="112"/>
      <c r="H24" s="112"/>
      <c r="I24" s="126">
        <f t="shared" si="12"/>
        <v>65.527010245635324</v>
      </c>
      <c r="J24" s="122">
        <f t="shared" si="13"/>
        <v>65.06342313224765</v>
      </c>
      <c r="K24" s="122">
        <f t="shared" si="14"/>
        <v>1.350184588415299</v>
      </c>
      <c r="L24" s="122">
        <f t="shared" si="15"/>
        <v>1.121982159647833</v>
      </c>
      <c r="M24" s="116">
        <f t="shared" si="5"/>
        <v>74.514883020433416</v>
      </c>
      <c r="N24" s="12">
        <f t="shared" si="6"/>
        <v>-1.514883020433416</v>
      </c>
      <c r="O24" s="12">
        <f t="shared" si="7"/>
        <v>1.514883020433416</v>
      </c>
      <c r="P24" s="12">
        <f t="shared" si="8"/>
        <v>2.0751822197718029E-2</v>
      </c>
      <c r="Q24" s="12">
        <f t="shared" si="9"/>
        <v>2.2948705655974697</v>
      </c>
      <c r="R24" s="117">
        <f>SUM($N24:N24)</f>
        <v>-1.514883020433416</v>
      </c>
      <c r="S24" s="11">
        <f>AVERAGE(O$3:O24)</f>
        <v>1.4936309797020315</v>
      </c>
      <c r="T24" s="11">
        <f>AVERAGE(P$3:P24)</f>
        <v>4.1693607496860657E-2</v>
      </c>
      <c r="U24" s="11">
        <f>AVERAGE(Q$3:Q24)</f>
        <v>3.4521646175349927</v>
      </c>
      <c r="V24" s="11">
        <f t="shared" si="10"/>
        <v>-1.0142284413085916</v>
      </c>
    </row>
    <row r="25" spans="1:68" ht="16.5" x14ac:dyDescent="0.3">
      <c r="A25" s="101">
        <v>23</v>
      </c>
      <c r="B25" s="108">
        <v>75</v>
      </c>
      <c r="C25" s="120">
        <f t="shared" si="11"/>
        <v>63.375</v>
      </c>
      <c r="D25" s="110">
        <f t="shared" si="0"/>
        <v>59.664257246376813</v>
      </c>
      <c r="E25" s="111">
        <f t="shared" si="2"/>
        <v>1.2570340009479373</v>
      </c>
      <c r="F25" s="112">
        <f t="shared" si="1"/>
        <v>3</v>
      </c>
      <c r="G25" s="112"/>
      <c r="H25" s="112"/>
      <c r="I25" s="126">
        <f t="shared" si="12"/>
        <v>71.085230018167252</v>
      </c>
      <c r="J25" s="122">
        <f t="shared" si="13"/>
        <v>62.950057168481152</v>
      </c>
      <c r="K25" s="122">
        <f t="shared" si="14"/>
        <v>1.3066762648309405</v>
      </c>
      <c r="L25" s="122">
        <f t="shared" si="15"/>
        <v>1.1914206813072159</v>
      </c>
      <c r="M25" s="116">
        <f t="shared" si="5"/>
        <v>76.556801125692857</v>
      </c>
      <c r="N25" s="12">
        <f t="shared" si="6"/>
        <v>-1.5568011256928571</v>
      </c>
      <c r="O25" s="12">
        <f t="shared" si="7"/>
        <v>1.5568011256928571</v>
      </c>
      <c r="P25" s="12">
        <f t="shared" si="8"/>
        <v>2.0757348342571428E-2</v>
      </c>
      <c r="Q25" s="12">
        <f t="shared" si="9"/>
        <v>2.4236297449585469</v>
      </c>
      <c r="R25" s="117">
        <f>SUM($N25:N25)</f>
        <v>-1.5568011256928571</v>
      </c>
      <c r="S25" s="11">
        <f>AVERAGE(O$3:O25)</f>
        <v>1.4963775077885892</v>
      </c>
      <c r="T25" s="11">
        <f>AVERAGE(P$3:P25)</f>
        <v>4.0783335359717655E-2</v>
      </c>
      <c r="U25" s="11">
        <f>AVERAGE(Q$3:Q25)</f>
        <v>3.4074457100316691</v>
      </c>
      <c r="V25" s="11">
        <f t="shared" si="10"/>
        <v>-1.0403799292556626</v>
      </c>
    </row>
    <row r="26" spans="1:68" ht="16.5" x14ac:dyDescent="0.3">
      <c r="A26" s="101">
        <v>24</v>
      </c>
      <c r="B26" s="108">
        <v>56</v>
      </c>
      <c r="C26" s="120">
        <f t="shared" si="11"/>
        <v>65.75</v>
      </c>
      <c r="D26" s="110">
        <f t="shared" si="0"/>
        <v>60.92561594202899</v>
      </c>
      <c r="E26" s="111">
        <f t="shared" si="2"/>
        <v>0.91915361271495821</v>
      </c>
      <c r="F26" s="112">
        <f t="shared" si="1"/>
        <v>4</v>
      </c>
      <c r="G26" s="112"/>
      <c r="H26" s="112"/>
      <c r="I26" s="126">
        <f t="shared" si="12"/>
        <v>50.306515382779793</v>
      </c>
      <c r="J26" s="122">
        <f t="shared" si="13"/>
        <v>67.820926708859545</v>
      </c>
      <c r="K26" s="122">
        <f t="shared" si="14"/>
        <v>1.3514488391050561</v>
      </c>
      <c r="L26" s="122">
        <f t="shared" si="15"/>
        <v>0.82570384566397614</v>
      </c>
      <c r="M26" s="116">
        <f t="shared" si="5"/>
        <v>57.115896503667166</v>
      </c>
      <c r="N26" s="12">
        <f t="shared" si="6"/>
        <v>-1.115896503667166</v>
      </c>
      <c r="O26" s="12">
        <f t="shared" si="7"/>
        <v>1.115896503667166</v>
      </c>
      <c r="P26" s="12">
        <f t="shared" si="8"/>
        <v>1.9926723279770821E-2</v>
      </c>
      <c r="Q26" s="12">
        <f t="shared" si="9"/>
        <v>1.2452250068966053</v>
      </c>
      <c r="R26" s="117">
        <f>SUM($N26:N26)</f>
        <v>-1.115896503667166</v>
      </c>
      <c r="S26" s="11">
        <f>AVERAGE(O$3:O26)</f>
        <v>1.4805241326168632</v>
      </c>
      <c r="T26" s="11">
        <f>AVERAGE(P$3:P26)</f>
        <v>3.9914309856386533E-2</v>
      </c>
      <c r="U26" s="11">
        <f>AVERAGE(Q$3:Q26)</f>
        <v>3.3173531807343744</v>
      </c>
      <c r="V26" s="11">
        <f t="shared" si="10"/>
        <v>-0.75371719993161557</v>
      </c>
    </row>
    <row r="27" spans="1:68" ht="16.5" x14ac:dyDescent="0.3">
      <c r="A27" s="101">
        <v>25</v>
      </c>
      <c r="B27" s="108">
        <v>60</v>
      </c>
      <c r="C27" s="120">
        <f t="shared" si="11"/>
        <v>66.625</v>
      </c>
      <c r="D27" s="110">
        <f t="shared" si="0"/>
        <v>62.186974637681161</v>
      </c>
      <c r="E27" s="111">
        <f t="shared" si="2"/>
        <v>0.96483227154202156</v>
      </c>
      <c r="F27" s="112">
        <f t="shared" si="1"/>
        <v>1</v>
      </c>
      <c r="G27" s="112"/>
      <c r="H27" s="112"/>
      <c r="I27" s="126">
        <f t="shared" si="12"/>
        <v>53.536350644971975</v>
      </c>
      <c r="J27" s="122">
        <f t="shared" si="13"/>
        <v>69.695047071933701</v>
      </c>
      <c r="K27" s="122">
        <f t="shared" si="14"/>
        <v>1.3580145182977135</v>
      </c>
      <c r="L27" s="122">
        <f t="shared" si="15"/>
        <v>0.86089331338097475</v>
      </c>
      <c r="M27" s="116">
        <f t="shared" si="5"/>
        <v>61.169105618276788</v>
      </c>
      <c r="N27" s="12">
        <f t="shared" si="6"/>
        <v>-1.1691056182767881</v>
      </c>
      <c r="O27" s="12">
        <f t="shared" si="7"/>
        <v>1.1691056182767881</v>
      </c>
      <c r="P27" s="12">
        <f t="shared" si="8"/>
        <v>1.9485093637946468E-2</v>
      </c>
      <c r="Q27" s="12">
        <f t="shared" si="9"/>
        <v>1.3668079466863507</v>
      </c>
      <c r="R27" s="117">
        <f>SUM($N27:N27)</f>
        <v>-1.1691056182767881</v>
      </c>
      <c r="S27" s="11">
        <f>AVERAGE(O$3:O27)</f>
        <v>1.4680673920432603</v>
      </c>
      <c r="T27" s="11">
        <f>AVERAGE(P$3:P27)</f>
        <v>3.9097141207648935E-2</v>
      </c>
      <c r="U27" s="11">
        <f>AVERAGE(Q$3:Q27)</f>
        <v>3.2393313713724536</v>
      </c>
      <c r="V27" s="11">
        <f t="shared" si="10"/>
        <v>-0.79635691427600175</v>
      </c>
    </row>
    <row r="28" spans="1:68" ht="16.5" x14ac:dyDescent="0.3">
      <c r="A28" s="101">
        <v>26</v>
      </c>
      <c r="B28" s="108">
        <v>71</v>
      </c>
      <c r="C28" s="120">
        <f>AVERAGE(AVERAGE(B26:B29),AVERAGE(B27:B30))</f>
        <v>66</v>
      </c>
      <c r="D28" s="110">
        <f t="shared" si="0"/>
        <v>63.448333333333338</v>
      </c>
      <c r="E28" s="111">
        <f t="shared" si="2"/>
        <v>1.1190207255247051</v>
      </c>
      <c r="F28" s="112">
        <f t="shared" si="1"/>
        <v>2</v>
      </c>
      <c r="G28" s="112"/>
      <c r="H28" s="112"/>
      <c r="I28" s="126">
        <f t="shared" si="12"/>
        <v>71.187898059388928</v>
      </c>
      <c r="J28" s="122">
        <f t="shared" si="13"/>
        <v>63.280863594377855</v>
      </c>
      <c r="K28" s="122">
        <f t="shared" si="14"/>
        <v>1.260381958798247</v>
      </c>
      <c r="L28" s="122">
        <f t="shared" si="15"/>
        <v>1.121982159647833</v>
      </c>
      <c r="M28" s="116">
        <f t="shared" si="5"/>
        <v>72.414126072113618</v>
      </c>
      <c r="N28" s="12">
        <f t="shared" si="6"/>
        <v>-1.4141260721136177</v>
      </c>
      <c r="O28" s="12">
        <f t="shared" si="7"/>
        <v>1.4141260721136177</v>
      </c>
      <c r="P28" s="12">
        <f t="shared" si="8"/>
        <v>1.9917268621318561E-2</v>
      </c>
      <c r="Q28" s="12">
        <f t="shared" si="9"/>
        <v>1.9997525478314888</v>
      </c>
      <c r="R28" s="117">
        <f>SUM($N28:N28)</f>
        <v>-1.4141260721136177</v>
      </c>
      <c r="S28" s="11">
        <f>AVERAGE(O$3:O28)</f>
        <v>1.4659927258921202</v>
      </c>
      <c r="T28" s="11">
        <f>AVERAGE(P$3:P28)</f>
        <v>3.8359453800482383E-2</v>
      </c>
      <c r="U28" s="11">
        <f>AVERAGE(Q$3:Q28)</f>
        <v>3.1916552627747241</v>
      </c>
      <c r="V28" s="11">
        <f t="shared" si="10"/>
        <v>-0.96462011518717505</v>
      </c>
    </row>
    <row r="29" spans="1:68" ht="16.5" x14ac:dyDescent="0.3">
      <c r="A29" s="101">
        <v>27</v>
      </c>
      <c r="B29" s="108">
        <v>84</v>
      </c>
      <c r="C29" s="109"/>
      <c r="D29" s="110">
        <f t="shared" si="0"/>
        <v>64.709692028985501</v>
      </c>
      <c r="E29" s="111">
        <f t="shared" si="2"/>
        <v>1.2981053898753492</v>
      </c>
      <c r="F29" s="112">
        <f t="shared" si="1"/>
        <v>3</v>
      </c>
      <c r="G29" s="112"/>
      <c r="H29" s="112"/>
      <c r="I29" s="126">
        <f t="shared" si="12"/>
        <v>77.096465364354017</v>
      </c>
      <c r="J29" s="122">
        <f t="shared" si="13"/>
        <v>70.504064028698892</v>
      </c>
      <c r="K29" s="122">
        <f t="shared" si="14"/>
        <v>1.3352855098794958</v>
      </c>
      <c r="L29" s="122">
        <f t="shared" si="15"/>
        <v>1.1914206813072159</v>
      </c>
      <c r="M29" s="116">
        <f t="shared" si="5"/>
        <v>85.590886771920296</v>
      </c>
      <c r="N29" s="12">
        <f t="shared" si="6"/>
        <v>-1.5908867719202959</v>
      </c>
      <c r="O29" s="12">
        <f t="shared" si="7"/>
        <v>1.5908867719202959</v>
      </c>
      <c r="P29" s="12">
        <f t="shared" si="8"/>
        <v>1.8939128237146378E-2</v>
      </c>
      <c r="Q29" s="12">
        <f t="shared" si="9"/>
        <v>2.5309207210709799</v>
      </c>
      <c r="R29" s="117">
        <f>SUM($N29:N29)</f>
        <v>-1.5908867719202959</v>
      </c>
      <c r="S29" s="11">
        <f>AVERAGE(O$3:O29)</f>
        <v>1.470618431300571</v>
      </c>
      <c r="T29" s="11">
        <f>AVERAGE(P$3:P29)</f>
        <v>3.7640182483321787E-2</v>
      </c>
      <c r="U29" s="11">
        <f>AVERAGE(Q$3:Q29)</f>
        <v>3.1671836130819933</v>
      </c>
      <c r="V29" s="11">
        <f t="shared" si="10"/>
        <v>-1.0817807923931453</v>
      </c>
    </row>
    <row r="30" spans="1:68" ht="16.5" x14ac:dyDescent="0.3">
      <c r="A30" s="101">
        <v>28</v>
      </c>
      <c r="B30" s="108">
        <v>42</v>
      </c>
      <c r="C30" s="109"/>
      <c r="D30" s="110">
        <f t="shared" si="0"/>
        <v>65.971050724637678</v>
      </c>
      <c r="E30" s="111">
        <f t="shared" si="2"/>
        <v>0.63664288409331937</v>
      </c>
      <c r="F30" s="112">
        <f t="shared" si="1"/>
        <v>4</v>
      </c>
      <c r="G30" s="112"/>
      <c r="H30" s="112"/>
      <c r="I30" s="126">
        <f>D30*VLOOKUP(F30,$F$3:$H$6,3,0)</f>
        <v>54.472550285826571</v>
      </c>
      <c r="J30" s="122">
        <f t="shared" si="13"/>
        <v>50.865695031644663</v>
      </c>
      <c r="K30" s="122">
        <f t="shared" si="14"/>
        <v>1.0718192970190015</v>
      </c>
      <c r="L30" s="122">
        <f t="shared" si="15"/>
        <v>0.82570384566397614</v>
      </c>
      <c r="M30" s="116">
        <f t="shared" si="5"/>
        <v>42.885005315405451</v>
      </c>
      <c r="N30" s="12">
        <f t="shared" si="6"/>
        <v>-0.88500531540545069</v>
      </c>
      <c r="O30" s="12">
        <f t="shared" si="7"/>
        <v>0.88500531540545069</v>
      </c>
      <c r="P30" s="12">
        <f t="shared" si="8"/>
        <v>2.1071555128701208E-2</v>
      </c>
      <c r="Q30" s="12">
        <f t="shared" si="9"/>
        <v>0.7832344082959013</v>
      </c>
      <c r="R30" s="117">
        <f>SUM($N30:N30)</f>
        <v>-0.88500531540545069</v>
      </c>
      <c r="S30" s="11">
        <f>AVERAGE(O$3:O30)</f>
        <v>1.4497036771614595</v>
      </c>
      <c r="T30" s="11">
        <f>AVERAGE(P$3:P30)</f>
        <v>3.7048445792085341E-2</v>
      </c>
      <c r="U30" s="11">
        <f>AVERAGE(Q$3:Q30)</f>
        <v>3.0820425700539182</v>
      </c>
      <c r="V30" s="11">
        <f t="shared" si="10"/>
        <v>-0.61047325004948849</v>
      </c>
    </row>
    <row r="31" spans="1:68" ht="16.5" x14ac:dyDescent="0.3">
      <c r="A31" s="101">
        <v>29</v>
      </c>
      <c r="B31"/>
      <c r="C31"/>
      <c r="D31" s="124">
        <f t="shared" si="0"/>
        <v>67.232409420289855</v>
      </c>
      <c r="E31"/>
      <c r="F31" s="112">
        <f t="shared" si="1"/>
        <v>1</v>
      </c>
      <c r="G31"/>
      <c r="H31"/>
      <c r="I31" s="124">
        <f>D31*VLOOKUP(F31,$F$3:$H$6,3,0)</f>
        <v>57.879931712419591</v>
      </c>
      <c r="J31"/>
      <c r="K31"/>
      <c r="L31" s="122">
        <f>(1-$C$40)*L27+$C$40*B27/J27</f>
        <v>0.86089331338097475</v>
      </c>
      <c r="M31" s="12">
        <f>(J30+K30)*L27</f>
        <v>44.712658799175117</v>
      </c>
      <c r="N31" s="9"/>
      <c r="O31" s="12"/>
      <c r="P31" s="9"/>
      <c r="Q31"/>
      <c r="R31"/>
      <c r="S31"/>
      <c r="T31"/>
      <c r="U31"/>
      <c r="BL31"/>
      <c r="BM31"/>
      <c r="BN31"/>
      <c r="BO31"/>
      <c r="BP31"/>
    </row>
    <row r="32" spans="1:68" ht="16.5" x14ac:dyDescent="0.3">
      <c r="A32" s="101">
        <v>30</v>
      </c>
      <c r="B32"/>
      <c r="C32"/>
      <c r="D32" s="124">
        <f t="shared" si="0"/>
        <v>68.493768115942032</v>
      </c>
      <c r="E32"/>
      <c r="F32" s="112">
        <f t="shared" si="1"/>
        <v>2</v>
      </c>
      <c r="G32"/>
      <c r="H32"/>
      <c r="I32" s="124">
        <f t="shared" si="12"/>
        <v>76.848785873142532</v>
      </c>
      <c r="J32"/>
      <c r="K32"/>
      <c r="L32" s="122">
        <f>(1-$C$40)*L28+$C$40*B28/J28</f>
        <v>1.121982159647833</v>
      </c>
      <c r="M32" s="12">
        <f>(J30+2*K30)*L28</f>
        <v>59.475526622835929</v>
      </c>
      <c r="O32" s="12"/>
      <c r="BL32"/>
      <c r="BM32"/>
      <c r="BN32"/>
      <c r="BO32"/>
      <c r="BP32"/>
    </row>
    <row r="33" spans="1:68" ht="16.5" x14ac:dyDescent="0.3">
      <c r="A33" s="101">
        <v>31</v>
      </c>
      <c r="D33" s="124">
        <f t="shared" si="0"/>
        <v>69.755126811594209</v>
      </c>
      <c r="E33"/>
      <c r="F33" s="112">
        <f t="shared" si="1"/>
        <v>3</v>
      </c>
      <c r="G33"/>
      <c r="H33"/>
      <c r="I33" s="124">
        <f t="shared" si="12"/>
        <v>83.107700710540811</v>
      </c>
      <c r="L33" s="122">
        <f>(1-$C$40)*L29+$C$40*B29/J29</f>
        <v>1.1914206813072159</v>
      </c>
      <c r="M33" s="12">
        <f>(J30+3*K30)*L29</f>
        <v>64.433404061044953</v>
      </c>
      <c r="O33" s="12"/>
      <c r="BL33"/>
      <c r="BM33"/>
      <c r="BN33"/>
      <c r="BO33"/>
      <c r="BP33"/>
    </row>
    <row r="34" spans="1:68" ht="16.5" x14ac:dyDescent="0.3">
      <c r="A34" s="101">
        <v>32</v>
      </c>
      <c r="D34" s="124">
        <f t="shared" si="0"/>
        <v>71.016485507246387</v>
      </c>
      <c r="E34"/>
      <c r="F34" s="112">
        <f t="shared" si="1"/>
        <v>4</v>
      </c>
      <c r="G34"/>
      <c r="H34"/>
      <c r="I34" s="124">
        <f t="shared" si="12"/>
        <v>58.638585188873371</v>
      </c>
      <c r="L34" s="122">
        <f>(1-$C$40)*L30+$C$40*B30/J30</f>
        <v>0.82570384566397614</v>
      </c>
      <c r="M34" s="12">
        <f>(J30+4*K30)*L30</f>
        <v>45.540021261621796</v>
      </c>
      <c r="O34" s="12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6" t="s">
        <v>5</v>
      </c>
      <c r="C37" s="125">
        <v>4</v>
      </c>
      <c r="BL37"/>
      <c r="BM37"/>
      <c r="BN37"/>
      <c r="BO37"/>
      <c r="BP37"/>
    </row>
    <row r="38" spans="1:68" x14ac:dyDescent="0.25">
      <c r="A38"/>
      <c r="B38" s="6" t="s">
        <v>22</v>
      </c>
      <c r="C38" s="20">
        <v>1</v>
      </c>
      <c r="BL38"/>
      <c r="BM38"/>
      <c r="BN38"/>
      <c r="BO38"/>
      <c r="BP38"/>
    </row>
    <row r="39" spans="1:68" ht="16.5" x14ac:dyDescent="0.3">
      <c r="A39"/>
      <c r="B39" s="6" t="s">
        <v>20</v>
      </c>
      <c r="C39" s="20">
        <v>1.2561769470046077E-2</v>
      </c>
      <c r="O39" s="102" t="s">
        <v>91</v>
      </c>
      <c r="P39" s="102"/>
      <c r="Q39" s="102"/>
      <c r="R39" s="102"/>
      <c r="S39" s="102"/>
      <c r="T39" s="102"/>
      <c r="U39" s="102"/>
      <c r="V39" s="102"/>
      <c r="BL39"/>
      <c r="BM39"/>
      <c r="BN39"/>
      <c r="BO39"/>
      <c r="BP39"/>
    </row>
    <row r="40" spans="1:68" ht="16.5" x14ac:dyDescent="0.3">
      <c r="A40"/>
      <c r="B40" s="6" t="s">
        <v>21</v>
      </c>
      <c r="C40" s="20">
        <v>0</v>
      </c>
      <c r="O40" s="102" t="s">
        <v>92</v>
      </c>
      <c r="P40" s="102"/>
      <c r="Q40" s="102"/>
      <c r="R40" s="102"/>
      <c r="S40" s="102"/>
      <c r="T40" s="102"/>
      <c r="U40" s="102"/>
      <c r="V40" s="102"/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6" t="s">
        <v>13</v>
      </c>
      <c r="J42"/>
      <c r="K42"/>
      <c r="L42"/>
      <c r="BL42"/>
      <c r="BM42"/>
      <c r="BN42"/>
      <c r="BO42"/>
      <c r="BP42"/>
    </row>
    <row r="43" spans="1:68" x14ac:dyDescent="0.25">
      <c r="A43"/>
      <c r="B43" s="6" t="s">
        <v>14</v>
      </c>
      <c r="J43" s="11"/>
      <c r="K43"/>
      <c r="L43"/>
      <c r="BL43"/>
      <c r="BM43"/>
      <c r="BN43"/>
      <c r="BO43"/>
      <c r="BP43"/>
    </row>
    <row r="44" spans="1:68" x14ac:dyDescent="0.25">
      <c r="A44"/>
      <c r="B44" s="6" t="s">
        <v>15</v>
      </c>
      <c r="J44"/>
      <c r="K44"/>
      <c r="L44"/>
      <c r="BL44"/>
      <c r="BM44"/>
      <c r="BN44"/>
      <c r="BO44"/>
      <c r="BP44"/>
    </row>
    <row r="45" spans="1:68" x14ac:dyDescent="0.25">
      <c r="A45"/>
      <c r="B45" s="14" t="s">
        <v>10</v>
      </c>
      <c r="C45" s="14"/>
      <c r="D45" s="14"/>
      <c r="E45" s="14"/>
      <c r="F45" s="14"/>
      <c r="G45" s="14"/>
      <c r="H45" s="14"/>
      <c r="I45" s="14"/>
      <c r="J45"/>
      <c r="K45"/>
      <c r="L45"/>
      <c r="BL45"/>
      <c r="BM45"/>
      <c r="BN45"/>
      <c r="BO45"/>
      <c r="BP45"/>
    </row>
    <row r="46" spans="1:68" x14ac:dyDescent="0.25">
      <c r="A46"/>
      <c r="B46" t="s">
        <v>16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11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87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18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88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hyperlinks>
    <hyperlink ref="Z14" r:id="rId1" display="https://youtu.be/9L7PgZBdsWE" xr:uid="{9DDBF303-65C4-48E6-AD7A-29314C04B784}"/>
    <hyperlink ref="AA1" r:id="rId2" display="https://youtu.be/tq2U_I7b4KQ" xr:uid="{D83EC550-AD36-4BFC-AD01-C997B91908B4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4.Trend&amp;SeasIravanDavan</vt:lpstr>
      <vt:lpstr>4b.Trend&amp;SeasonPractice</vt:lpstr>
      <vt:lpstr>1.SeasRegChopraMineEvenp4WasDis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2022-05-18T01:45:22Z</dcterms:modified>
</cp:coreProperties>
</file>