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drawings/drawing14.xml" ContentType="application/vnd.openxmlformats-officedocument.drawing+xml"/>
  <Override PartName="/xl/charts/chart2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ES-2020\"/>
    </mc:Choice>
  </mc:AlternateContent>
  <xr:revisionPtr revIDLastSave="0" documentId="13_ncr:1_{8E8ABE6B-D91E-4112-9E74-B0EC31BEB50A}" xr6:coauthVersionLast="46" xr6:coauthVersionMax="46" xr10:uidLastSave="{00000000-0000-0000-0000-000000000000}"/>
  <bookViews>
    <workbookView xWindow="0" yWindow="600" windowWidth="28800" windowHeight="15600" firstSheet="11" activeTab="16" xr2:uid="{00000000-000D-0000-FFFF-FFFF00000000}"/>
  </bookViews>
  <sheets>
    <sheet name="4.OPT.AlphaBeta6ways" sheetId="63" r:id="rId1"/>
    <sheet name="1.ES-Simp" sheetId="31" r:id="rId2"/>
    <sheet name="2.ES.Simp.Trend" sheetId="33" r:id="rId3"/>
    <sheet name="2.ExpoSmoo" sheetId="61" r:id="rId4"/>
    <sheet name="3.TrendAdj" sheetId="32" r:id="rId5"/>
    <sheet name="3b.ESLag" sheetId="53" r:id="rId6"/>
    <sheet name="3.TrenAdExpoSmoo" sheetId="62" r:id="rId7"/>
    <sheet name="3c.TrAdES" sheetId="14" r:id="rId8"/>
    <sheet name="3b.OPT.AlphaBeta6ways" sheetId="64" r:id="rId9"/>
    <sheet name="Prac1.TreAdj.ES" sheetId="65" r:id="rId10"/>
    <sheet name="Prac2.TreAdj.ES" sheetId="66" r:id="rId11"/>
    <sheet name="Prac3.TreAdj.ES" sheetId="67" r:id="rId12"/>
    <sheet name="4.Trend&amp;SeasIravaniMine" sheetId="34" r:id="rId13"/>
    <sheet name="4b.Trend&amp;SeasonPractice" sheetId="52" r:id="rId14"/>
    <sheet name="1.Trend&amp;Season" sheetId="17" r:id="rId15"/>
    <sheet name="TrendAndSeasSocic" sheetId="59" r:id="rId16"/>
    <sheet name="TrendAndSeasChopraBook" sheetId="60" r:id="rId17"/>
  </sheets>
  <externalReferences>
    <externalReference r:id="rId18"/>
    <externalReference r:id="rId19"/>
    <externalReference r:id="rId20"/>
    <externalReference r:id="rId21"/>
  </externalReferences>
  <definedNames>
    <definedName name="Page1">#REF!</definedName>
    <definedName name="solver_adj" localSheetId="1" hidden="1">'1.ES-Simp'!$K$1</definedName>
    <definedName name="solver_adj" localSheetId="2" hidden="1">'2.ES.Simp.Trend'!$S$1</definedName>
    <definedName name="solver_adj" localSheetId="3" hidden="1">'2.ExpoSmoo'!$J$1</definedName>
    <definedName name="solver_adj" localSheetId="6" hidden="1">'3.TrenAdExpoSmoo'!$J$1:$J$2</definedName>
    <definedName name="solver_adj" localSheetId="4" hidden="1">'3.TrendAdj'!$Q$1,'3.TrendAdj'!$Q$2</definedName>
    <definedName name="solver_adj" localSheetId="8" hidden="1">'3b.OPT.AlphaBeta6ways'!$L$1</definedName>
    <definedName name="solver_adj" localSheetId="7" hidden="1">'3c.TrAdES'!$M$1:$M$2</definedName>
    <definedName name="solver_adj" localSheetId="0" hidden="1">'4.OPT.AlphaBeta6ways'!$L$1,'4.OPT.AlphaBeta6ways'!$N$1</definedName>
    <definedName name="solver_adj" localSheetId="12" hidden="1">'4.Trend&amp;SeasIravaniMine'!$Q$2,'4.Trend&amp;SeasIravaniMine'!$Q$3,'4.Trend&amp;SeasIravaniMine'!$Q$4</definedName>
    <definedName name="solver_adj" localSheetId="9" hidden="1">'Prac1.TreAdj.ES'!$E$1,'Prac1.TreAdj.ES'!$G$1</definedName>
    <definedName name="solver_adj" localSheetId="10" hidden="1">'Prac2.TreAdj.ES'!$P$1:$P$2</definedName>
    <definedName name="solver_adj" localSheetId="11" hidden="1">'Prac3.TreAdj.ES'!$N$1:$N$2</definedName>
    <definedName name="solver_adj" localSheetId="16" hidden="1">TrendAndSeasChopraBook!$C$38:$C$40</definedName>
    <definedName name="solver_adj" localSheetId="15" hidden="1">TrendAndSeasSocic!#REF!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6" hidden="1">0.0001</definedName>
    <definedName name="solver_cvg" localSheetId="4" hidden="1">0.0001</definedName>
    <definedName name="solver_cvg" localSheetId="8" hidden="1">0.0001</definedName>
    <definedName name="solver_cvg" localSheetId="7" hidden="1">0.0001</definedName>
    <definedName name="solver_cvg" localSheetId="0" hidden="1">0.0001</definedName>
    <definedName name="solver_cvg" localSheetId="12" hidden="1">0.0001</definedName>
    <definedName name="solver_cvg" localSheetId="9" hidden="1">0.0001</definedName>
    <definedName name="solver_cvg" localSheetId="10" hidden="1">0.0001</definedName>
    <definedName name="solver_cvg" localSheetId="11" hidden="1">0.0001</definedName>
    <definedName name="solver_cvg" localSheetId="16" hidden="1">0.0001</definedName>
    <definedName name="solver_cvg" localSheetId="15" hidden="1">0.0001</definedName>
    <definedName name="solver_drv" localSheetId="1" hidden="1">1</definedName>
    <definedName name="solver_drv" localSheetId="2" hidden="1">1</definedName>
    <definedName name="solver_drv" localSheetId="3" hidden="1">2</definedName>
    <definedName name="solver_drv" localSheetId="6" hidden="1">2</definedName>
    <definedName name="solver_drv" localSheetId="4" hidden="1">1</definedName>
    <definedName name="solver_drv" localSheetId="8" hidden="1">2</definedName>
    <definedName name="solver_drv" localSheetId="7" hidden="1">1</definedName>
    <definedName name="solver_drv" localSheetId="0" hidden="1">2</definedName>
    <definedName name="solver_drv" localSheetId="12" hidden="1">1</definedName>
    <definedName name="solver_drv" localSheetId="9" hidden="1">1</definedName>
    <definedName name="solver_drv" localSheetId="10" hidden="1">1</definedName>
    <definedName name="solver_drv" localSheetId="11" hidden="1">1</definedName>
    <definedName name="solver_drv" localSheetId="16" hidden="1">1</definedName>
    <definedName name="solver_drv" localSheetId="15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6" hidden="1">1</definedName>
    <definedName name="solver_eng" localSheetId="4" hidden="1">1</definedName>
    <definedName name="solver_eng" localSheetId="8" hidden="1">1</definedName>
    <definedName name="solver_eng" localSheetId="7" hidden="1">1</definedName>
    <definedName name="solver_eng" localSheetId="0" hidden="1">1</definedName>
    <definedName name="solver_eng" localSheetId="12" hidden="1">1</definedName>
    <definedName name="solver_eng" localSheetId="9" hidden="1">1</definedName>
    <definedName name="solver_eng" localSheetId="10" hidden="1">1</definedName>
    <definedName name="solver_eng" localSheetId="11" hidden="1">1</definedName>
    <definedName name="solver_eng" localSheetId="16" hidden="1">1</definedName>
    <definedName name="solver_eng" localSheetId="15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6" hidden="1">1</definedName>
    <definedName name="solver_est" localSheetId="4" hidden="1">1</definedName>
    <definedName name="solver_est" localSheetId="8" hidden="1">1</definedName>
    <definedName name="solver_est" localSheetId="7" hidden="1">1</definedName>
    <definedName name="solver_est" localSheetId="0" hidden="1">1</definedName>
    <definedName name="solver_est" localSheetId="12" hidden="1">1</definedName>
    <definedName name="solver_est" localSheetId="9" hidden="1">1</definedName>
    <definedName name="solver_est" localSheetId="10" hidden="1">1</definedName>
    <definedName name="solver_est" localSheetId="11" hidden="1">1</definedName>
    <definedName name="solver_est" localSheetId="16" hidden="1">1</definedName>
    <definedName name="solver_est" localSheetId="15" hidden="1">1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itr" localSheetId="6" hidden="1">2147483647</definedName>
    <definedName name="solver_itr" localSheetId="4" hidden="1">2147483647</definedName>
    <definedName name="solver_itr" localSheetId="8" hidden="1">2147483647</definedName>
    <definedName name="solver_itr" localSheetId="7" hidden="1">2147483647</definedName>
    <definedName name="solver_itr" localSheetId="0" hidden="1">2147483647</definedName>
    <definedName name="solver_itr" localSheetId="12" hidden="1">2147483647</definedName>
    <definedName name="solver_itr" localSheetId="9" hidden="1">2147483647</definedName>
    <definedName name="solver_itr" localSheetId="10" hidden="1">2147483647</definedName>
    <definedName name="solver_itr" localSheetId="11" hidden="1">2147483647</definedName>
    <definedName name="solver_itr" localSheetId="16" hidden="1">2147483647</definedName>
    <definedName name="solver_itr" localSheetId="15" hidden="1">2147483647</definedName>
    <definedName name="solver_lhs1" localSheetId="3" hidden="1">'2.ExpoSmoo'!$J$1</definedName>
    <definedName name="solver_lhs1" localSheetId="6" hidden="1">'3.TrenAdExpoSmoo'!$J$1:$J$2</definedName>
    <definedName name="solver_lhs1" localSheetId="4" hidden="1">'3.TrendAdj'!$Q$1</definedName>
    <definedName name="solver_lhs1" localSheetId="7" hidden="1">'3c.TrAdES'!$M$1</definedName>
    <definedName name="solver_lhs1" localSheetId="12" hidden="1">'4.Trend&amp;SeasIravaniMine'!$Q$2</definedName>
    <definedName name="solver_lhs1" localSheetId="9" hidden="1">'Prac1.TreAdj.ES'!$E$1</definedName>
    <definedName name="solver_lhs1" localSheetId="10" hidden="1">'Prac2.TreAdj.ES'!$P$1</definedName>
    <definedName name="solver_lhs1" localSheetId="11" hidden="1">'Prac3.TreAdj.ES'!$N$1</definedName>
    <definedName name="solver_lhs1" localSheetId="16" hidden="1">TrendAndSeasChopraBook!$C$38:$C$40</definedName>
    <definedName name="solver_lhs1" localSheetId="15" hidden="1">TrendAndSeasSocic!#REF!</definedName>
    <definedName name="solver_lhs2" localSheetId="6" hidden="1">'3.TrenAdExpoSmoo'!$J$1:$J$2</definedName>
    <definedName name="solver_lhs2" localSheetId="4" hidden="1">'3.TrendAdj'!$Q$1</definedName>
    <definedName name="solver_lhs2" localSheetId="7" hidden="1">'3c.TrAdES'!$M$1</definedName>
    <definedName name="solver_lhs2" localSheetId="12" hidden="1">'4.Trend&amp;SeasIravaniMine'!$Q$2</definedName>
    <definedName name="solver_lhs2" localSheetId="9" hidden="1">'Prac1.TreAdj.ES'!$E$1</definedName>
    <definedName name="solver_lhs2" localSheetId="10" hidden="1">'Prac2.TreAdj.ES'!$P$1</definedName>
    <definedName name="solver_lhs2" localSheetId="11" hidden="1">'Prac3.TreAdj.ES'!$N$1</definedName>
    <definedName name="solver_lhs2" localSheetId="16" hidden="1">TrendAndSeasChopraBook!$C$38:$C$40</definedName>
    <definedName name="solver_lhs2" localSheetId="15" hidden="1">TrendAndSeasSocic!#REF!</definedName>
    <definedName name="solver_lhs3" localSheetId="4" hidden="1">'3.TrendAdj'!$Q$2</definedName>
    <definedName name="solver_lhs3" localSheetId="12" hidden="1">'4.Trend&amp;SeasIravaniMine'!$Q$3</definedName>
    <definedName name="solver_lhs3" localSheetId="9" hidden="1">'Prac1.TreAdj.ES'!$G$1</definedName>
    <definedName name="solver_lhs3" localSheetId="16" hidden="1">TrendAndSeasChopraBook!$C$40</definedName>
    <definedName name="solver_lhs3" localSheetId="15" hidden="1">TrendAndSeasSocic!#REF!</definedName>
    <definedName name="solver_lhs4" localSheetId="4" hidden="1">'3.TrendAdj'!$Q$2</definedName>
    <definedName name="solver_lhs4" localSheetId="12" hidden="1">'4.Trend&amp;SeasIravaniMine'!$Q$3</definedName>
    <definedName name="solver_lhs4" localSheetId="9" hidden="1">'Prac1.TreAdj.ES'!$G$1</definedName>
    <definedName name="solver_lhs4" localSheetId="16" hidden="1">TrendAndSeasChopraBook!$C$40</definedName>
    <definedName name="solver_lhs4" localSheetId="15" hidden="1">TrendAndSeasSocic!#REF!</definedName>
    <definedName name="solver_lhs5" localSheetId="12" hidden="1">'4.Trend&amp;SeasIravaniMine'!$Q$4</definedName>
    <definedName name="solver_lhs5" localSheetId="16" hidden="1">TrendAndSeasChopraBook!$C$40</definedName>
    <definedName name="solver_lhs5" localSheetId="15" hidden="1">TrendAndSeasSocic!#REF!</definedName>
    <definedName name="solver_lhs6" localSheetId="12" hidden="1">'4.Trend&amp;SeasIravaniMine'!$Q$4</definedName>
    <definedName name="solver_lhs6" localSheetId="16" hidden="1">TrendAndSeasChopraBook!$C$40</definedName>
    <definedName name="solver_lhs6" localSheetId="15" hidden="1">TrendAndSeasSocic!#REF!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ip" localSheetId="6" hidden="1">2147483647</definedName>
    <definedName name="solver_mip" localSheetId="4" hidden="1">2147483647</definedName>
    <definedName name="solver_mip" localSheetId="8" hidden="1">2147483647</definedName>
    <definedName name="solver_mip" localSheetId="7" hidden="1">2147483647</definedName>
    <definedName name="solver_mip" localSheetId="0" hidden="1">2147483647</definedName>
    <definedName name="solver_mip" localSheetId="12" hidden="1">2147483647</definedName>
    <definedName name="solver_mip" localSheetId="9" hidden="1">2147483647</definedName>
    <definedName name="solver_mip" localSheetId="10" hidden="1">2147483647</definedName>
    <definedName name="solver_mip" localSheetId="11" hidden="1">2147483647</definedName>
    <definedName name="solver_mip" localSheetId="16" hidden="1">2147483647</definedName>
    <definedName name="solver_mip" localSheetId="15" hidden="1">2147483647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ni" localSheetId="6" hidden="1">30</definedName>
    <definedName name="solver_mni" localSheetId="4" hidden="1">30</definedName>
    <definedName name="solver_mni" localSheetId="8" hidden="1">30</definedName>
    <definedName name="solver_mni" localSheetId="7" hidden="1">30</definedName>
    <definedName name="solver_mni" localSheetId="0" hidden="1">30</definedName>
    <definedName name="solver_mni" localSheetId="12" hidden="1">30</definedName>
    <definedName name="solver_mni" localSheetId="9" hidden="1">30</definedName>
    <definedName name="solver_mni" localSheetId="10" hidden="1">30</definedName>
    <definedName name="solver_mni" localSheetId="11" hidden="1">30</definedName>
    <definedName name="solver_mni" localSheetId="16" hidden="1">30</definedName>
    <definedName name="solver_mni" localSheetId="15" hidden="1">30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rt" localSheetId="6" hidden="1">0.075</definedName>
    <definedName name="solver_mrt" localSheetId="4" hidden="1">0.075</definedName>
    <definedName name="solver_mrt" localSheetId="8" hidden="1">0.075</definedName>
    <definedName name="solver_mrt" localSheetId="7" hidden="1">0.075</definedName>
    <definedName name="solver_mrt" localSheetId="0" hidden="1">0.075</definedName>
    <definedName name="solver_mrt" localSheetId="12" hidden="1">0.075</definedName>
    <definedName name="solver_mrt" localSheetId="9" hidden="1">0.075</definedName>
    <definedName name="solver_mrt" localSheetId="10" hidden="1">0.075</definedName>
    <definedName name="solver_mrt" localSheetId="11" hidden="1">0.075</definedName>
    <definedName name="solver_mrt" localSheetId="16" hidden="1">0.075</definedName>
    <definedName name="solver_mrt" localSheetId="15" hidden="1">0.075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msl" localSheetId="6" hidden="1">2</definedName>
    <definedName name="solver_msl" localSheetId="4" hidden="1">2</definedName>
    <definedName name="solver_msl" localSheetId="8" hidden="1">2</definedName>
    <definedName name="solver_msl" localSheetId="7" hidden="1">2</definedName>
    <definedName name="solver_msl" localSheetId="0" hidden="1">2</definedName>
    <definedName name="solver_msl" localSheetId="12" hidden="1">2</definedName>
    <definedName name="solver_msl" localSheetId="9" hidden="1">2</definedName>
    <definedName name="solver_msl" localSheetId="10" hidden="1">2</definedName>
    <definedName name="solver_msl" localSheetId="11" hidden="1">2</definedName>
    <definedName name="solver_msl" localSheetId="16" hidden="1">2</definedName>
    <definedName name="solver_msl" localSheetId="15" hidden="1">2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eg" localSheetId="6" hidden="1">1</definedName>
    <definedName name="solver_neg" localSheetId="4" hidden="1">1</definedName>
    <definedName name="solver_neg" localSheetId="8" hidden="1">1</definedName>
    <definedName name="solver_neg" localSheetId="7" hidden="1">1</definedName>
    <definedName name="solver_neg" localSheetId="0" hidden="1">1</definedName>
    <definedName name="solver_neg" localSheetId="12" hidden="1">1</definedName>
    <definedName name="solver_neg" localSheetId="9" hidden="1">1</definedName>
    <definedName name="solver_neg" localSheetId="10" hidden="1">1</definedName>
    <definedName name="solver_neg" localSheetId="11" hidden="1">1</definedName>
    <definedName name="solver_neg" localSheetId="16" hidden="1">1</definedName>
    <definedName name="solver_neg" localSheetId="15" hidden="1">1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od" localSheetId="6" hidden="1">2147483647</definedName>
    <definedName name="solver_nod" localSheetId="4" hidden="1">2147483647</definedName>
    <definedName name="solver_nod" localSheetId="8" hidden="1">2147483647</definedName>
    <definedName name="solver_nod" localSheetId="7" hidden="1">2147483647</definedName>
    <definedName name="solver_nod" localSheetId="0" hidden="1">2147483647</definedName>
    <definedName name="solver_nod" localSheetId="12" hidden="1">2147483647</definedName>
    <definedName name="solver_nod" localSheetId="9" hidden="1">2147483647</definedName>
    <definedName name="solver_nod" localSheetId="10" hidden="1">2147483647</definedName>
    <definedName name="solver_nod" localSheetId="11" hidden="1">2147483647</definedName>
    <definedName name="solver_nod" localSheetId="16" hidden="1">2147483647</definedName>
    <definedName name="solver_nod" localSheetId="15" hidden="1">2147483647</definedName>
    <definedName name="solver_num" localSheetId="1" hidden="1">0</definedName>
    <definedName name="solver_num" localSheetId="2" hidden="1">0</definedName>
    <definedName name="solver_num" localSheetId="3" hidden="1">1</definedName>
    <definedName name="solver_num" localSheetId="6" hidden="1">2</definedName>
    <definedName name="solver_num" localSheetId="4" hidden="1">4</definedName>
    <definedName name="solver_num" localSheetId="8" hidden="1">0</definedName>
    <definedName name="solver_num" localSheetId="7" hidden="1">0</definedName>
    <definedName name="solver_num" localSheetId="0" hidden="1">0</definedName>
    <definedName name="solver_num" localSheetId="12" hidden="1">6</definedName>
    <definedName name="solver_num" localSheetId="9" hidden="1">4</definedName>
    <definedName name="solver_num" localSheetId="10" hidden="1">0</definedName>
    <definedName name="solver_num" localSheetId="11" hidden="1">0</definedName>
    <definedName name="solver_num" localSheetId="16" hidden="1">2</definedName>
    <definedName name="solver_num" localSheetId="15" hidden="1">2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6" hidden="1">1</definedName>
    <definedName name="solver_nwt" localSheetId="4" hidden="1">1</definedName>
    <definedName name="solver_nwt" localSheetId="8" hidden="1">1</definedName>
    <definedName name="solver_nwt" localSheetId="7" hidden="1">1</definedName>
    <definedName name="solver_nwt" localSheetId="0" hidden="1">1</definedName>
    <definedName name="solver_nwt" localSheetId="12" hidden="1">1</definedName>
    <definedName name="solver_nwt" localSheetId="9" hidden="1">1</definedName>
    <definedName name="solver_nwt" localSheetId="10" hidden="1">1</definedName>
    <definedName name="solver_nwt" localSheetId="11" hidden="1">1</definedName>
    <definedName name="solver_nwt" localSheetId="16" hidden="1">1</definedName>
    <definedName name="solver_nwt" localSheetId="15" hidden="1">1</definedName>
    <definedName name="solver_opt" localSheetId="1" hidden="1">'1.ES-Simp'!$J$30</definedName>
    <definedName name="solver_opt" localSheetId="2" hidden="1">'2.ES.Simp.Trend'!$J$30</definedName>
    <definedName name="solver_opt" localSheetId="3" hidden="1">'2.ExpoSmoo'!$I$30</definedName>
    <definedName name="solver_opt" localSheetId="6" hidden="1">'3.TrenAdExpoSmoo'!$K$36</definedName>
    <definedName name="solver_opt" localSheetId="4" hidden="1">'3.TrendAdj'!$G$30</definedName>
    <definedName name="solver_opt" localSheetId="8" hidden="1">'3b.OPT.AlphaBeta6ways'!$K$6</definedName>
    <definedName name="solver_opt" localSheetId="7" hidden="1">'3c.TrAdES'!$L$5</definedName>
    <definedName name="solver_opt" localSheetId="0" hidden="1">'4.OPT.AlphaBeta6ways'!$J$6</definedName>
    <definedName name="solver_opt" localSheetId="12" hidden="1">'4.Trend&amp;SeasIravaniMine'!$I$31</definedName>
    <definedName name="solver_opt" localSheetId="9" hidden="1">'Prac1.TreAdj.ES'!$G$31</definedName>
    <definedName name="solver_opt" localSheetId="10" hidden="1">'Prac2.TreAdj.ES'!$O$4</definedName>
    <definedName name="solver_opt" localSheetId="11" hidden="1">'Prac3.TreAdj.ES'!$M$5</definedName>
    <definedName name="solver_opt" localSheetId="16" hidden="1">TrendAndSeasChopraBook!$U$30</definedName>
    <definedName name="solver_opt" localSheetId="15" hidden="1">TrendAndSeasSocic!#REF!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6" hidden="1">0.000001</definedName>
    <definedName name="solver_pre" localSheetId="4" hidden="1">0.000001</definedName>
    <definedName name="solver_pre" localSheetId="8" hidden="1">0.000001</definedName>
    <definedName name="solver_pre" localSheetId="7" hidden="1">0.000001</definedName>
    <definedName name="solver_pre" localSheetId="0" hidden="1">0.000001</definedName>
    <definedName name="solver_pre" localSheetId="12" hidden="1">0.000001</definedName>
    <definedName name="solver_pre" localSheetId="9" hidden="1">0.000001</definedName>
    <definedName name="solver_pre" localSheetId="10" hidden="1">0.000001</definedName>
    <definedName name="solver_pre" localSheetId="11" hidden="1">0.000001</definedName>
    <definedName name="solver_pre" localSheetId="16" hidden="1">0.000001</definedName>
    <definedName name="solver_pre" localSheetId="15" hidden="1">0.000001</definedName>
    <definedName name="solver_rbv" localSheetId="1" hidden="1">1</definedName>
    <definedName name="solver_rbv" localSheetId="2" hidden="1">1</definedName>
    <definedName name="solver_rbv" localSheetId="3" hidden="1">2</definedName>
    <definedName name="solver_rbv" localSheetId="6" hidden="1">2</definedName>
    <definedName name="solver_rbv" localSheetId="4" hidden="1">1</definedName>
    <definedName name="solver_rbv" localSheetId="8" hidden="1">2</definedName>
    <definedName name="solver_rbv" localSheetId="7" hidden="1">1</definedName>
    <definedName name="solver_rbv" localSheetId="0" hidden="1">2</definedName>
    <definedName name="solver_rbv" localSheetId="12" hidden="1">1</definedName>
    <definedName name="solver_rbv" localSheetId="9" hidden="1">1</definedName>
    <definedName name="solver_rbv" localSheetId="10" hidden="1">1</definedName>
    <definedName name="solver_rbv" localSheetId="11" hidden="1">1</definedName>
    <definedName name="solver_rbv" localSheetId="16" hidden="1">1</definedName>
    <definedName name="solver_rbv" localSheetId="15" hidden="1">1</definedName>
    <definedName name="solver_rel1" localSheetId="3" hidden="1">1</definedName>
    <definedName name="solver_rel1" localSheetId="6" hidden="1">1</definedName>
    <definedName name="solver_rel1" localSheetId="4" hidden="1">1</definedName>
    <definedName name="solver_rel1" localSheetId="7" hidden="1">1</definedName>
    <definedName name="solver_rel1" localSheetId="12" hidden="1">1</definedName>
    <definedName name="solver_rel1" localSheetId="9" hidden="1">1</definedName>
    <definedName name="solver_rel1" localSheetId="10" hidden="1">1</definedName>
    <definedName name="solver_rel1" localSheetId="11" hidden="1">1</definedName>
    <definedName name="solver_rel1" localSheetId="16" hidden="1">1</definedName>
    <definedName name="solver_rel1" localSheetId="15" hidden="1">1</definedName>
    <definedName name="solver_rel2" localSheetId="6" hidden="1">3</definedName>
    <definedName name="solver_rel2" localSheetId="4" hidden="1">3</definedName>
    <definedName name="solver_rel2" localSheetId="7" hidden="1">3</definedName>
    <definedName name="solver_rel2" localSheetId="12" hidden="1">3</definedName>
    <definedName name="solver_rel2" localSheetId="9" hidden="1">3</definedName>
    <definedName name="solver_rel2" localSheetId="10" hidden="1">3</definedName>
    <definedName name="solver_rel2" localSheetId="11" hidden="1">3</definedName>
    <definedName name="solver_rel2" localSheetId="16" hidden="1">3</definedName>
    <definedName name="solver_rel2" localSheetId="15" hidden="1">3</definedName>
    <definedName name="solver_rel3" localSheetId="4" hidden="1">1</definedName>
    <definedName name="solver_rel3" localSheetId="12" hidden="1">1</definedName>
    <definedName name="solver_rel3" localSheetId="9" hidden="1">1</definedName>
    <definedName name="solver_rel3" localSheetId="16" hidden="1">3</definedName>
    <definedName name="solver_rel3" localSheetId="15" hidden="1">3</definedName>
    <definedName name="solver_rel4" localSheetId="4" hidden="1">3</definedName>
    <definedName name="solver_rel4" localSheetId="12" hidden="1">3</definedName>
    <definedName name="solver_rel4" localSheetId="9" hidden="1">3</definedName>
    <definedName name="solver_rel4" localSheetId="16" hidden="1">3</definedName>
    <definedName name="solver_rel4" localSheetId="15" hidden="1">3</definedName>
    <definedName name="solver_rel5" localSheetId="12" hidden="1">1</definedName>
    <definedName name="solver_rel5" localSheetId="16" hidden="1">3</definedName>
    <definedName name="solver_rel5" localSheetId="15" hidden="1">3</definedName>
    <definedName name="solver_rel6" localSheetId="12" hidden="1">3</definedName>
    <definedName name="solver_rel6" localSheetId="16" hidden="1">3</definedName>
    <definedName name="solver_rel6" localSheetId="15" hidden="1">3</definedName>
    <definedName name="solver_rhs1" localSheetId="3" hidden="1">1</definedName>
    <definedName name="solver_rhs1" localSheetId="6" hidden="1">1</definedName>
    <definedName name="solver_rhs1" localSheetId="4" hidden="1">1</definedName>
    <definedName name="solver_rhs1" localSheetId="7" hidden="1">1</definedName>
    <definedName name="solver_rhs1" localSheetId="12" hidden="1">1</definedName>
    <definedName name="solver_rhs1" localSheetId="9" hidden="1">1</definedName>
    <definedName name="solver_rhs1" localSheetId="10" hidden="1">1</definedName>
    <definedName name="solver_rhs1" localSheetId="11" hidden="1">1</definedName>
    <definedName name="solver_rhs1" localSheetId="16" hidden="1">1</definedName>
    <definedName name="solver_rhs1" localSheetId="15" hidden="1">1</definedName>
    <definedName name="solver_rhs2" localSheetId="6" hidden="1">0</definedName>
    <definedName name="solver_rhs2" localSheetId="4" hidden="1">0</definedName>
    <definedName name="solver_rhs2" localSheetId="7" hidden="1">0</definedName>
    <definedName name="solver_rhs2" localSheetId="12" hidden="1">0</definedName>
    <definedName name="solver_rhs2" localSheetId="9" hidden="1">0</definedName>
    <definedName name="solver_rhs2" localSheetId="10" hidden="1">0</definedName>
    <definedName name="solver_rhs2" localSheetId="11" hidden="1">0</definedName>
    <definedName name="solver_rhs2" localSheetId="16" hidden="1">0</definedName>
    <definedName name="solver_rhs2" localSheetId="15" hidden="1">0</definedName>
    <definedName name="solver_rhs3" localSheetId="4" hidden="1">1</definedName>
    <definedName name="solver_rhs3" localSheetId="12" hidden="1">1</definedName>
    <definedName name="solver_rhs3" localSheetId="9" hidden="1">1</definedName>
    <definedName name="solver_rhs3" localSheetId="16" hidden="1">0</definedName>
    <definedName name="solver_rhs3" localSheetId="15" hidden="1">0</definedName>
    <definedName name="solver_rhs4" localSheetId="4" hidden="1">0</definedName>
    <definedName name="solver_rhs4" localSheetId="12" hidden="1">0</definedName>
    <definedName name="solver_rhs4" localSheetId="9" hidden="1">0</definedName>
    <definedName name="solver_rhs4" localSheetId="16" hidden="1">0</definedName>
    <definedName name="solver_rhs4" localSheetId="15" hidden="1">0</definedName>
    <definedName name="solver_rhs5" localSheetId="12" hidden="1">1</definedName>
    <definedName name="solver_rhs5" localSheetId="16" hidden="1">0</definedName>
    <definedName name="solver_rhs5" localSheetId="15" hidden="1">0</definedName>
    <definedName name="solver_rhs6" localSheetId="12" hidden="1">0</definedName>
    <definedName name="solver_rhs6" localSheetId="16" hidden="1">0</definedName>
    <definedName name="solver_rhs6" localSheetId="15" hidden="1">0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lx" localSheetId="6" hidden="1">2</definedName>
    <definedName name="solver_rlx" localSheetId="4" hidden="1">2</definedName>
    <definedName name="solver_rlx" localSheetId="8" hidden="1">2</definedName>
    <definedName name="solver_rlx" localSheetId="7" hidden="1">2</definedName>
    <definedName name="solver_rlx" localSheetId="0" hidden="1">2</definedName>
    <definedName name="solver_rlx" localSheetId="12" hidden="1">2</definedName>
    <definedName name="solver_rlx" localSheetId="9" hidden="1">2</definedName>
    <definedName name="solver_rlx" localSheetId="10" hidden="1">2</definedName>
    <definedName name="solver_rlx" localSheetId="11" hidden="1">2</definedName>
    <definedName name="solver_rlx" localSheetId="16" hidden="1">2</definedName>
    <definedName name="solver_rlx" localSheetId="15" hidden="1">2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rsd" localSheetId="6" hidden="1">0</definedName>
    <definedName name="solver_rsd" localSheetId="4" hidden="1">0</definedName>
    <definedName name="solver_rsd" localSheetId="8" hidden="1">0</definedName>
    <definedName name="solver_rsd" localSheetId="7" hidden="1">0</definedName>
    <definedName name="solver_rsd" localSheetId="0" hidden="1">0</definedName>
    <definedName name="solver_rsd" localSheetId="12" hidden="1">0</definedName>
    <definedName name="solver_rsd" localSheetId="9" hidden="1">0</definedName>
    <definedName name="solver_rsd" localSheetId="10" hidden="1">0</definedName>
    <definedName name="solver_rsd" localSheetId="11" hidden="1">0</definedName>
    <definedName name="solver_rsd" localSheetId="16" hidden="1">0</definedName>
    <definedName name="solver_rsd" localSheetId="15" hidden="1">0</definedName>
    <definedName name="solver_scl" localSheetId="1" hidden="1">1</definedName>
    <definedName name="solver_scl" localSheetId="2" hidden="1">1</definedName>
    <definedName name="solver_scl" localSheetId="3" hidden="1">2</definedName>
    <definedName name="solver_scl" localSheetId="6" hidden="1">2</definedName>
    <definedName name="solver_scl" localSheetId="4" hidden="1">1</definedName>
    <definedName name="solver_scl" localSheetId="8" hidden="1">2</definedName>
    <definedName name="solver_scl" localSheetId="7" hidden="1">1</definedName>
    <definedName name="solver_scl" localSheetId="0" hidden="1">2</definedName>
    <definedName name="solver_scl" localSheetId="12" hidden="1">1</definedName>
    <definedName name="solver_scl" localSheetId="9" hidden="1">1</definedName>
    <definedName name="solver_scl" localSheetId="10" hidden="1">1</definedName>
    <definedName name="solver_scl" localSheetId="11" hidden="1">1</definedName>
    <definedName name="solver_scl" localSheetId="16" hidden="1">1</definedName>
    <definedName name="solver_scl" localSheetId="15" hidden="1">1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6" hidden="1">2</definedName>
    <definedName name="solver_sho" localSheetId="4" hidden="1">2</definedName>
    <definedName name="solver_sho" localSheetId="8" hidden="1">2</definedName>
    <definedName name="solver_sho" localSheetId="7" hidden="1">2</definedName>
    <definedName name="solver_sho" localSheetId="0" hidden="1">2</definedName>
    <definedName name="solver_sho" localSheetId="12" hidden="1">2</definedName>
    <definedName name="solver_sho" localSheetId="9" hidden="1">2</definedName>
    <definedName name="solver_sho" localSheetId="10" hidden="1">2</definedName>
    <definedName name="solver_sho" localSheetId="11" hidden="1">2</definedName>
    <definedName name="solver_sho" localSheetId="16" hidden="1">2</definedName>
    <definedName name="solver_sho" localSheetId="15" hidden="1">2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ssz" localSheetId="6" hidden="1">100</definedName>
    <definedName name="solver_ssz" localSheetId="4" hidden="1">100</definedName>
    <definedName name="solver_ssz" localSheetId="8" hidden="1">100</definedName>
    <definedName name="solver_ssz" localSheetId="7" hidden="1">100</definedName>
    <definedName name="solver_ssz" localSheetId="0" hidden="1">100</definedName>
    <definedName name="solver_ssz" localSheetId="12" hidden="1">100</definedName>
    <definedName name="solver_ssz" localSheetId="9" hidden="1">100</definedName>
    <definedName name="solver_ssz" localSheetId="10" hidden="1">100</definedName>
    <definedName name="solver_ssz" localSheetId="11" hidden="1">100</definedName>
    <definedName name="solver_ssz" localSheetId="16" hidden="1">100</definedName>
    <definedName name="solver_ssz" localSheetId="15" hidden="1">100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im" localSheetId="6" hidden="1">2147483647</definedName>
    <definedName name="solver_tim" localSheetId="4" hidden="1">2147483647</definedName>
    <definedName name="solver_tim" localSheetId="8" hidden="1">2147483647</definedName>
    <definedName name="solver_tim" localSheetId="7" hidden="1">2147483647</definedName>
    <definedName name="solver_tim" localSheetId="0" hidden="1">2147483647</definedName>
    <definedName name="solver_tim" localSheetId="12" hidden="1">2147483647</definedName>
    <definedName name="solver_tim" localSheetId="9" hidden="1">2147483647</definedName>
    <definedName name="solver_tim" localSheetId="10" hidden="1">2147483647</definedName>
    <definedName name="solver_tim" localSheetId="11" hidden="1">2147483647</definedName>
    <definedName name="solver_tim" localSheetId="16" hidden="1">2147483647</definedName>
    <definedName name="solver_tim" localSheetId="15" hidden="1">2147483647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ol" localSheetId="6" hidden="1">0.01</definedName>
    <definedName name="solver_tol" localSheetId="4" hidden="1">0.01</definedName>
    <definedName name="solver_tol" localSheetId="8" hidden="1">0.01</definedName>
    <definedName name="solver_tol" localSheetId="7" hidden="1">0.01</definedName>
    <definedName name="solver_tol" localSheetId="0" hidden="1">0.01</definedName>
    <definedName name="solver_tol" localSheetId="12" hidden="1">0.01</definedName>
    <definedName name="solver_tol" localSheetId="9" hidden="1">0.01</definedName>
    <definedName name="solver_tol" localSheetId="10" hidden="1">0.01</definedName>
    <definedName name="solver_tol" localSheetId="11" hidden="1">0.01</definedName>
    <definedName name="solver_tol" localSheetId="16" hidden="1">0.01</definedName>
    <definedName name="solver_tol" localSheetId="15" hidden="1">0.01</definedName>
    <definedName name="solver_typ" localSheetId="1" hidden="1">2</definedName>
    <definedName name="solver_typ" localSheetId="14" hidden="1">2</definedName>
    <definedName name="solver_typ" localSheetId="2" hidden="1">2</definedName>
    <definedName name="solver_typ" localSheetId="3" hidden="1">2</definedName>
    <definedName name="solver_typ" localSheetId="6" hidden="1">2</definedName>
    <definedName name="solver_typ" localSheetId="4" hidden="1">2</definedName>
    <definedName name="solver_typ" localSheetId="8" hidden="1">2</definedName>
    <definedName name="solver_typ" localSheetId="7" hidden="1">2</definedName>
    <definedName name="solver_typ" localSheetId="0" hidden="1">2</definedName>
    <definedName name="solver_typ" localSheetId="12" hidden="1">2</definedName>
    <definedName name="solver_typ" localSheetId="9" hidden="1">2</definedName>
    <definedName name="solver_typ" localSheetId="10" hidden="1">2</definedName>
    <definedName name="solver_typ" localSheetId="11" hidden="1">2</definedName>
    <definedName name="solver_typ" localSheetId="16" hidden="1">2</definedName>
    <definedName name="solver_typ" localSheetId="15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6" hidden="1">0</definedName>
    <definedName name="solver_val" localSheetId="4" hidden="1">0</definedName>
    <definedName name="solver_val" localSheetId="8" hidden="1">0</definedName>
    <definedName name="solver_val" localSheetId="7" hidden="1">0</definedName>
    <definedName name="solver_val" localSheetId="0" hidden="1">0</definedName>
    <definedName name="solver_val" localSheetId="12" hidden="1">0</definedName>
    <definedName name="solver_val" localSheetId="9" hidden="1">0</definedName>
    <definedName name="solver_val" localSheetId="10" hidden="1">0</definedName>
    <definedName name="solver_val" localSheetId="11" hidden="1">0</definedName>
    <definedName name="solver_val" localSheetId="16" hidden="1">0</definedName>
    <definedName name="solver_val" localSheetId="15" hidden="1">0</definedName>
    <definedName name="solver_ver" localSheetId="1" hidden="1">3</definedName>
    <definedName name="solver_ver" localSheetId="14" hidden="1">17</definedName>
    <definedName name="solver_ver" localSheetId="2" hidden="1">3</definedName>
    <definedName name="solver_ver" localSheetId="3" hidden="1">3</definedName>
    <definedName name="solver_ver" localSheetId="6" hidden="1">3</definedName>
    <definedName name="solver_ver" localSheetId="4" hidden="1">3</definedName>
    <definedName name="solver_ver" localSheetId="8" hidden="1">3</definedName>
    <definedName name="solver_ver" localSheetId="7" hidden="1">3</definedName>
    <definedName name="solver_ver" localSheetId="0" hidden="1">3</definedName>
    <definedName name="solver_ver" localSheetId="12" hidden="1">3</definedName>
    <definedName name="solver_ver" localSheetId="9" hidden="1">3</definedName>
    <definedName name="solver_ver" localSheetId="10" hidden="1">3</definedName>
    <definedName name="solver_ver" localSheetId="11" hidden="1">3</definedName>
    <definedName name="solver_ver" localSheetId="16" hidden="1">3</definedName>
    <definedName name="solver_ver" localSheetId="15" hidden="1">3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" i="67" l="1"/>
  <c r="M1" i="14"/>
  <c r="A1" i="67" l="1"/>
  <c r="A3" i="67"/>
  <c r="A4" i="67"/>
  <c r="A5" i="67"/>
  <c r="A6" i="67"/>
  <c r="A7" i="67"/>
  <c r="A8" i="67"/>
  <c r="A9" i="67"/>
  <c r="A10" i="67"/>
  <c r="A11" i="67"/>
  <c r="A12" i="67"/>
  <c r="A13" i="67"/>
  <c r="A14" i="67"/>
  <c r="A15" i="67"/>
  <c r="A16" i="67"/>
  <c r="X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51" i="67"/>
  <c r="A52" i="67"/>
  <c r="A53" i="67"/>
  <c r="A54" i="67"/>
  <c r="A55" i="67"/>
  <c r="A56" i="67"/>
  <c r="A57" i="67"/>
  <c r="A58" i="67"/>
  <c r="A59" i="67"/>
  <c r="A60" i="67"/>
  <c r="A61" i="67"/>
  <c r="A62" i="67"/>
  <c r="A63" i="67"/>
  <c r="A64" i="67"/>
  <c r="A65" i="67"/>
  <c r="A66" i="67"/>
  <c r="A67" i="67"/>
  <c r="A68" i="67"/>
  <c r="A69" i="67"/>
  <c r="A70" i="67"/>
  <c r="A71" i="67"/>
  <c r="A72" i="67"/>
  <c r="A73" i="67"/>
  <c r="A74" i="67"/>
  <c r="A75" i="67"/>
  <c r="A76" i="67"/>
  <c r="A77" i="67"/>
  <c r="A78" i="67"/>
  <c r="A1" i="66"/>
  <c r="Q1" i="66"/>
  <c r="A3" i="66"/>
  <c r="C3" i="66"/>
  <c r="A4" i="66"/>
  <c r="C4" i="66"/>
  <c r="D4" i="66"/>
  <c r="E4" i="66" s="1"/>
  <c r="A5" i="66"/>
  <c r="C5" i="66"/>
  <c r="C6" i="66" s="1"/>
  <c r="N5" i="66"/>
  <c r="A6" i="66"/>
  <c r="A7" i="66"/>
  <c r="A8" i="66"/>
  <c r="A9" i="66"/>
  <c r="A10" i="66"/>
  <c r="A11" i="66"/>
  <c r="A12" i="66"/>
  <c r="A13" i="66"/>
  <c r="A14" i="66"/>
  <c r="A15" i="66"/>
  <c r="A16" i="66"/>
  <c r="N16" i="66"/>
  <c r="A17" i="66"/>
  <c r="A18" i="66"/>
  <c r="A19" i="66"/>
  <c r="A20" i="66"/>
  <c r="A21" i="66"/>
  <c r="A22" i="66"/>
  <c r="A23" i="66"/>
  <c r="Z29" i="66"/>
  <c r="B3" i="65"/>
  <c r="C3" i="65"/>
  <c r="B4" i="65"/>
  <c r="B5" i="65"/>
  <c r="B6" i="65"/>
  <c r="L6" i="65"/>
  <c r="M6" i="65" s="1"/>
  <c r="N6" i="65"/>
  <c r="O6" i="65" s="1"/>
  <c r="P6" i="65" s="1"/>
  <c r="Q6" i="65" s="1"/>
  <c r="R6" i="65" s="1"/>
  <c r="S6" i="65" s="1"/>
  <c r="T6" i="65" s="1"/>
  <c r="U6" i="65" s="1"/>
  <c r="V6" i="65" s="1"/>
  <c r="B7" i="65"/>
  <c r="K7" i="65"/>
  <c r="B8" i="65"/>
  <c r="K8" i="65"/>
  <c r="B9" i="65"/>
  <c r="K9" i="65"/>
  <c r="K10" i="65" s="1"/>
  <c r="K11" i="65" s="1"/>
  <c r="K12" i="65" s="1"/>
  <c r="K13" i="65" s="1"/>
  <c r="B10" i="65"/>
  <c r="B11" i="65"/>
  <c r="B12" i="65"/>
  <c r="B13" i="65"/>
  <c r="B14" i="65"/>
  <c r="K14" i="65"/>
  <c r="K15" i="65" s="1"/>
  <c r="K16" i="65" s="1"/>
  <c r="K17" i="65" s="1"/>
  <c r="B15" i="65"/>
  <c r="B16" i="65"/>
  <c r="B17" i="65"/>
  <c r="B18" i="65"/>
  <c r="W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D3" i="65" s="1"/>
  <c r="O1" i="64"/>
  <c r="P6" i="64"/>
  <c r="Q6" i="64"/>
  <c r="R6" i="64"/>
  <c r="S6" i="64" s="1"/>
  <c r="T6" i="64" s="1"/>
  <c r="U6" i="64" s="1"/>
  <c r="V6" i="64" s="1"/>
  <c r="W6" i="64" s="1"/>
  <c r="X6" i="64" s="1"/>
  <c r="Y6" i="64" s="1"/>
  <c r="Z6" i="64"/>
  <c r="O7" i="64"/>
  <c r="O8" i="64" s="1"/>
  <c r="O9" i="64" s="1"/>
  <c r="C8" i="64"/>
  <c r="D8" i="64"/>
  <c r="E9" i="64"/>
  <c r="C9" i="64" s="1"/>
  <c r="F9" i="64"/>
  <c r="O10" i="64"/>
  <c r="O11" i="64" s="1"/>
  <c r="O12" i="64" s="1"/>
  <c r="O13" i="64" s="1"/>
  <c r="O14" i="64" s="1"/>
  <c r="O15" i="64" s="1"/>
  <c r="O16" i="64" s="1"/>
  <c r="O17" i="64" s="1"/>
  <c r="P18" i="64"/>
  <c r="O1" i="63"/>
  <c r="P6" i="63"/>
  <c r="Q6" i="63"/>
  <c r="R6" i="63"/>
  <c r="S6" i="63" s="1"/>
  <c r="T6" i="63" s="1"/>
  <c r="U6" i="63" s="1"/>
  <c r="V6" i="63" s="1"/>
  <c r="W6" i="63" s="1"/>
  <c r="X6" i="63" s="1"/>
  <c r="Y6" i="63" s="1"/>
  <c r="Z6" i="63" s="1"/>
  <c r="O7" i="63"/>
  <c r="O8" i="63" s="1"/>
  <c r="O9" i="63" s="1"/>
  <c r="O10" i="63" s="1"/>
  <c r="O11" i="63" s="1"/>
  <c r="O12" i="63" s="1"/>
  <c r="O13" i="63" s="1"/>
  <c r="O14" i="63" s="1"/>
  <c r="O15" i="63" s="1"/>
  <c r="O16" i="63" s="1"/>
  <c r="O17" i="63" s="1"/>
  <c r="C8" i="63"/>
  <c r="D8" i="63"/>
  <c r="C9" i="63"/>
  <c r="E9" i="63"/>
  <c r="F9" i="63"/>
  <c r="G9" i="63" s="1"/>
  <c r="P18" i="63"/>
  <c r="P8" i="62"/>
  <c r="Q8" i="62"/>
  <c r="R8" i="62"/>
  <c r="S8" i="62"/>
  <c r="T8" i="62" s="1"/>
  <c r="U8" i="62" s="1"/>
  <c r="V8" i="62" s="1"/>
  <c r="W8" i="62" s="1"/>
  <c r="X8" i="62" s="1"/>
  <c r="Y8" i="62" s="1"/>
  <c r="Z8" i="62" s="1"/>
  <c r="B9" i="62"/>
  <c r="C8" i="62" s="1"/>
  <c r="E9" i="62" s="1"/>
  <c r="C9" i="62" s="1"/>
  <c r="O9" i="62"/>
  <c r="O10" i="62" s="1"/>
  <c r="O11" i="62" s="1"/>
  <c r="O12" i="62" s="1"/>
  <c r="O13" i="62" s="1"/>
  <c r="O14" i="62" s="1"/>
  <c r="O15" i="62" s="1"/>
  <c r="O16" i="62" s="1"/>
  <c r="O17" i="62" s="1"/>
  <c r="O18" i="62" s="1"/>
  <c r="O19" i="62" s="1"/>
  <c r="B10" i="62"/>
  <c r="B11" i="62"/>
  <c r="B12" i="62"/>
  <c r="B13" i="62"/>
  <c r="B14" i="62"/>
  <c r="B15" i="62"/>
  <c r="B16" i="62"/>
  <c r="B17" i="62"/>
  <c r="B18" i="62"/>
  <c r="B19" i="62"/>
  <c r="B20" i="62"/>
  <c r="B21" i="62"/>
  <c r="P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D8" i="62" s="1"/>
  <c r="N7" i="61"/>
  <c r="B8" i="61"/>
  <c r="C8" i="61"/>
  <c r="D8" i="61" s="1"/>
  <c r="N8" i="61"/>
  <c r="N9" i="61" s="1"/>
  <c r="N10" i="61" s="1"/>
  <c r="N11" i="61" s="1"/>
  <c r="N12" i="61" s="1"/>
  <c r="N13" i="61" s="1"/>
  <c r="N14" i="61" s="1"/>
  <c r="N15" i="61" s="1"/>
  <c r="N16" i="61" s="1"/>
  <c r="N17" i="61" s="1"/>
  <c r="B9" i="61"/>
  <c r="C9" i="61"/>
  <c r="C10" i="61" s="1"/>
  <c r="C11" i="61" s="1"/>
  <c r="C12" i="61" s="1"/>
  <c r="C13" i="61" s="1"/>
  <c r="C14" i="61" s="1"/>
  <c r="C15" i="61" s="1"/>
  <c r="C16" i="61" s="1"/>
  <c r="C17" i="61" s="1"/>
  <c r="C18" i="61" s="1"/>
  <c r="C19" i="61" s="1"/>
  <c r="C20" i="61" s="1"/>
  <c r="B10" i="61"/>
  <c r="B11" i="61"/>
  <c r="B12" i="61"/>
  <c r="B13" i="61"/>
  <c r="B14" i="61"/>
  <c r="B15" i="61"/>
  <c r="B16" i="61"/>
  <c r="B17" i="61"/>
  <c r="B18" i="61"/>
  <c r="O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F3" i="60"/>
  <c r="F4" i="60"/>
  <c r="C5" i="60"/>
  <c r="C2" i="60" s="1"/>
  <c r="F5" i="60"/>
  <c r="Z5" i="60"/>
  <c r="Z6" i="60" s="1"/>
  <c r="AA5" i="60"/>
  <c r="C6" i="60"/>
  <c r="F6" i="60"/>
  <c r="C7" i="60"/>
  <c r="F7" i="60"/>
  <c r="C8" i="60"/>
  <c r="F8" i="60"/>
  <c r="C9" i="60"/>
  <c r="F9" i="60"/>
  <c r="C10" i="60"/>
  <c r="F10" i="60"/>
  <c r="C11" i="60"/>
  <c r="F11" i="60"/>
  <c r="C12" i="60"/>
  <c r="F12" i="60"/>
  <c r="F13" i="60"/>
  <c r="F14" i="60"/>
  <c r="C2" i="59"/>
  <c r="F3" i="59" s="1"/>
  <c r="G3" i="59" s="1"/>
  <c r="D2" i="59"/>
  <c r="E3" i="59"/>
  <c r="U3" i="59" s="1"/>
  <c r="U4" i="59" s="1"/>
  <c r="S3" i="59"/>
  <c r="E4" i="59"/>
  <c r="S4" i="59"/>
  <c r="E5" i="59"/>
  <c r="E6" i="59"/>
  <c r="D5" i="66" l="1"/>
  <c r="E5" i="66" s="1"/>
  <c r="G3" i="66"/>
  <c r="I3" i="66" s="1"/>
  <c r="H3" i="66"/>
  <c r="H4" i="66" s="1"/>
  <c r="H5" i="66" s="1"/>
  <c r="H6" i="66" s="1"/>
  <c r="H7" i="66" s="1"/>
  <c r="H8" i="66" s="1"/>
  <c r="H9" i="66" s="1"/>
  <c r="H10" i="66" s="1"/>
  <c r="H11" i="66" s="1"/>
  <c r="H12" i="66" s="1"/>
  <c r="H13" i="66" s="1"/>
  <c r="H14" i="66" s="1"/>
  <c r="H15" i="66" s="1"/>
  <c r="H16" i="66" s="1"/>
  <c r="H17" i="66" s="1"/>
  <c r="H18" i="66" s="1"/>
  <c r="H19" i="66" s="1"/>
  <c r="H20" i="66" s="1"/>
  <c r="H21" i="66" s="1"/>
  <c r="H22" i="66" s="1"/>
  <c r="H23" i="66" s="1"/>
  <c r="F5" i="66"/>
  <c r="F4" i="66"/>
  <c r="F6" i="66"/>
  <c r="E4" i="65"/>
  <c r="C4" i="65" s="1"/>
  <c r="C7" i="66"/>
  <c r="D6" i="66"/>
  <c r="E6" i="66" s="1"/>
  <c r="D2" i="67"/>
  <c r="E2" i="67"/>
  <c r="G9" i="64"/>
  <c r="H9" i="64"/>
  <c r="I9" i="64"/>
  <c r="D9" i="64"/>
  <c r="J9" i="63"/>
  <c r="D9" i="63"/>
  <c r="I9" i="63"/>
  <c r="H9" i="63"/>
  <c r="D9" i="62"/>
  <c r="E10" i="62" s="1"/>
  <c r="F9" i="62"/>
  <c r="D9" i="61"/>
  <c r="D11" i="61"/>
  <c r="D10" i="61"/>
  <c r="D17" i="61"/>
  <c r="F8" i="61"/>
  <c r="K8" i="61"/>
  <c r="K10" i="61"/>
  <c r="E8" i="61"/>
  <c r="K9" i="61"/>
  <c r="K11" i="61"/>
  <c r="D20" i="61"/>
  <c r="C21" i="61"/>
  <c r="D16" i="61"/>
  <c r="D14" i="61"/>
  <c r="D13" i="61"/>
  <c r="D18" i="61"/>
  <c r="E9" i="61"/>
  <c r="G9" i="61" s="1"/>
  <c r="F9" i="61"/>
  <c r="D15" i="61"/>
  <c r="D19" i="61"/>
  <c r="D12" i="61"/>
  <c r="K13" i="61" s="1"/>
  <c r="J2" i="60"/>
  <c r="D7" i="60"/>
  <c r="H3" i="59"/>
  <c r="J3" i="59"/>
  <c r="K3" i="59"/>
  <c r="C3" i="59"/>
  <c r="R3" i="59"/>
  <c r="R4" i="59" s="1"/>
  <c r="E7" i="59"/>
  <c r="Q3" i="59"/>
  <c r="Q4" i="59" s="1"/>
  <c r="D2" i="60"/>
  <c r="K2" i="60" s="1"/>
  <c r="D4" i="65" l="1"/>
  <c r="E5" i="65" s="1"/>
  <c r="J3" i="66"/>
  <c r="G4" i="66"/>
  <c r="I4" i="66" s="1"/>
  <c r="F3" i="67"/>
  <c r="F4" i="65"/>
  <c r="D7" i="66"/>
  <c r="E7" i="66" s="1"/>
  <c r="C8" i="66"/>
  <c r="K9" i="64"/>
  <c r="E10" i="64"/>
  <c r="J9" i="64"/>
  <c r="K9" i="63"/>
  <c r="E10" i="63"/>
  <c r="C10" i="62"/>
  <c r="F10" i="62"/>
  <c r="G9" i="62"/>
  <c r="H9" i="62"/>
  <c r="D10" i="62"/>
  <c r="K12" i="61"/>
  <c r="E15" i="61"/>
  <c r="G15" i="61" s="1"/>
  <c r="F15" i="61"/>
  <c r="H8" i="61"/>
  <c r="L8" i="61" s="1"/>
  <c r="H9" i="61"/>
  <c r="G8" i="61"/>
  <c r="L9" i="61"/>
  <c r="E17" i="61"/>
  <c r="G17" i="61" s="1"/>
  <c r="F17" i="61"/>
  <c r="C22" i="61"/>
  <c r="D21" i="61"/>
  <c r="K18" i="61"/>
  <c r="E16" i="61"/>
  <c r="G16" i="61" s="1"/>
  <c r="F16" i="61"/>
  <c r="E20" i="61"/>
  <c r="G20" i="61" s="1"/>
  <c r="F20" i="61"/>
  <c r="E12" i="61"/>
  <c r="G12" i="61" s="1"/>
  <c r="F12" i="61"/>
  <c r="E19" i="61"/>
  <c r="G19" i="61" s="1"/>
  <c r="F19" i="61"/>
  <c r="E13" i="61"/>
  <c r="G13" i="61" s="1"/>
  <c r="F13" i="61"/>
  <c r="K16" i="61"/>
  <c r="I8" i="61"/>
  <c r="I9" i="61"/>
  <c r="F10" i="61"/>
  <c r="I20" i="61" s="1"/>
  <c r="E10" i="61"/>
  <c r="G10" i="61" s="1"/>
  <c r="K17" i="61"/>
  <c r="K15" i="61"/>
  <c r="K20" i="61"/>
  <c r="F18" i="61"/>
  <c r="E18" i="61"/>
  <c r="G18" i="61" s="1"/>
  <c r="F14" i="61"/>
  <c r="E14" i="61"/>
  <c r="G14" i="61" s="1"/>
  <c r="K19" i="61"/>
  <c r="K14" i="61"/>
  <c r="E11" i="61"/>
  <c r="G11" i="61" s="1"/>
  <c r="F11" i="61"/>
  <c r="E7" i="60"/>
  <c r="D13" i="60"/>
  <c r="V3" i="59"/>
  <c r="V4" i="59" s="1"/>
  <c r="V5" i="59" s="1"/>
  <c r="T3" i="59"/>
  <c r="T4" i="59" s="1"/>
  <c r="T5" i="59" s="1"/>
  <c r="D5" i="60"/>
  <c r="D4" i="60"/>
  <c r="D12" i="60"/>
  <c r="D10" i="60"/>
  <c r="D8" i="60"/>
  <c r="O3" i="59"/>
  <c r="N3" i="59"/>
  <c r="D14" i="60"/>
  <c r="D6" i="60"/>
  <c r="R5" i="59"/>
  <c r="L3" i="59"/>
  <c r="I3" i="59"/>
  <c r="D9" i="60"/>
  <c r="D11" i="60"/>
  <c r="D3" i="59"/>
  <c r="E8" i="59" s="1"/>
  <c r="D3" i="60"/>
  <c r="C5" i="65" l="1"/>
  <c r="F5" i="65"/>
  <c r="G5" i="65"/>
  <c r="G4" i="65"/>
  <c r="J4" i="66"/>
  <c r="K4" i="66" s="1"/>
  <c r="G5" i="66"/>
  <c r="I5" i="66" s="1"/>
  <c r="G3" i="67"/>
  <c r="D3" i="67"/>
  <c r="C9" i="66"/>
  <c r="D8" i="66"/>
  <c r="E8" i="66" s="1"/>
  <c r="K3" i="66"/>
  <c r="F7" i="66"/>
  <c r="F8" i="66"/>
  <c r="D5" i="65"/>
  <c r="F10" i="64"/>
  <c r="C10" i="64"/>
  <c r="F10" i="63"/>
  <c r="C10" i="63"/>
  <c r="K9" i="62"/>
  <c r="G10" i="62"/>
  <c r="I10" i="62" s="1"/>
  <c r="H10" i="62"/>
  <c r="I9" i="62"/>
  <c r="J9" i="62"/>
  <c r="M9" i="62" s="1"/>
  <c r="E11" i="62"/>
  <c r="H18" i="61"/>
  <c r="I11" i="61"/>
  <c r="I18" i="61"/>
  <c r="I10" i="61"/>
  <c r="I19" i="61"/>
  <c r="I16" i="61"/>
  <c r="H19" i="61"/>
  <c r="L19" i="61" s="1"/>
  <c r="H16" i="61"/>
  <c r="L16" i="61" s="1"/>
  <c r="H17" i="61"/>
  <c r="L17" i="61" s="1"/>
  <c r="H14" i="61"/>
  <c r="I17" i="61"/>
  <c r="I14" i="61"/>
  <c r="I15" i="61"/>
  <c r="I12" i="61"/>
  <c r="L18" i="61"/>
  <c r="H20" i="61"/>
  <c r="H15" i="61"/>
  <c r="H12" i="61"/>
  <c r="L12" i="61" s="1"/>
  <c r="L15" i="61"/>
  <c r="I13" i="61"/>
  <c r="F21" i="61"/>
  <c r="E21" i="61"/>
  <c r="H21" i="61" s="1"/>
  <c r="J20" i="61"/>
  <c r="J17" i="61"/>
  <c r="J8" i="61"/>
  <c r="J10" i="61"/>
  <c r="J12" i="61"/>
  <c r="J14" i="61"/>
  <c r="J16" i="61"/>
  <c r="J18" i="61"/>
  <c r="J15" i="61"/>
  <c r="J9" i="61"/>
  <c r="J11" i="61"/>
  <c r="J19" i="61"/>
  <c r="J13" i="61"/>
  <c r="H13" i="61"/>
  <c r="L13" i="61" s="1"/>
  <c r="H10" i="61"/>
  <c r="L10" i="61" s="1"/>
  <c r="C23" i="61"/>
  <c r="D22" i="61"/>
  <c r="K22" i="61" s="1"/>
  <c r="H11" i="61"/>
  <c r="L11" i="61" s="1"/>
  <c r="L20" i="61"/>
  <c r="L14" i="61"/>
  <c r="K21" i="61"/>
  <c r="E13" i="60"/>
  <c r="E4" i="60"/>
  <c r="E12" i="60"/>
  <c r="E3" i="60"/>
  <c r="D4" i="59"/>
  <c r="E5" i="60"/>
  <c r="E11" i="60"/>
  <c r="E6" i="60"/>
  <c r="F4" i="59"/>
  <c r="G4" i="59" s="1"/>
  <c r="E9" i="60"/>
  <c r="M3" i="59"/>
  <c r="E14" i="60"/>
  <c r="E8" i="60"/>
  <c r="C4" i="59"/>
  <c r="E10" i="60"/>
  <c r="E3" i="67" l="1"/>
  <c r="F4" i="67" s="1"/>
  <c r="H3" i="67"/>
  <c r="G6" i="66"/>
  <c r="I6" i="66" s="1"/>
  <c r="J5" i="66"/>
  <c r="L4" i="66"/>
  <c r="M4" i="66" s="1"/>
  <c r="L3" i="66"/>
  <c r="M3" i="66" s="1"/>
  <c r="D9" i="66"/>
  <c r="E9" i="66" s="1"/>
  <c r="C10" i="66"/>
  <c r="E6" i="65"/>
  <c r="D10" i="64"/>
  <c r="G10" i="64"/>
  <c r="H10" i="64"/>
  <c r="I10" i="64"/>
  <c r="D10" i="63"/>
  <c r="G10" i="63"/>
  <c r="H10" i="63"/>
  <c r="I10" i="63"/>
  <c r="L9" i="62"/>
  <c r="L10" i="62"/>
  <c r="C11" i="62"/>
  <c r="F11" i="62"/>
  <c r="K10" i="62"/>
  <c r="J10" i="62"/>
  <c r="M10" i="62" s="1"/>
  <c r="L21" i="61"/>
  <c r="E22" i="61"/>
  <c r="F22" i="61"/>
  <c r="I22" i="61" s="1"/>
  <c r="I21" i="61"/>
  <c r="C24" i="61"/>
  <c r="D23" i="61"/>
  <c r="K23" i="61" s="1"/>
  <c r="G21" i="61"/>
  <c r="J4" i="59"/>
  <c r="K4" i="59"/>
  <c r="H4" i="59"/>
  <c r="G3" i="60"/>
  <c r="G6" i="60"/>
  <c r="G5" i="60"/>
  <c r="H5" i="60" s="1"/>
  <c r="C5" i="59"/>
  <c r="D5" i="59" s="1"/>
  <c r="E9" i="59"/>
  <c r="F5" i="59"/>
  <c r="G5" i="59" s="1"/>
  <c r="G4" i="60"/>
  <c r="D4" i="67" l="1"/>
  <c r="G4" i="67"/>
  <c r="C11" i="66"/>
  <c r="D10" i="66"/>
  <c r="E10" i="66" s="1"/>
  <c r="I3" i="67"/>
  <c r="J3" i="67" s="1"/>
  <c r="F6" i="65"/>
  <c r="C6" i="65"/>
  <c r="K5" i="66"/>
  <c r="F9" i="66"/>
  <c r="J6" i="66"/>
  <c r="G7" i="66"/>
  <c r="I7" i="66" s="1"/>
  <c r="K10" i="64"/>
  <c r="J10" i="64"/>
  <c r="E11" i="64"/>
  <c r="K10" i="63"/>
  <c r="J10" i="63"/>
  <c r="E11" i="63"/>
  <c r="H11" i="62"/>
  <c r="G11" i="62"/>
  <c r="D11" i="62"/>
  <c r="E12" i="62" s="1"/>
  <c r="C25" i="61"/>
  <c r="D24" i="61"/>
  <c r="J21" i="61"/>
  <c r="G22" i="61"/>
  <c r="H23" i="61"/>
  <c r="L23" i="61" s="1"/>
  <c r="H22" i="61"/>
  <c r="L22" i="61" s="1"/>
  <c r="F23" i="61"/>
  <c r="E23" i="61"/>
  <c r="I4" i="59"/>
  <c r="L5" i="59"/>
  <c r="L4" i="59"/>
  <c r="H4" i="60"/>
  <c r="O4" i="59"/>
  <c r="H5" i="59"/>
  <c r="I5" i="59" s="1"/>
  <c r="J5" i="59"/>
  <c r="K5" i="59"/>
  <c r="O5" i="59" s="1"/>
  <c r="N5" i="59"/>
  <c r="N4" i="59"/>
  <c r="E10" i="59"/>
  <c r="C6" i="59"/>
  <c r="F6" i="59"/>
  <c r="G6" i="59" s="1"/>
  <c r="L5" i="60"/>
  <c r="I13" i="60"/>
  <c r="I5" i="60"/>
  <c r="I9" i="60"/>
  <c r="H6" i="60"/>
  <c r="H3" i="60"/>
  <c r="G7" i="60"/>
  <c r="D11" i="66" l="1"/>
  <c r="E11" i="66" s="1"/>
  <c r="C12" i="66"/>
  <c r="G8" i="66"/>
  <c r="I8" i="66" s="1"/>
  <c r="J7" i="66"/>
  <c r="F10" i="66"/>
  <c r="L5" i="66"/>
  <c r="M5" i="66" s="1"/>
  <c r="H4" i="67"/>
  <c r="G6" i="65"/>
  <c r="K6" i="66"/>
  <c r="D6" i="65"/>
  <c r="E7" i="65" s="1"/>
  <c r="E4" i="67"/>
  <c r="F5" i="67" s="1"/>
  <c r="C11" i="64"/>
  <c r="F11" i="64"/>
  <c r="C11" i="63"/>
  <c r="F11" i="63"/>
  <c r="C12" i="62"/>
  <c r="D12" i="62" s="1"/>
  <c r="F12" i="62"/>
  <c r="I11" i="62"/>
  <c r="J11" i="62"/>
  <c r="M11" i="62" s="1"/>
  <c r="K11" i="62"/>
  <c r="E24" i="61"/>
  <c r="F24" i="61"/>
  <c r="K24" i="61"/>
  <c r="L24" i="61" s="1"/>
  <c r="D25" i="61"/>
  <c r="C26" i="61"/>
  <c r="J22" i="61"/>
  <c r="I23" i="61"/>
  <c r="I24" i="61"/>
  <c r="G23" i="61"/>
  <c r="H24" i="61"/>
  <c r="J23" i="61"/>
  <c r="H6" i="59"/>
  <c r="J6" i="59"/>
  <c r="K6" i="59"/>
  <c r="M4" i="59"/>
  <c r="M5" i="59"/>
  <c r="C7" i="59"/>
  <c r="F7" i="59"/>
  <c r="G7" i="59" s="1"/>
  <c r="D6" i="59"/>
  <c r="H7" i="60"/>
  <c r="L3" i="60"/>
  <c r="I7" i="60"/>
  <c r="I11" i="60"/>
  <c r="I3" i="60"/>
  <c r="N6" i="59"/>
  <c r="L6" i="60"/>
  <c r="I10" i="60"/>
  <c r="I6" i="60"/>
  <c r="I14" i="60"/>
  <c r="L4" i="60"/>
  <c r="I8" i="60"/>
  <c r="I4" i="60"/>
  <c r="I12" i="60"/>
  <c r="D5" i="67" l="1"/>
  <c r="G5" i="67"/>
  <c r="J8" i="66"/>
  <c r="G9" i="66"/>
  <c r="I9" i="66" s="1"/>
  <c r="C13" i="66"/>
  <c r="D12" i="66"/>
  <c r="E12" i="66" s="1"/>
  <c r="I4" i="67"/>
  <c r="J4" i="67" s="1"/>
  <c r="F11" i="66"/>
  <c r="L6" i="66"/>
  <c r="M6" i="66" s="1"/>
  <c r="C7" i="65"/>
  <c r="D7" i="65" s="1"/>
  <c r="F7" i="65"/>
  <c r="K7" i="66"/>
  <c r="H11" i="64"/>
  <c r="G11" i="64"/>
  <c r="I11" i="64"/>
  <c r="D11" i="64"/>
  <c r="G11" i="63"/>
  <c r="H11" i="63"/>
  <c r="I11" i="63"/>
  <c r="D11" i="63"/>
  <c r="E12" i="63" s="1"/>
  <c r="L11" i="62"/>
  <c r="G12" i="62"/>
  <c r="H12" i="62"/>
  <c r="E13" i="62"/>
  <c r="G24" i="61"/>
  <c r="D26" i="61"/>
  <c r="C27" i="61"/>
  <c r="E25" i="61"/>
  <c r="F25" i="61"/>
  <c r="K25" i="61"/>
  <c r="J24" i="61"/>
  <c r="K26" i="61"/>
  <c r="J3" i="60"/>
  <c r="L7" i="60"/>
  <c r="M3" i="60"/>
  <c r="N3" i="60" s="1"/>
  <c r="O6" i="59"/>
  <c r="D7" i="59"/>
  <c r="J7" i="59"/>
  <c r="K7" i="59"/>
  <c r="H7" i="59"/>
  <c r="I6" i="59"/>
  <c r="L6" i="59"/>
  <c r="E11" i="59"/>
  <c r="F8" i="59"/>
  <c r="G8" i="59" s="1"/>
  <c r="K8" i="66" l="1"/>
  <c r="E8" i="65"/>
  <c r="L7" i="66"/>
  <c r="M7" i="66" s="1"/>
  <c r="F12" i="66"/>
  <c r="G7" i="65"/>
  <c r="H5" i="67"/>
  <c r="D13" i="66"/>
  <c r="E13" i="66" s="1"/>
  <c r="C14" i="66"/>
  <c r="E5" i="67"/>
  <c r="F6" i="67" s="1"/>
  <c r="G10" i="66"/>
  <c r="I10" i="66" s="1"/>
  <c r="J9" i="66"/>
  <c r="E12" i="64"/>
  <c r="J11" i="64"/>
  <c r="K11" i="64"/>
  <c r="C12" i="63"/>
  <c r="F12" i="63"/>
  <c r="D12" i="63"/>
  <c r="K11" i="63"/>
  <c r="J11" i="63"/>
  <c r="K12" i="62"/>
  <c r="I12" i="62"/>
  <c r="J12" i="62"/>
  <c r="M12" i="62" s="1"/>
  <c r="F13" i="62"/>
  <c r="C13" i="62"/>
  <c r="E26" i="61"/>
  <c r="F26" i="61"/>
  <c r="I26" i="61" s="1"/>
  <c r="I25" i="61"/>
  <c r="G25" i="61"/>
  <c r="H25" i="61"/>
  <c r="L25" i="61" s="1"/>
  <c r="C28" i="61"/>
  <c r="D27" i="61"/>
  <c r="M6" i="59"/>
  <c r="I7" i="59"/>
  <c r="M7" i="59" s="1"/>
  <c r="N8" i="59"/>
  <c r="N7" i="59"/>
  <c r="E12" i="59"/>
  <c r="Q3" i="60"/>
  <c r="R3" i="60"/>
  <c r="O3" i="60"/>
  <c r="H8" i="59"/>
  <c r="J8" i="59"/>
  <c r="K8" i="59"/>
  <c r="C8" i="59"/>
  <c r="L7" i="59"/>
  <c r="O7" i="59" s="1"/>
  <c r="J4" i="60"/>
  <c r="K3" i="60"/>
  <c r="G6" i="67" l="1"/>
  <c r="D6" i="67"/>
  <c r="I5" i="67"/>
  <c r="J5" i="67" s="1"/>
  <c r="K9" i="66"/>
  <c r="J10" i="66"/>
  <c r="G11" i="66"/>
  <c r="I11" i="66" s="1"/>
  <c r="C15" i="66"/>
  <c r="D14" i="66"/>
  <c r="E14" i="66" s="1"/>
  <c r="F14" i="66" s="1"/>
  <c r="F8" i="65"/>
  <c r="C8" i="65"/>
  <c r="F13" i="66"/>
  <c r="L8" i="66"/>
  <c r="M8" i="66" s="1"/>
  <c r="F12" i="64"/>
  <c r="C12" i="64"/>
  <c r="H12" i="63"/>
  <c r="G12" i="63"/>
  <c r="I12" i="63"/>
  <c r="E13" i="63"/>
  <c r="H13" i="62"/>
  <c r="G13" i="62"/>
  <c r="L12" i="62"/>
  <c r="D13" i="62"/>
  <c r="E14" i="62" s="1"/>
  <c r="J25" i="61"/>
  <c r="E27" i="61"/>
  <c r="F27" i="61"/>
  <c r="I27" i="61" s="1"/>
  <c r="K27" i="61"/>
  <c r="G26" i="61"/>
  <c r="J26" i="61" s="1"/>
  <c r="H26" i="61"/>
  <c r="L26" i="61" s="1"/>
  <c r="D28" i="61"/>
  <c r="C29" i="61"/>
  <c r="U3" i="60"/>
  <c r="C9" i="59"/>
  <c r="E13" i="59"/>
  <c r="F9" i="59"/>
  <c r="G9" i="59" s="1"/>
  <c r="K4" i="60"/>
  <c r="L8" i="60"/>
  <c r="I8" i="59"/>
  <c r="M8" i="59" s="1"/>
  <c r="L8" i="59"/>
  <c r="O8" i="59" s="1"/>
  <c r="D8" i="59"/>
  <c r="J5" i="60"/>
  <c r="L9" i="60"/>
  <c r="P3" i="60"/>
  <c r="S3" i="60"/>
  <c r="V3" i="60" s="1"/>
  <c r="D8" i="65" l="1"/>
  <c r="G8" i="65"/>
  <c r="L9" i="66"/>
  <c r="M9" i="66" s="1"/>
  <c r="D15" i="66"/>
  <c r="E15" i="66" s="1"/>
  <c r="F15" i="66" s="1"/>
  <c r="C16" i="66"/>
  <c r="E6" i="67"/>
  <c r="F7" i="67" s="1"/>
  <c r="G12" i="66"/>
  <c r="I12" i="66" s="1"/>
  <c r="J11" i="66"/>
  <c r="K10" i="66"/>
  <c r="H6" i="67"/>
  <c r="D12" i="64"/>
  <c r="E13" i="64" s="1"/>
  <c r="G12" i="64"/>
  <c r="H12" i="64"/>
  <c r="I12" i="64"/>
  <c r="C13" i="63"/>
  <c r="F13" i="63"/>
  <c r="J12" i="63"/>
  <c r="K12" i="63"/>
  <c r="C14" i="62"/>
  <c r="F14" i="62"/>
  <c r="K13" i="62"/>
  <c r="D14" i="62"/>
  <c r="I13" i="62"/>
  <c r="J13" i="62"/>
  <c r="M13" i="62" s="1"/>
  <c r="E28" i="61"/>
  <c r="F28" i="61"/>
  <c r="I28" i="61" s="1"/>
  <c r="K28" i="61"/>
  <c r="C30" i="61"/>
  <c r="D29" i="61"/>
  <c r="G27" i="61"/>
  <c r="J27" i="61" s="1"/>
  <c r="H27" i="61"/>
  <c r="L27" i="61" s="1"/>
  <c r="T3" i="60"/>
  <c r="K5" i="60"/>
  <c r="M4" i="60"/>
  <c r="N4" i="60" s="1"/>
  <c r="D9" i="59"/>
  <c r="H9" i="59"/>
  <c r="J9" i="59"/>
  <c r="K9" i="59"/>
  <c r="G7" i="67" l="1"/>
  <c r="D7" i="67"/>
  <c r="K11" i="66"/>
  <c r="L11" i="66" s="1"/>
  <c r="M11" i="66" s="1"/>
  <c r="I6" i="67"/>
  <c r="J6" i="67" s="1"/>
  <c r="C17" i="66"/>
  <c r="D16" i="66"/>
  <c r="E16" i="66" s="1"/>
  <c r="F16" i="66" s="1"/>
  <c r="J12" i="66"/>
  <c r="G13" i="66"/>
  <c r="I13" i="66" s="1"/>
  <c r="L10" i="66"/>
  <c r="M10" i="66" s="1"/>
  <c r="E9" i="65"/>
  <c r="C13" i="64"/>
  <c r="F13" i="64"/>
  <c r="K12" i="64"/>
  <c r="J12" i="64"/>
  <c r="D13" i="64"/>
  <c r="D13" i="63"/>
  <c r="G13" i="63"/>
  <c r="H13" i="63"/>
  <c r="I13" i="63"/>
  <c r="L13" i="62"/>
  <c r="G14" i="62"/>
  <c r="H14" i="62"/>
  <c r="E15" i="62"/>
  <c r="C31" i="61"/>
  <c r="D30" i="61"/>
  <c r="F29" i="61"/>
  <c r="I29" i="61" s="1"/>
  <c r="E29" i="61"/>
  <c r="K29" i="61"/>
  <c r="G28" i="61"/>
  <c r="J28" i="61" s="1"/>
  <c r="H28" i="61"/>
  <c r="L28" i="61" s="1"/>
  <c r="L10" i="60"/>
  <c r="N9" i="59"/>
  <c r="J6" i="60"/>
  <c r="M5" i="60"/>
  <c r="N5" i="60" s="1"/>
  <c r="E14" i="59"/>
  <c r="I9" i="59"/>
  <c r="L9" i="59"/>
  <c r="O9" i="59" s="1"/>
  <c r="F10" i="59"/>
  <c r="G10" i="59" s="1"/>
  <c r="O4" i="60"/>
  <c r="Q4" i="60"/>
  <c r="R4" i="60"/>
  <c r="C10" i="59"/>
  <c r="K12" i="66" l="1"/>
  <c r="L12" i="66" s="1"/>
  <c r="M12" i="66" s="1"/>
  <c r="G14" i="66"/>
  <c r="I14" i="66" s="1"/>
  <c r="J13" i="66"/>
  <c r="D17" i="66"/>
  <c r="E17" i="66" s="1"/>
  <c r="F17" i="66" s="1"/>
  <c r="C18" i="66"/>
  <c r="E7" i="67"/>
  <c r="F8" i="67" s="1"/>
  <c r="F9" i="65"/>
  <c r="C9" i="65"/>
  <c r="H7" i="67"/>
  <c r="G13" i="64"/>
  <c r="H13" i="64"/>
  <c r="I13" i="64"/>
  <c r="E14" i="64"/>
  <c r="E14" i="63"/>
  <c r="K13" i="63"/>
  <c r="J13" i="63"/>
  <c r="F15" i="62"/>
  <c r="C15" i="62"/>
  <c r="I14" i="62"/>
  <c r="J14" i="62"/>
  <c r="M14" i="62" s="1"/>
  <c r="K14" i="62"/>
  <c r="G29" i="61"/>
  <c r="J29" i="61" s="1"/>
  <c r="H29" i="61"/>
  <c r="L29" i="61" s="1"/>
  <c r="E30" i="61"/>
  <c r="F30" i="61"/>
  <c r="I30" i="61" s="1"/>
  <c r="K30" i="61"/>
  <c r="C32" i="61"/>
  <c r="D31" i="61"/>
  <c r="M6" i="60"/>
  <c r="N6" i="60" s="1"/>
  <c r="K6" i="60"/>
  <c r="C11" i="59"/>
  <c r="F11" i="59"/>
  <c r="G11" i="59" s="1"/>
  <c r="U4" i="60"/>
  <c r="M9" i="59"/>
  <c r="Q5" i="60"/>
  <c r="R5" i="60"/>
  <c r="V5" i="60" s="1"/>
  <c r="O5" i="60"/>
  <c r="P5" i="60" s="1"/>
  <c r="P4" i="60"/>
  <c r="S5" i="60"/>
  <c r="S4" i="60"/>
  <c r="V4" i="60" s="1"/>
  <c r="J10" i="59"/>
  <c r="N10" i="59" s="1"/>
  <c r="K10" i="59"/>
  <c r="H10" i="59"/>
  <c r="D10" i="59"/>
  <c r="E15" i="59" s="1"/>
  <c r="D8" i="67" l="1"/>
  <c r="G8" i="67"/>
  <c r="G9" i="65"/>
  <c r="C19" i="66"/>
  <c r="D18" i="66"/>
  <c r="E18" i="66" s="1"/>
  <c r="F18" i="66" s="1"/>
  <c r="K13" i="66"/>
  <c r="L13" i="66" s="1"/>
  <c r="M13" i="66" s="1"/>
  <c r="I7" i="67"/>
  <c r="J7" i="67" s="1"/>
  <c r="J14" i="66"/>
  <c r="G15" i="66"/>
  <c r="I15" i="66" s="1"/>
  <c r="D9" i="65"/>
  <c r="E10" i="65" s="1"/>
  <c r="K13" i="64"/>
  <c r="C14" i="64"/>
  <c r="F14" i="64"/>
  <c r="J13" i="64"/>
  <c r="F14" i="63"/>
  <c r="C14" i="63"/>
  <c r="L14" i="62"/>
  <c r="D15" i="62"/>
  <c r="E16" i="62" s="1"/>
  <c r="G15" i="62"/>
  <c r="H15" i="62"/>
  <c r="K15" i="62" s="1"/>
  <c r="C33" i="61"/>
  <c r="D32" i="61"/>
  <c r="F31" i="61"/>
  <c r="I31" i="61" s="1"/>
  <c r="E31" i="61"/>
  <c r="K31" i="61"/>
  <c r="G30" i="61"/>
  <c r="J30" i="61" s="1"/>
  <c r="H30" i="61"/>
  <c r="L30" i="61" s="1"/>
  <c r="H11" i="59"/>
  <c r="J11" i="59"/>
  <c r="N11" i="59" s="1"/>
  <c r="K11" i="59"/>
  <c r="C12" i="59"/>
  <c r="E16" i="59"/>
  <c r="D11" i="59"/>
  <c r="U5" i="60"/>
  <c r="I10" i="59"/>
  <c r="M10" i="59" s="1"/>
  <c r="L10" i="59"/>
  <c r="T4" i="60"/>
  <c r="T5" i="60"/>
  <c r="L11" i="60"/>
  <c r="O10" i="59"/>
  <c r="J7" i="60"/>
  <c r="O6" i="60"/>
  <c r="Q6" i="60"/>
  <c r="R6" i="60"/>
  <c r="F10" i="65" l="1"/>
  <c r="G10" i="65" s="1"/>
  <c r="C10" i="65"/>
  <c r="D10" i="65"/>
  <c r="G16" i="66"/>
  <c r="I16" i="66" s="1"/>
  <c r="J15" i="66"/>
  <c r="D19" i="66"/>
  <c r="E19" i="66" s="1"/>
  <c r="F19" i="66" s="1"/>
  <c r="C20" i="66"/>
  <c r="H8" i="67"/>
  <c r="I8" i="67" s="1"/>
  <c r="J8" i="67" s="1"/>
  <c r="K14" i="66"/>
  <c r="L14" i="66" s="1"/>
  <c r="M14" i="66" s="1"/>
  <c r="E8" i="67"/>
  <c r="F9" i="67" s="1"/>
  <c r="D14" i="64"/>
  <c r="G14" i="64"/>
  <c r="J14" i="64" s="1"/>
  <c r="H14" i="64"/>
  <c r="K14" i="64" s="1"/>
  <c r="I14" i="64"/>
  <c r="D14" i="63"/>
  <c r="G14" i="63"/>
  <c r="H14" i="63"/>
  <c r="K14" i="63" s="1"/>
  <c r="I14" i="63"/>
  <c r="C16" i="62"/>
  <c r="D16" i="62" s="1"/>
  <c r="F16" i="62"/>
  <c r="I15" i="62"/>
  <c r="L15" i="62" s="1"/>
  <c r="J15" i="62"/>
  <c r="M15" i="62" s="1"/>
  <c r="G31" i="61"/>
  <c r="J31" i="61" s="1"/>
  <c r="H31" i="61"/>
  <c r="D33" i="61"/>
  <c r="C34" i="61"/>
  <c r="L31" i="61"/>
  <c r="E32" i="61"/>
  <c r="F32" i="61"/>
  <c r="I32" i="61" s="1"/>
  <c r="K32" i="61"/>
  <c r="K7" i="60"/>
  <c r="I11" i="59"/>
  <c r="M11" i="59" s="1"/>
  <c r="L11" i="59"/>
  <c r="O11" i="59" s="1"/>
  <c r="U6" i="60"/>
  <c r="D12" i="59"/>
  <c r="P6" i="60"/>
  <c r="S6" i="60"/>
  <c r="V6" i="60" s="1"/>
  <c r="F12" i="59"/>
  <c r="G12" i="59" s="1"/>
  <c r="D9" i="67" l="1"/>
  <c r="G9" i="67"/>
  <c r="K15" i="66"/>
  <c r="L15" i="66" s="1"/>
  <c r="M15" i="66" s="1"/>
  <c r="J16" i="66"/>
  <c r="G17" i="66"/>
  <c r="I17" i="66" s="1"/>
  <c r="C21" i="66"/>
  <c r="D20" i="66"/>
  <c r="E20" i="66" s="1"/>
  <c r="F20" i="66" s="1"/>
  <c r="E11" i="65"/>
  <c r="E15" i="64"/>
  <c r="J14" i="63"/>
  <c r="E15" i="63"/>
  <c r="E17" i="62"/>
  <c r="G16" i="62"/>
  <c r="H16" i="62"/>
  <c r="K16" i="62" s="1"/>
  <c r="D34" i="61"/>
  <c r="C35" i="61"/>
  <c r="E33" i="61"/>
  <c r="F33" i="61"/>
  <c r="I33" i="61" s="1"/>
  <c r="K33" i="61"/>
  <c r="G32" i="61"/>
  <c r="J32" i="61" s="1"/>
  <c r="H32" i="61"/>
  <c r="L32" i="61" s="1"/>
  <c r="L12" i="60"/>
  <c r="M7" i="60"/>
  <c r="N7" i="60" s="1"/>
  <c r="J8" i="60"/>
  <c r="H12" i="59"/>
  <c r="J12" i="59"/>
  <c r="N12" i="59" s="1"/>
  <c r="K12" i="59"/>
  <c r="F13" i="59"/>
  <c r="G13" i="59" s="1"/>
  <c r="T6" i="60"/>
  <c r="E17" i="59"/>
  <c r="C13" i="59"/>
  <c r="E9" i="67" l="1"/>
  <c r="F10" i="67" s="1"/>
  <c r="K16" i="66"/>
  <c r="L16" i="66" s="1"/>
  <c r="M16" i="66" s="1"/>
  <c r="D21" i="66"/>
  <c r="E21" i="66" s="1"/>
  <c r="F21" i="66" s="1"/>
  <c r="C22" i="66"/>
  <c r="J17" i="66"/>
  <c r="G18" i="66"/>
  <c r="I18" i="66" s="1"/>
  <c r="C11" i="65"/>
  <c r="F11" i="65"/>
  <c r="G11" i="65" s="1"/>
  <c r="H9" i="67"/>
  <c r="I9" i="67" s="1"/>
  <c r="J9" i="67" s="1"/>
  <c r="C15" i="64"/>
  <c r="F15" i="64"/>
  <c r="C15" i="63"/>
  <c r="F15" i="63"/>
  <c r="I16" i="62"/>
  <c r="L16" i="62" s="1"/>
  <c r="J16" i="62"/>
  <c r="M16" i="62" s="1"/>
  <c r="C17" i="62"/>
  <c r="F17" i="62"/>
  <c r="G33" i="61"/>
  <c r="J33" i="61" s="1"/>
  <c r="H33" i="61"/>
  <c r="L33" i="61" s="1"/>
  <c r="E34" i="61"/>
  <c r="F34" i="61"/>
  <c r="I34" i="61" s="1"/>
  <c r="K34" i="61"/>
  <c r="C36" i="61"/>
  <c r="D35" i="61"/>
  <c r="I12" i="59"/>
  <c r="M12" i="59" s="1"/>
  <c r="L12" i="59"/>
  <c r="O12" i="59" s="1"/>
  <c r="J9" i="60"/>
  <c r="M8" i="60"/>
  <c r="N8" i="60" s="1"/>
  <c r="L13" i="60"/>
  <c r="F14" i="59"/>
  <c r="G14" i="59" s="1"/>
  <c r="O7" i="60"/>
  <c r="Q7" i="60"/>
  <c r="R7" i="60"/>
  <c r="D13" i="59"/>
  <c r="K13" i="59"/>
  <c r="H13" i="59"/>
  <c r="J13" i="59"/>
  <c r="N13" i="59" s="1"/>
  <c r="K8" i="60"/>
  <c r="G10" i="67" l="1"/>
  <c r="D10" i="67"/>
  <c r="J18" i="66"/>
  <c r="G19" i="66"/>
  <c r="I19" i="66" s="1"/>
  <c r="C23" i="66"/>
  <c r="D23" i="66" s="1"/>
  <c r="E23" i="66" s="1"/>
  <c r="F23" i="66" s="1"/>
  <c r="O4" i="66" s="1"/>
  <c r="D22" i="66"/>
  <c r="E22" i="66" s="1"/>
  <c r="F22" i="66" s="1"/>
  <c r="K17" i="66"/>
  <c r="L17" i="66" s="1"/>
  <c r="M17" i="66" s="1"/>
  <c r="D11" i="65"/>
  <c r="D15" i="64"/>
  <c r="H15" i="64"/>
  <c r="K15" i="64" s="1"/>
  <c r="G15" i="64"/>
  <c r="J15" i="64" s="1"/>
  <c r="I15" i="64"/>
  <c r="G15" i="63"/>
  <c r="J15" i="63" s="1"/>
  <c r="H15" i="63"/>
  <c r="K15" i="63" s="1"/>
  <c r="I15" i="63"/>
  <c r="D15" i="63"/>
  <c r="G17" i="62"/>
  <c r="H17" i="62"/>
  <c r="K17" i="62" s="1"/>
  <c r="D17" i="62"/>
  <c r="E35" i="61"/>
  <c r="F35" i="61"/>
  <c r="I35" i="61" s="1"/>
  <c r="O6" i="61" s="1"/>
  <c r="K35" i="61"/>
  <c r="G34" i="61"/>
  <c r="J34" i="61" s="1"/>
  <c r="H34" i="61"/>
  <c r="L34" i="61" s="1"/>
  <c r="O8" i="60"/>
  <c r="P8" i="60" s="1"/>
  <c r="Q8" i="60"/>
  <c r="R8" i="60"/>
  <c r="I13" i="59"/>
  <c r="M13" i="59" s="1"/>
  <c r="L13" i="59"/>
  <c r="J10" i="60"/>
  <c r="M9" i="60"/>
  <c r="N9" i="60" s="1"/>
  <c r="K9" i="60"/>
  <c r="P7" i="60"/>
  <c r="S7" i="60"/>
  <c r="V7" i="60" s="1"/>
  <c r="S8" i="60"/>
  <c r="H14" i="59"/>
  <c r="J14" i="59"/>
  <c r="N14" i="59" s="1"/>
  <c r="K14" i="59"/>
  <c r="O13" i="59"/>
  <c r="C14" i="59"/>
  <c r="U8" i="60"/>
  <c r="U7" i="60"/>
  <c r="E18" i="59"/>
  <c r="J19" i="66" l="1"/>
  <c r="G20" i="66"/>
  <c r="I20" i="66" s="1"/>
  <c r="K18" i="66"/>
  <c r="L18" i="66" s="1"/>
  <c r="M18" i="66" s="1"/>
  <c r="E10" i="67"/>
  <c r="F11" i="67" s="1"/>
  <c r="E12" i="65"/>
  <c r="H10" i="67"/>
  <c r="I10" i="67" s="1"/>
  <c r="J10" i="67" s="1"/>
  <c r="E16" i="64"/>
  <c r="E16" i="63"/>
  <c r="E18" i="62"/>
  <c r="I17" i="62"/>
  <c r="L17" i="62" s="1"/>
  <c r="J17" i="62"/>
  <c r="M17" i="62" s="1"/>
  <c r="G35" i="61"/>
  <c r="J35" i="61" s="1"/>
  <c r="H35" i="61"/>
  <c r="L35" i="61" s="1"/>
  <c r="R9" i="60"/>
  <c r="O9" i="60"/>
  <c r="Q9" i="60"/>
  <c r="T8" i="60"/>
  <c r="T7" i="60"/>
  <c r="I14" i="59"/>
  <c r="M14" i="59" s="1"/>
  <c r="L14" i="59"/>
  <c r="O14" i="59" s="1"/>
  <c r="K10" i="60"/>
  <c r="V8" i="60"/>
  <c r="F15" i="59"/>
  <c r="F17" i="59"/>
  <c r="F16" i="59"/>
  <c r="C15" i="59"/>
  <c r="L14" i="60"/>
  <c r="D14" i="59"/>
  <c r="F18" i="59" s="1"/>
  <c r="G11" i="67" l="1"/>
  <c r="D11" i="67"/>
  <c r="C12" i="65"/>
  <c r="F12" i="65"/>
  <c r="G12" i="65" s="1"/>
  <c r="J20" i="66"/>
  <c r="G21" i="66"/>
  <c r="I21" i="66" s="1"/>
  <c r="K19" i="66"/>
  <c r="L19" i="66" s="1"/>
  <c r="M19" i="66" s="1"/>
  <c r="F16" i="64"/>
  <c r="C16" i="64"/>
  <c r="C16" i="63"/>
  <c r="F16" i="63"/>
  <c r="C18" i="62"/>
  <c r="F18" i="62"/>
  <c r="U9" i="60"/>
  <c r="K11" i="60"/>
  <c r="D15" i="59"/>
  <c r="L15" i="60"/>
  <c r="P9" i="60"/>
  <c r="M10" i="60"/>
  <c r="N10" i="60" s="1"/>
  <c r="S9" i="60"/>
  <c r="V9" i="60" s="1"/>
  <c r="J11" i="60"/>
  <c r="D12" i="65" l="1"/>
  <c r="J21" i="66"/>
  <c r="G22" i="66"/>
  <c r="I22" i="66" s="1"/>
  <c r="K20" i="66"/>
  <c r="L20" i="66" s="1"/>
  <c r="M20" i="66" s="1"/>
  <c r="E11" i="67"/>
  <c r="F12" i="67" s="1"/>
  <c r="H11" i="67"/>
  <c r="I11" i="67" s="1"/>
  <c r="J11" i="67" s="1"/>
  <c r="D16" i="64"/>
  <c r="E17" i="64" s="1"/>
  <c r="G16" i="64"/>
  <c r="J16" i="64" s="1"/>
  <c r="H16" i="64"/>
  <c r="K16" i="64" s="1"/>
  <c r="I16" i="64"/>
  <c r="G16" i="63"/>
  <c r="J16" i="63" s="1"/>
  <c r="H16" i="63"/>
  <c r="K16" i="63" s="1"/>
  <c r="I16" i="63"/>
  <c r="D16" i="63"/>
  <c r="G18" i="62"/>
  <c r="H18" i="62"/>
  <c r="K18" i="62" s="1"/>
  <c r="D18" i="62"/>
  <c r="E19" i="62" s="1"/>
  <c r="Q10" i="60"/>
  <c r="U10" i="60" s="1"/>
  <c r="R10" i="60"/>
  <c r="O10" i="60"/>
  <c r="T9" i="60"/>
  <c r="J12" i="60"/>
  <c r="K12" i="60" s="1"/>
  <c r="M11" i="60"/>
  <c r="N11" i="60" s="1"/>
  <c r="L16" i="60"/>
  <c r="C16" i="59"/>
  <c r="D12" i="67" l="1"/>
  <c r="G12" i="67"/>
  <c r="J22" i="66"/>
  <c r="G23" i="66"/>
  <c r="I23" i="66" s="1"/>
  <c r="J23" i="66" s="1"/>
  <c r="K21" i="66"/>
  <c r="L21" i="66" s="1"/>
  <c r="M21" i="66" s="1"/>
  <c r="E13" i="65"/>
  <c r="C17" i="64"/>
  <c r="D17" i="64" s="1"/>
  <c r="F17" i="64"/>
  <c r="E17" i="63"/>
  <c r="C19" i="62"/>
  <c r="F19" i="62"/>
  <c r="D19" i="62"/>
  <c r="I18" i="62"/>
  <c r="L18" i="62" s="1"/>
  <c r="J18" i="62"/>
  <c r="M18" i="62" s="1"/>
  <c r="C17" i="59"/>
  <c r="P10" i="60"/>
  <c r="T10" i="60" s="1"/>
  <c r="S10" i="60"/>
  <c r="V10" i="60" s="1"/>
  <c r="O11" i="60"/>
  <c r="Q11" i="60"/>
  <c r="U11" i="60" s="1"/>
  <c r="R11" i="60"/>
  <c r="M12" i="60"/>
  <c r="N12" i="60" s="1"/>
  <c r="J13" i="60"/>
  <c r="L17" i="60"/>
  <c r="D16" i="59"/>
  <c r="C13" i="65" l="1"/>
  <c r="F13" i="65"/>
  <c r="G13" i="65" s="1"/>
  <c r="K23" i="66"/>
  <c r="L23" i="66" s="1"/>
  <c r="N17" i="66" s="1"/>
  <c r="K22" i="66"/>
  <c r="L22" i="66" s="1"/>
  <c r="M22" i="66" s="1"/>
  <c r="H12" i="67"/>
  <c r="I12" i="67" s="1"/>
  <c r="J12" i="67" s="1"/>
  <c r="E12" i="67"/>
  <c r="F13" i="67"/>
  <c r="E18" i="64"/>
  <c r="G17" i="64"/>
  <c r="J17" i="64" s="1"/>
  <c r="H17" i="64"/>
  <c r="K17" i="64" s="1"/>
  <c r="I17" i="64"/>
  <c r="C17" i="63"/>
  <c r="F17" i="63"/>
  <c r="H19" i="62"/>
  <c r="K19" i="62" s="1"/>
  <c r="G19" i="62"/>
  <c r="E20" i="62"/>
  <c r="P11" i="60"/>
  <c r="T11" i="60" s="1"/>
  <c r="S11" i="60"/>
  <c r="V11" i="60" s="1"/>
  <c r="D17" i="59"/>
  <c r="C18" i="59" s="1"/>
  <c r="J14" i="60"/>
  <c r="M13" i="60"/>
  <c r="N13" i="60" s="1"/>
  <c r="L18" i="60"/>
  <c r="O12" i="60"/>
  <c r="Q12" i="60"/>
  <c r="U12" i="60" s="1"/>
  <c r="R12" i="60"/>
  <c r="K13" i="60"/>
  <c r="D13" i="65" l="1"/>
  <c r="M23" i="66"/>
  <c r="D13" i="67"/>
  <c r="G13" i="67"/>
  <c r="F18" i="64"/>
  <c r="C18" i="64"/>
  <c r="G17" i="63"/>
  <c r="J17" i="63" s="1"/>
  <c r="H17" i="63"/>
  <c r="K17" i="63" s="1"/>
  <c r="I17" i="63"/>
  <c r="D17" i="63"/>
  <c r="I19" i="62"/>
  <c r="L19" i="62" s="1"/>
  <c r="J19" i="62"/>
  <c r="M19" i="62" s="1"/>
  <c r="C20" i="62"/>
  <c r="F20" i="62"/>
  <c r="O13" i="60"/>
  <c r="Q13" i="60"/>
  <c r="U13" i="60" s="1"/>
  <c r="R13" i="60"/>
  <c r="K14" i="60"/>
  <c r="M15" i="60" s="1"/>
  <c r="M17" i="60"/>
  <c r="M14" i="60"/>
  <c r="N14" i="60" s="1"/>
  <c r="M18" i="60"/>
  <c r="D18" i="59"/>
  <c r="P12" i="60"/>
  <c r="T12" i="60" s="1"/>
  <c r="S12" i="60"/>
  <c r="V12" i="60" s="1"/>
  <c r="H13" i="67" l="1"/>
  <c r="I13" i="67" s="1"/>
  <c r="J13" i="67" s="1"/>
  <c r="E13" i="67"/>
  <c r="F14" i="67" s="1"/>
  <c r="E14" i="65"/>
  <c r="D18" i="64"/>
  <c r="G18" i="64"/>
  <c r="J18" i="64" s="1"/>
  <c r="H18" i="64"/>
  <c r="K18" i="64" s="1"/>
  <c r="I18" i="64"/>
  <c r="E18" i="63"/>
  <c r="G20" i="62"/>
  <c r="H20" i="62"/>
  <c r="K20" i="62" s="1"/>
  <c r="D20" i="62"/>
  <c r="R14" i="60"/>
  <c r="O14" i="60"/>
  <c r="Q14" i="60"/>
  <c r="U14" i="60" s="1"/>
  <c r="M16" i="60"/>
  <c r="P13" i="60"/>
  <c r="T13" i="60" s="1"/>
  <c r="S13" i="60"/>
  <c r="V13" i="60" s="1"/>
  <c r="G14" i="67" l="1"/>
  <c r="D14" i="67"/>
  <c r="C14" i="65"/>
  <c r="F14" i="65"/>
  <c r="G14" i="65" s="1"/>
  <c r="E19" i="64"/>
  <c r="F18" i="63"/>
  <c r="C18" i="63"/>
  <c r="E21" i="62"/>
  <c r="I20" i="62"/>
  <c r="L20" i="62" s="1"/>
  <c r="J20" i="62"/>
  <c r="M20" i="62" s="1"/>
  <c r="P14" i="60"/>
  <c r="T14" i="60" s="1"/>
  <c r="S14" i="60"/>
  <c r="V14" i="60" s="1"/>
  <c r="D14" i="65" l="1"/>
  <c r="E14" i="67"/>
  <c r="F15" i="67" s="1"/>
  <c r="H14" i="67"/>
  <c r="I14" i="67" s="1"/>
  <c r="J14" i="67" s="1"/>
  <c r="C19" i="64"/>
  <c r="D19" i="64" s="1"/>
  <c r="F19" i="64"/>
  <c r="E20" i="64"/>
  <c r="D18" i="63"/>
  <c r="G18" i="63"/>
  <c r="J18" i="63" s="1"/>
  <c r="H18" i="63"/>
  <c r="K18" i="63" s="1"/>
  <c r="I18" i="63"/>
  <c r="C21" i="62"/>
  <c r="F21" i="62"/>
  <c r="G15" i="67" l="1"/>
  <c r="D15" i="67"/>
  <c r="E15" i="65"/>
  <c r="C20" i="64"/>
  <c r="F20" i="64"/>
  <c r="E21" i="64"/>
  <c r="H19" i="64"/>
  <c r="K19" i="64" s="1"/>
  <c r="G19" i="64"/>
  <c r="J19" i="64" s="1"/>
  <c r="I19" i="64"/>
  <c r="D20" i="64"/>
  <c r="E19" i="63"/>
  <c r="G21" i="62"/>
  <c r="H21" i="62"/>
  <c r="K21" i="62" s="1"/>
  <c r="D21" i="62"/>
  <c r="H15" i="67" l="1"/>
  <c r="I15" i="67" s="1"/>
  <c r="J15" i="67" s="1"/>
  <c r="C15" i="65"/>
  <c r="F15" i="65"/>
  <c r="G15" i="65" s="1"/>
  <c r="E15" i="67"/>
  <c r="F16" i="67" s="1"/>
  <c r="D21" i="64"/>
  <c r="E22" i="64"/>
  <c r="C21" i="64"/>
  <c r="F21" i="64"/>
  <c r="G20" i="64"/>
  <c r="J20" i="64" s="1"/>
  <c r="H20" i="64"/>
  <c r="K20" i="64" s="1"/>
  <c r="I20" i="64"/>
  <c r="C19" i="63"/>
  <c r="F19" i="63"/>
  <c r="E22" i="62"/>
  <c r="I21" i="62"/>
  <c r="L21" i="62" s="1"/>
  <c r="J21" i="62"/>
  <c r="M21" i="62" s="1"/>
  <c r="D16" i="67" l="1"/>
  <c r="G16" i="67"/>
  <c r="D15" i="65"/>
  <c r="G21" i="64"/>
  <c r="J21" i="64" s="1"/>
  <c r="H21" i="64"/>
  <c r="K21" i="64" s="1"/>
  <c r="I21" i="64"/>
  <c r="F22" i="64"/>
  <c r="C22" i="64"/>
  <c r="D22" i="64" s="1"/>
  <c r="E23" i="64"/>
  <c r="G19" i="63"/>
  <c r="J19" i="63" s="1"/>
  <c r="H19" i="63"/>
  <c r="K19" i="63" s="1"/>
  <c r="I19" i="63"/>
  <c r="D19" i="63"/>
  <c r="C22" i="62"/>
  <c r="F22" i="62"/>
  <c r="E16" i="67" l="1"/>
  <c r="F17" i="67" s="1"/>
  <c r="H16" i="67"/>
  <c r="I16" i="67" s="1"/>
  <c r="J16" i="67" s="1"/>
  <c r="E16" i="65"/>
  <c r="C23" i="64"/>
  <c r="D23" i="64" s="1"/>
  <c r="F23" i="64"/>
  <c r="E24" i="64"/>
  <c r="H22" i="64"/>
  <c r="K22" i="64" s="1"/>
  <c r="G22" i="64"/>
  <c r="J22" i="64" s="1"/>
  <c r="I22" i="64"/>
  <c r="E20" i="63"/>
  <c r="G22" i="62"/>
  <c r="H22" i="62"/>
  <c r="K22" i="62" s="1"/>
  <c r="D22" i="62"/>
  <c r="F16" i="65" l="1"/>
  <c r="G16" i="65" s="1"/>
  <c r="C16" i="65"/>
  <c r="D17" i="67"/>
  <c r="G17" i="67"/>
  <c r="G23" i="64"/>
  <c r="J23" i="64" s="1"/>
  <c r="H23" i="64"/>
  <c r="K23" i="64" s="1"/>
  <c r="I23" i="64"/>
  <c r="F24" i="64"/>
  <c r="E25" i="64"/>
  <c r="C24" i="64"/>
  <c r="D24" i="64" s="1"/>
  <c r="C20" i="63"/>
  <c r="F20" i="63"/>
  <c r="E23" i="62"/>
  <c r="I22" i="62"/>
  <c r="L22" i="62" s="1"/>
  <c r="J22" i="62"/>
  <c r="M22" i="62" s="1"/>
  <c r="H17" i="67" l="1"/>
  <c r="I17" i="67" s="1"/>
  <c r="J17" i="67" s="1"/>
  <c r="E17" i="67"/>
  <c r="F18" i="67" s="1"/>
  <c r="D16" i="65"/>
  <c r="G24" i="64"/>
  <c r="J24" i="64" s="1"/>
  <c r="H24" i="64"/>
  <c r="K24" i="64" s="1"/>
  <c r="I24" i="64"/>
  <c r="F25" i="64"/>
  <c r="E26" i="64"/>
  <c r="C25" i="64"/>
  <c r="D25" i="64" s="1"/>
  <c r="D20" i="63"/>
  <c r="G20" i="63"/>
  <c r="J20" i="63" s="1"/>
  <c r="H20" i="63"/>
  <c r="K20" i="63" s="1"/>
  <c r="I20" i="63"/>
  <c r="C23" i="62"/>
  <c r="F23" i="62"/>
  <c r="G18" i="67" l="1"/>
  <c r="D18" i="67"/>
  <c r="E17" i="65"/>
  <c r="G25" i="64"/>
  <c r="J25" i="64" s="1"/>
  <c r="H25" i="64"/>
  <c r="K25" i="64" s="1"/>
  <c r="I25" i="64"/>
  <c r="F26" i="64"/>
  <c r="E27" i="64"/>
  <c r="C26" i="64"/>
  <c r="D26" i="64" s="1"/>
  <c r="E21" i="63"/>
  <c r="H23" i="62"/>
  <c r="K23" i="62" s="1"/>
  <c r="G23" i="62"/>
  <c r="D23" i="62"/>
  <c r="F17" i="65" l="1"/>
  <c r="G17" i="65" s="1"/>
  <c r="C17" i="65"/>
  <c r="E18" i="67"/>
  <c r="F19" i="67" s="1"/>
  <c r="H18" i="67"/>
  <c r="I18" i="67" s="1"/>
  <c r="J18" i="67" s="1"/>
  <c r="C27" i="64"/>
  <c r="D27" i="64" s="1"/>
  <c r="F27" i="64"/>
  <c r="E28" i="64"/>
  <c r="G26" i="64"/>
  <c r="J26" i="64" s="1"/>
  <c r="H26" i="64"/>
  <c r="K26" i="64" s="1"/>
  <c r="I26" i="64"/>
  <c r="C21" i="63"/>
  <c r="F21" i="63"/>
  <c r="E24" i="62"/>
  <c r="I23" i="62"/>
  <c r="L23" i="62" s="1"/>
  <c r="J23" i="62"/>
  <c r="M23" i="62" s="1"/>
  <c r="D19" i="67" l="1"/>
  <c r="G19" i="67"/>
  <c r="D17" i="65"/>
  <c r="H27" i="64"/>
  <c r="K27" i="64" s="1"/>
  <c r="G27" i="64"/>
  <c r="J27" i="64" s="1"/>
  <c r="I27" i="64"/>
  <c r="C28" i="64"/>
  <c r="D28" i="64" s="1"/>
  <c r="F28" i="64"/>
  <c r="E29" i="64"/>
  <c r="D21" i="63"/>
  <c r="G21" i="63"/>
  <c r="J21" i="63" s="1"/>
  <c r="H21" i="63"/>
  <c r="K21" i="63" s="1"/>
  <c r="I21" i="63"/>
  <c r="C24" i="62"/>
  <c r="F24" i="62"/>
  <c r="E18" i="65" l="1"/>
  <c r="H19" i="67"/>
  <c r="I19" i="67" s="1"/>
  <c r="J19" i="67" s="1"/>
  <c r="E19" i="67"/>
  <c r="F20" i="67" s="1"/>
  <c r="F29" i="64"/>
  <c r="C29" i="64"/>
  <c r="D29" i="64" s="1"/>
  <c r="E30" i="64"/>
  <c r="G28" i="64"/>
  <c r="J28" i="64" s="1"/>
  <c r="H28" i="64"/>
  <c r="K28" i="64" s="1"/>
  <c r="I28" i="64"/>
  <c r="E22" i="63"/>
  <c r="D24" i="62"/>
  <c r="G24" i="62"/>
  <c r="H24" i="62"/>
  <c r="K24" i="62" s="1"/>
  <c r="D20" i="67" l="1"/>
  <c r="G20" i="67"/>
  <c r="F18" i="65"/>
  <c r="G18" i="65" s="1"/>
  <c r="C18" i="65"/>
  <c r="C30" i="64"/>
  <c r="E31" i="64"/>
  <c r="F30" i="64"/>
  <c r="H29" i="64"/>
  <c r="K29" i="64" s="1"/>
  <c r="G29" i="64"/>
  <c r="J29" i="64" s="1"/>
  <c r="I29" i="64"/>
  <c r="D30" i="64"/>
  <c r="C22" i="63"/>
  <c r="F22" i="63"/>
  <c r="I24" i="62"/>
  <c r="L24" i="62" s="1"/>
  <c r="J24" i="62"/>
  <c r="M24" i="62" s="1"/>
  <c r="E25" i="62"/>
  <c r="D18" i="65" l="1"/>
  <c r="H20" i="67"/>
  <c r="I20" i="67" s="1"/>
  <c r="J20" i="67" s="1"/>
  <c r="E20" i="67"/>
  <c r="F21" i="67" s="1"/>
  <c r="H30" i="64"/>
  <c r="K30" i="64" s="1"/>
  <c r="G30" i="64"/>
  <c r="J30" i="64" s="1"/>
  <c r="I30" i="64"/>
  <c r="C31" i="64"/>
  <c r="D31" i="64" s="1"/>
  <c r="F31" i="64"/>
  <c r="E32" i="64"/>
  <c r="D22" i="63"/>
  <c r="E23" i="63" s="1"/>
  <c r="H22" i="63"/>
  <c r="K22" i="63" s="1"/>
  <c r="G22" i="63"/>
  <c r="J22" i="63" s="1"/>
  <c r="I22" i="63"/>
  <c r="C25" i="62"/>
  <c r="F25" i="62"/>
  <c r="D21" i="67" l="1"/>
  <c r="G21" i="67"/>
  <c r="E19" i="65"/>
  <c r="F32" i="64"/>
  <c r="E33" i="64"/>
  <c r="C32" i="64"/>
  <c r="D32" i="64" s="1"/>
  <c r="G31" i="64"/>
  <c r="J31" i="64" s="1"/>
  <c r="H31" i="64"/>
  <c r="K31" i="64" s="1"/>
  <c r="I31" i="64"/>
  <c r="C23" i="63"/>
  <c r="F23" i="63"/>
  <c r="D23" i="63"/>
  <c r="D25" i="62"/>
  <c r="H25" i="62"/>
  <c r="K25" i="62" s="1"/>
  <c r="G25" i="62"/>
  <c r="F19" i="65" l="1"/>
  <c r="G19" i="65" s="1"/>
  <c r="C19" i="65"/>
  <c r="H21" i="67"/>
  <c r="I21" i="67" s="1"/>
  <c r="J21" i="67" s="1"/>
  <c r="E21" i="67"/>
  <c r="F22" i="67" s="1"/>
  <c r="F33" i="64"/>
  <c r="E34" i="64"/>
  <c r="C33" i="64"/>
  <c r="D33" i="64" s="1"/>
  <c r="G32" i="64"/>
  <c r="J32" i="64" s="1"/>
  <c r="H32" i="64"/>
  <c r="K32" i="64" s="1"/>
  <c r="I32" i="64"/>
  <c r="E24" i="63"/>
  <c r="G23" i="63"/>
  <c r="J23" i="63" s="1"/>
  <c r="H23" i="63"/>
  <c r="K23" i="63" s="1"/>
  <c r="I23" i="63"/>
  <c r="I25" i="62"/>
  <c r="L25" i="62" s="1"/>
  <c r="J25" i="62"/>
  <c r="M25" i="62" s="1"/>
  <c r="E26" i="62"/>
  <c r="G22" i="67" l="1"/>
  <c r="D22" i="67"/>
  <c r="D19" i="65"/>
  <c r="E20" i="65" s="1"/>
  <c r="F34" i="64"/>
  <c r="E35" i="64"/>
  <c r="C34" i="64"/>
  <c r="G33" i="64"/>
  <c r="J33" i="64" s="1"/>
  <c r="H33" i="64"/>
  <c r="K33" i="64" s="1"/>
  <c r="I33" i="64"/>
  <c r="D34" i="64"/>
  <c r="F24" i="63"/>
  <c r="C24" i="63"/>
  <c r="C26" i="62"/>
  <c r="F26" i="62"/>
  <c r="F20" i="65" l="1"/>
  <c r="G20" i="65" s="1"/>
  <c r="C20" i="65"/>
  <c r="D20" i="65" s="1"/>
  <c r="E22" i="67"/>
  <c r="F23" i="67" s="1"/>
  <c r="H22" i="67"/>
  <c r="I22" i="67" s="1"/>
  <c r="J22" i="67" s="1"/>
  <c r="C35" i="64"/>
  <c r="D35" i="64" s="1"/>
  <c r="F35" i="64"/>
  <c r="E36" i="64"/>
  <c r="G34" i="64"/>
  <c r="J34" i="64" s="1"/>
  <c r="H34" i="64"/>
  <c r="K34" i="64" s="1"/>
  <c r="I34" i="64"/>
  <c r="G24" i="63"/>
  <c r="J24" i="63" s="1"/>
  <c r="H24" i="63"/>
  <c r="K24" i="63" s="1"/>
  <c r="I24" i="63"/>
  <c r="D24" i="63"/>
  <c r="G26" i="62"/>
  <c r="H26" i="62"/>
  <c r="K26" i="62" s="1"/>
  <c r="D26" i="62"/>
  <c r="D23" i="67" l="1"/>
  <c r="G23" i="67"/>
  <c r="E21" i="65"/>
  <c r="C36" i="64"/>
  <c r="D36" i="64" s="1"/>
  <c r="F36" i="64"/>
  <c r="E37" i="64"/>
  <c r="H35" i="64"/>
  <c r="K35" i="64" s="1"/>
  <c r="G35" i="64"/>
  <c r="J35" i="64" s="1"/>
  <c r="I35" i="64"/>
  <c r="E25" i="63"/>
  <c r="E27" i="62"/>
  <c r="I26" i="62"/>
  <c r="L26" i="62" s="1"/>
  <c r="J26" i="62"/>
  <c r="M26" i="62" s="1"/>
  <c r="C21" i="65" l="1"/>
  <c r="F21" i="65"/>
  <c r="G21" i="65" s="1"/>
  <c r="H23" i="67"/>
  <c r="I23" i="67" s="1"/>
  <c r="J23" i="67" s="1"/>
  <c r="E23" i="67"/>
  <c r="F24" i="67" s="1"/>
  <c r="E38" i="64"/>
  <c r="F37" i="64"/>
  <c r="C37" i="64"/>
  <c r="D37" i="64"/>
  <c r="G36" i="64"/>
  <c r="J36" i="64" s="1"/>
  <c r="H36" i="64"/>
  <c r="K36" i="64" s="1"/>
  <c r="I36" i="64"/>
  <c r="F25" i="63"/>
  <c r="C25" i="63"/>
  <c r="F27" i="62"/>
  <c r="C27" i="62"/>
  <c r="D24" i="67" l="1"/>
  <c r="G24" i="67"/>
  <c r="D21" i="65"/>
  <c r="E22" i="65" s="1"/>
  <c r="C38" i="64"/>
  <c r="D38" i="64" s="1"/>
  <c r="F38" i="64"/>
  <c r="E39" i="64"/>
  <c r="G37" i="64"/>
  <c r="J37" i="64" s="1"/>
  <c r="H37" i="64"/>
  <c r="K37" i="64" s="1"/>
  <c r="I37" i="64"/>
  <c r="G25" i="63"/>
  <c r="J25" i="63" s="1"/>
  <c r="H25" i="63"/>
  <c r="K25" i="63" s="1"/>
  <c r="I25" i="63"/>
  <c r="D25" i="63"/>
  <c r="D27" i="62"/>
  <c r="H27" i="62"/>
  <c r="K27" i="62" s="1"/>
  <c r="G27" i="62"/>
  <c r="F22" i="65" l="1"/>
  <c r="G22" i="65" s="1"/>
  <c r="C22" i="65"/>
  <c r="H24" i="67"/>
  <c r="I24" i="67" s="1"/>
  <c r="J24" i="67" s="1"/>
  <c r="D22" i="65"/>
  <c r="E24" i="67"/>
  <c r="F25" i="67" s="1"/>
  <c r="C39" i="64"/>
  <c r="D39" i="64" s="1"/>
  <c r="E40" i="64"/>
  <c r="F39" i="64"/>
  <c r="H38" i="64"/>
  <c r="K38" i="64" s="1"/>
  <c r="G38" i="64"/>
  <c r="J38" i="64" s="1"/>
  <c r="I38" i="64"/>
  <c r="E26" i="63"/>
  <c r="I27" i="62"/>
  <c r="L27" i="62" s="1"/>
  <c r="J27" i="62"/>
  <c r="M27" i="62" s="1"/>
  <c r="E28" i="62"/>
  <c r="G25" i="67" l="1"/>
  <c r="D25" i="67"/>
  <c r="E23" i="65"/>
  <c r="F40" i="64"/>
  <c r="E41" i="64"/>
  <c r="C40" i="64"/>
  <c r="D40" i="64" s="1"/>
  <c r="G39" i="64"/>
  <c r="J39" i="64" s="1"/>
  <c r="H39" i="64"/>
  <c r="K39" i="64" s="1"/>
  <c r="I39" i="64"/>
  <c r="F26" i="63"/>
  <c r="C26" i="63"/>
  <c r="C28" i="62"/>
  <c r="F28" i="62"/>
  <c r="F23" i="65" l="1"/>
  <c r="G23" i="65" s="1"/>
  <c r="C23" i="65"/>
  <c r="E25" i="67"/>
  <c r="F26" i="67" s="1"/>
  <c r="H25" i="67"/>
  <c r="I25" i="67" s="1"/>
  <c r="J25" i="67" s="1"/>
  <c r="F41" i="64"/>
  <c r="E42" i="64"/>
  <c r="C41" i="64"/>
  <c r="D41" i="64" s="1"/>
  <c r="G40" i="64"/>
  <c r="J40" i="64" s="1"/>
  <c r="H40" i="64"/>
  <c r="K40" i="64" s="1"/>
  <c r="I40" i="64"/>
  <c r="H26" i="63"/>
  <c r="K26" i="63" s="1"/>
  <c r="G26" i="63"/>
  <c r="J26" i="63" s="1"/>
  <c r="I26" i="63"/>
  <c r="D26" i="63"/>
  <c r="G28" i="62"/>
  <c r="H28" i="62"/>
  <c r="K28" i="62" s="1"/>
  <c r="D28" i="62"/>
  <c r="E29" i="62" s="1"/>
  <c r="G26" i="67" l="1"/>
  <c r="D26" i="67"/>
  <c r="D23" i="65"/>
  <c r="G41" i="64"/>
  <c r="J41" i="64" s="1"/>
  <c r="H41" i="64"/>
  <c r="K41" i="64" s="1"/>
  <c r="I41" i="64"/>
  <c r="F42" i="64"/>
  <c r="E43" i="64"/>
  <c r="C42" i="64"/>
  <c r="D42" i="64" s="1"/>
  <c r="E27" i="63"/>
  <c r="C29" i="62"/>
  <c r="D29" i="62" s="1"/>
  <c r="F29" i="62"/>
  <c r="I28" i="62"/>
  <c r="L28" i="62" s="1"/>
  <c r="J28" i="62"/>
  <c r="M28" i="62" s="1"/>
  <c r="E24" i="65" l="1"/>
  <c r="E26" i="67"/>
  <c r="F27" i="67" s="1"/>
  <c r="H26" i="67"/>
  <c r="I26" i="67" s="1"/>
  <c r="J26" i="67" s="1"/>
  <c r="C43" i="64"/>
  <c r="D43" i="64" s="1"/>
  <c r="F43" i="64"/>
  <c r="E44" i="64"/>
  <c r="G42" i="64"/>
  <c r="J42" i="64" s="1"/>
  <c r="H42" i="64"/>
  <c r="K42" i="64" s="1"/>
  <c r="I42" i="64"/>
  <c r="C27" i="63"/>
  <c r="F27" i="63"/>
  <c r="H29" i="62"/>
  <c r="K29" i="62" s="1"/>
  <c r="G29" i="62"/>
  <c r="E30" i="62"/>
  <c r="D27" i="67" l="1"/>
  <c r="G27" i="67"/>
  <c r="C24" i="65"/>
  <c r="F24" i="65"/>
  <c r="G24" i="65" s="1"/>
  <c r="C44" i="64"/>
  <c r="D44" i="64" s="1"/>
  <c r="F44" i="64"/>
  <c r="E45" i="64"/>
  <c r="H43" i="64"/>
  <c r="K43" i="64" s="1"/>
  <c r="G43" i="64"/>
  <c r="J43" i="64" s="1"/>
  <c r="I43" i="64"/>
  <c r="G27" i="63"/>
  <c r="J27" i="63" s="1"/>
  <c r="H27" i="63"/>
  <c r="K27" i="63" s="1"/>
  <c r="I27" i="63"/>
  <c r="D27" i="63"/>
  <c r="C30" i="62"/>
  <c r="F30" i="62"/>
  <c r="I29" i="62"/>
  <c r="L29" i="62" s="1"/>
  <c r="J29" i="62"/>
  <c r="M29" i="62" s="1"/>
  <c r="D24" i="65" l="1"/>
  <c r="H27" i="67"/>
  <c r="I27" i="67" s="1"/>
  <c r="J27" i="67" s="1"/>
  <c r="E27" i="67"/>
  <c r="F28" i="67" s="1"/>
  <c r="F45" i="64"/>
  <c r="E46" i="64"/>
  <c r="C45" i="64"/>
  <c r="D45" i="64" s="1"/>
  <c r="G44" i="64"/>
  <c r="J44" i="64" s="1"/>
  <c r="H44" i="64"/>
  <c r="K44" i="64" s="1"/>
  <c r="I44" i="64"/>
  <c r="E28" i="63"/>
  <c r="G30" i="62"/>
  <c r="H30" i="62"/>
  <c r="K30" i="62" s="1"/>
  <c r="D30" i="62"/>
  <c r="E31" i="62" s="1"/>
  <c r="D28" i="67" l="1"/>
  <c r="G28" i="67"/>
  <c r="E25" i="65"/>
  <c r="C46" i="64"/>
  <c r="D46" i="64" s="1"/>
  <c r="E47" i="64"/>
  <c r="F46" i="64"/>
  <c r="G45" i="64"/>
  <c r="J45" i="64" s="1"/>
  <c r="H45" i="64"/>
  <c r="K45" i="64" s="1"/>
  <c r="I45" i="64"/>
  <c r="F28" i="63"/>
  <c r="C28" i="63"/>
  <c r="F31" i="62"/>
  <c r="C31" i="62"/>
  <c r="D31" i="62" s="1"/>
  <c r="I30" i="62"/>
  <c r="L30" i="62" s="1"/>
  <c r="J30" i="62"/>
  <c r="M30" i="62" s="1"/>
  <c r="F25" i="65" l="1"/>
  <c r="G25" i="65" s="1"/>
  <c r="C25" i="65"/>
  <c r="H28" i="67"/>
  <c r="I28" i="67" s="1"/>
  <c r="J28" i="67" s="1"/>
  <c r="E28" i="67"/>
  <c r="F29" i="67" s="1"/>
  <c r="C47" i="64"/>
  <c r="D47" i="64" s="1"/>
  <c r="F47" i="64"/>
  <c r="E48" i="64"/>
  <c r="H46" i="64"/>
  <c r="K46" i="64" s="1"/>
  <c r="G46" i="64"/>
  <c r="J46" i="64" s="1"/>
  <c r="I46" i="64"/>
  <c r="D28" i="63"/>
  <c r="G28" i="63"/>
  <c r="J28" i="63" s="1"/>
  <c r="H28" i="63"/>
  <c r="K28" i="63" s="1"/>
  <c r="I28" i="63"/>
  <c r="E32" i="62"/>
  <c r="H31" i="62"/>
  <c r="K31" i="62" s="1"/>
  <c r="G31" i="62"/>
  <c r="E9" i="34"/>
  <c r="E13" i="34" s="1"/>
  <c r="E10" i="34"/>
  <c r="E11" i="34"/>
  <c r="E12" i="34"/>
  <c r="D6" i="34"/>
  <c r="D5" i="34"/>
  <c r="C6" i="34"/>
  <c r="C5" i="34"/>
  <c r="D3" i="34"/>
  <c r="C3" i="34"/>
  <c r="D2" i="52"/>
  <c r="C2" i="52"/>
  <c r="E32" i="32"/>
  <c r="E31" i="32"/>
  <c r="C3" i="32"/>
  <c r="D2" i="32"/>
  <c r="C5" i="53"/>
  <c r="C6" i="53" s="1"/>
  <c r="D5" i="53"/>
  <c r="G29" i="67" l="1"/>
  <c r="D29" i="67"/>
  <c r="D25" i="65"/>
  <c r="F48" i="64"/>
  <c r="E49" i="64"/>
  <c r="C48" i="64"/>
  <c r="D48" i="64" s="1"/>
  <c r="G47" i="64"/>
  <c r="J47" i="64" s="1"/>
  <c r="H47" i="64"/>
  <c r="K47" i="64" s="1"/>
  <c r="I47" i="64"/>
  <c r="E29" i="63"/>
  <c r="I31" i="62"/>
  <c r="L31" i="62" s="1"/>
  <c r="J31" i="62"/>
  <c r="M31" i="62" s="1"/>
  <c r="C32" i="62"/>
  <c r="F32" i="62"/>
  <c r="D3" i="32"/>
  <c r="E4" i="32" s="1"/>
  <c r="C4" i="32" s="1"/>
  <c r="C7" i="53"/>
  <c r="D7" i="53"/>
  <c r="D6" i="53"/>
  <c r="E29" i="67" l="1"/>
  <c r="F30" i="67" s="1"/>
  <c r="E26" i="65"/>
  <c r="H29" i="67"/>
  <c r="I29" i="67" s="1"/>
  <c r="J29" i="67" s="1"/>
  <c r="G48" i="64"/>
  <c r="J48" i="64" s="1"/>
  <c r="H48" i="64"/>
  <c r="K48" i="64" s="1"/>
  <c r="I48" i="64"/>
  <c r="F49" i="64"/>
  <c r="E50" i="64"/>
  <c r="C49" i="64"/>
  <c r="D49" i="64" s="1"/>
  <c r="C29" i="63"/>
  <c r="F29" i="63"/>
  <c r="G32" i="62"/>
  <c r="H32" i="62"/>
  <c r="K32" i="62" s="1"/>
  <c r="D32" i="62"/>
  <c r="D4" i="32"/>
  <c r="E5" i="32" s="1"/>
  <c r="C5" i="32" s="1"/>
  <c r="C8" i="53"/>
  <c r="D8" i="53"/>
  <c r="G30" i="67" l="1"/>
  <c r="D30" i="67"/>
  <c r="F26" i="65"/>
  <c r="G26" i="65" s="1"/>
  <c r="C26" i="65"/>
  <c r="G49" i="64"/>
  <c r="J49" i="64" s="1"/>
  <c r="H49" i="64"/>
  <c r="K49" i="64" s="1"/>
  <c r="I49" i="64"/>
  <c r="F50" i="64"/>
  <c r="E51" i="64"/>
  <c r="C50" i="64"/>
  <c r="D50" i="64" s="1"/>
  <c r="H29" i="63"/>
  <c r="K29" i="63" s="1"/>
  <c r="G29" i="63"/>
  <c r="J29" i="63" s="1"/>
  <c r="I29" i="63"/>
  <c r="D29" i="63"/>
  <c r="E30" i="63" s="1"/>
  <c r="E33" i="62"/>
  <c r="I32" i="62"/>
  <c r="L32" i="62" s="1"/>
  <c r="J32" i="62"/>
  <c r="M32" i="62" s="1"/>
  <c r="D5" i="32"/>
  <c r="E6" i="32" s="1"/>
  <c r="C6" i="32" s="1"/>
  <c r="D9" i="53"/>
  <c r="C9" i="53"/>
  <c r="D26" i="65" l="1"/>
  <c r="E30" i="67"/>
  <c r="F31" i="67" s="1"/>
  <c r="H30" i="67"/>
  <c r="I30" i="67" s="1"/>
  <c r="J30" i="67" s="1"/>
  <c r="C51" i="64"/>
  <c r="D51" i="64" s="1"/>
  <c r="F51" i="64"/>
  <c r="E52" i="64"/>
  <c r="G50" i="64"/>
  <c r="J50" i="64" s="1"/>
  <c r="H50" i="64"/>
  <c r="K50" i="64" s="1"/>
  <c r="I50" i="64"/>
  <c r="C30" i="63"/>
  <c r="D30" i="63" s="1"/>
  <c r="F30" i="63"/>
  <c r="F33" i="62"/>
  <c r="C33" i="62"/>
  <c r="D6" i="32"/>
  <c r="C10" i="53"/>
  <c r="D10" i="53"/>
  <c r="D31" i="67" l="1"/>
  <c r="G31" i="67"/>
  <c r="E27" i="65"/>
  <c r="C52" i="64"/>
  <c r="D52" i="64" s="1"/>
  <c r="F52" i="64"/>
  <c r="E53" i="64"/>
  <c r="H51" i="64"/>
  <c r="K51" i="64" s="1"/>
  <c r="G51" i="64"/>
  <c r="J51" i="64" s="1"/>
  <c r="I51" i="64"/>
  <c r="H30" i="63"/>
  <c r="K30" i="63" s="1"/>
  <c r="G30" i="63"/>
  <c r="J30" i="63" s="1"/>
  <c r="I30" i="63"/>
  <c r="E31" i="63"/>
  <c r="D33" i="62"/>
  <c r="H33" i="62"/>
  <c r="K33" i="62" s="1"/>
  <c r="G33" i="62"/>
  <c r="E7" i="32"/>
  <c r="C7" i="32" s="1"/>
  <c r="D7" i="32" s="1"/>
  <c r="C11" i="53"/>
  <c r="D11" i="53"/>
  <c r="H31" i="67" l="1"/>
  <c r="I31" i="67" s="1"/>
  <c r="J31" i="67" s="1"/>
  <c r="C27" i="65"/>
  <c r="F27" i="65"/>
  <c r="G27" i="65" s="1"/>
  <c r="E31" i="67"/>
  <c r="F32" i="67" s="1"/>
  <c r="E54" i="64"/>
  <c r="C53" i="64"/>
  <c r="D53" i="64" s="1"/>
  <c r="F53" i="64"/>
  <c r="G52" i="64"/>
  <c r="J52" i="64" s="1"/>
  <c r="H52" i="64"/>
  <c r="K52" i="64" s="1"/>
  <c r="I52" i="64"/>
  <c r="F31" i="63"/>
  <c r="C31" i="63"/>
  <c r="I33" i="62"/>
  <c r="L33" i="62" s="1"/>
  <c r="J33" i="62"/>
  <c r="M33" i="62" s="1"/>
  <c r="E34" i="62"/>
  <c r="E8" i="32"/>
  <c r="C8" i="32" s="1"/>
  <c r="D12" i="53"/>
  <c r="C12" i="53"/>
  <c r="D32" i="67" l="1"/>
  <c r="G32" i="67"/>
  <c r="D27" i="65"/>
  <c r="G53" i="64"/>
  <c r="J53" i="64" s="1"/>
  <c r="H53" i="64"/>
  <c r="K53" i="64" s="1"/>
  <c r="I53" i="64"/>
  <c r="C54" i="64"/>
  <c r="D54" i="64" s="1"/>
  <c r="F54" i="64"/>
  <c r="E55" i="64"/>
  <c r="G31" i="63"/>
  <c r="J31" i="63" s="1"/>
  <c r="H31" i="63"/>
  <c r="K31" i="63" s="1"/>
  <c r="I31" i="63"/>
  <c r="D31" i="63"/>
  <c r="C34" i="62"/>
  <c r="F34" i="62"/>
  <c r="D8" i="32"/>
  <c r="D13" i="53"/>
  <c r="C13" i="53"/>
  <c r="H32" i="67" l="1"/>
  <c r="I32" i="67" s="1"/>
  <c r="J32" i="67" s="1"/>
  <c r="E28" i="65"/>
  <c r="E32" i="67"/>
  <c r="F33" i="67" s="1"/>
  <c r="H54" i="64"/>
  <c r="K54" i="64" s="1"/>
  <c r="G54" i="64"/>
  <c r="J54" i="64" s="1"/>
  <c r="I54" i="64"/>
  <c r="C55" i="64"/>
  <c r="D55" i="64" s="1"/>
  <c r="F55" i="64"/>
  <c r="E56" i="64"/>
  <c r="E32" i="63"/>
  <c r="G34" i="62"/>
  <c r="H34" i="62"/>
  <c r="K34" i="62" s="1"/>
  <c r="D34" i="62"/>
  <c r="E9" i="32"/>
  <c r="C9" i="32" s="1"/>
  <c r="D9" i="32" s="1"/>
  <c r="C14" i="53"/>
  <c r="D14" i="53"/>
  <c r="D33" i="67" l="1"/>
  <c r="G33" i="67"/>
  <c r="F28" i="65"/>
  <c r="G28" i="65" s="1"/>
  <c r="C28" i="65"/>
  <c r="F56" i="64"/>
  <c r="E57" i="64"/>
  <c r="C56" i="64"/>
  <c r="D56" i="64" s="1"/>
  <c r="G55" i="64"/>
  <c r="J55" i="64" s="1"/>
  <c r="H55" i="64"/>
  <c r="K55" i="64" s="1"/>
  <c r="I55" i="64"/>
  <c r="F32" i="63"/>
  <c r="C32" i="63"/>
  <c r="E35" i="62"/>
  <c r="I34" i="62"/>
  <c r="L34" i="62" s="1"/>
  <c r="J34" i="62"/>
  <c r="M34" i="62" s="1"/>
  <c r="E10" i="32"/>
  <c r="C10" i="32" s="1"/>
  <c r="D10" i="32" s="1"/>
  <c r="L7" i="52"/>
  <c r="M4" i="52"/>
  <c r="J3" i="52"/>
  <c r="F3" i="52"/>
  <c r="L19" i="52"/>
  <c r="S19" i="52"/>
  <c r="D28" i="65" l="1"/>
  <c r="H33" i="67"/>
  <c r="I33" i="67" s="1"/>
  <c r="J33" i="67" s="1"/>
  <c r="E33" i="67"/>
  <c r="F34" i="67" s="1"/>
  <c r="G56" i="64"/>
  <c r="J56" i="64" s="1"/>
  <c r="H56" i="64"/>
  <c r="K56" i="64" s="1"/>
  <c r="I56" i="64"/>
  <c r="F57" i="64"/>
  <c r="E58" i="64"/>
  <c r="C57" i="64"/>
  <c r="D57" i="64" s="1"/>
  <c r="D32" i="63"/>
  <c r="G32" i="63"/>
  <c r="J32" i="63" s="1"/>
  <c r="H32" i="63"/>
  <c r="K32" i="63" s="1"/>
  <c r="I32" i="63"/>
  <c r="C35" i="62"/>
  <c r="F35" i="62"/>
  <c r="E11" i="32"/>
  <c r="C11" i="32" s="1"/>
  <c r="D11" i="32"/>
  <c r="C33" i="33"/>
  <c r="C34" i="33" s="1"/>
  <c r="C32" i="33"/>
  <c r="M1" i="31"/>
  <c r="J3" i="32"/>
  <c r="N35" i="34"/>
  <c r="J30" i="32"/>
  <c r="M8" i="34"/>
  <c r="M34" i="34"/>
  <c r="M33" i="34"/>
  <c r="K3" i="32"/>
  <c r="I3" i="32"/>
  <c r="J2" i="32"/>
  <c r="M5" i="34"/>
  <c r="K3" i="34"/>
  <c r="I30" i="32"/>
  <c r="M32" i="34"/>
  <c r="K30" i="32"/>
  <c r="K4" i="34"/>
  <c r="N34" i="34"/>
  <c r="N32" i="34"/>
  <c r="L3" i="34"/>
  <c r="I2" i="32"/>
  <c r="M35" i="34"/>
  <c r="N33" i="34"/>
  <c r="M7" i="34"/>
  <c r="M4" i="34"/>
  <c r="L4" i="34"/>
  <c r="M6" i="34"/>
  <c r="G34" i="67" l="1"/>
  <c r="D34" i="67"/>
  <c r="E29" i="65"/>
  <c r="G57" i="64"/>
  <c r="J57" i="64" s="1"/>
  <c r="H57" i="64"/>
  <c r="K57" i="64" s="1"/>
  <c r="I57" i="64"/>
  <c r="E59" i="64"/>
  <c r="F58" i="64"/>
  <c r="C58" i="64"/>
  <c r="D58" i="64" s="1"/>
  <c r="E33" i="63"/>
  <c r="H35" i="62"/>
  <c r="K35" i="62" s="1"/>
  <c r="G35" i="62"/>
  <c r="D35" i="62"/>
  <c r="C4" i="34"/>
  <c r="D4" i="34" s="1"/>
  <c r="E8" i="34"/>
  <c r="F4" i="34"/>
  <c r="E12" i="32"/>
  <c r="C12" i="32" s="1"/>
  <c r="D12" i="32"/>
  <c r="AI6" i="52"/>
  <c r="AA6" i="52"/>
  <c r="T6" i="52"/>
  <c r="L6" i="52"/>
  <c r="E6" i="52"/>
  <c r="AI5" i="52"/>
  <c r="AA5" i="52"/>
  <c r="T5" i="52"/>
  <c r="L5" i="52"/>
  <c r="E5" i="52"/>
  <c r="AI4" i="52"/>
  <c r="AA4" i="52"/>
  <c r="T4" i="52"/>
  <c r="L4" i="52"/>
  <c r="E4" i="52"/>
  <c r="AI3" i="52"/>
  <c r="AA3" i="52"/>
  <c r="T3" i="52"/>
  <c r="L3" i="52"/>
  <c r="E3" i="52"/>
  <c r="AH2" i="52"/>
  <c r="AG2" i="52"/>
  <c r="Y2" i="52"/>
  <c r="R2" i="52"/>
  <c r="K2" i="52"/>
  <c r="J2" i="52"/>
  <c r="AH18" i="52"/>
  <c r="S17" i="52"/>
  <c r="AH17" i="52"/>
  <c r="Z16" i="52"/>
  <c r="B21" i="52"/>
  <c r="Z19" i="52"/>
  <c r="L16" i="52"/>
  <c r="B16" i="52"/>
  <c r="Z18" i="52"/>
  <c r="Z17" i="52"/>
  <c r="AH16" i="52"/>
  <c r="B17" i="52"/>
  <c r="B19" i="52"/>
  <c r="S16" i="52"/>
  <c r="B22" i="52"/>
  <c r="L18" i="52"/>
  <c r="B20" i="52"/>
  <c r="L17" i="52"/>
  <c r="AH19" i="52"/>
  <c r="B18" i="52"/>
  <c r="S18" i="52"/>
  <c r="E34" i="67" l="1"/>
  <c r="F35" i="67" s="1"/>
  <c r="F29" i="65"/>
  <c r="G29" i="65" s="1"/>
  <c r="C29" i="65"/>
  <c r="H34" i="67"/>
  <c r="I34" i="67" s="1"/>
  <c r="J34" i="67" s="1"/>
  <c r="G58" i="64"/>
  <c r="J58" i="64" s="1"/>
  <c r="J6" i="64" s="1"/>
  <c r="O6" i="64" s="1"/>
  <c r="H58" i="64"/>
  <c r="K58" i="64" s="1"/>
  <c r="K6" i="64" s="1"/>
  <c r="I58" i="64"/>
  <c r="I6" i="64" s="1"/>
  <c r="F33" i="63"/>
  <c r="C33" i="63"/>
  <c r="E36" i="62"/>
  <c r="I35" i="62"/>
  <c r="L35" i="62" s="1"/>
  <c r="J35" i="62"/>
  <c r="M35" i="62" s="1"/>
  <c r="F5" i="34"/>
  <c r="E13" i="32"/>
  <c r="C13" i="32" s="1"/>
  <c r="M3" i="52"/>
  <c r="AJ3" i="52"/>
  <c r="AI7" i="52"/>
  <c r="AG3" i="52"/>
  <c r="AH3" i="52" s="1"/>
  <c r="AG4" i="52" s="1"/>
  <c r="AH4" i="52" s="1"/>
  <c r="Z2" i="52"/>
  <c r="S2" i="52"/>
  <c r="T7" i="52" s="1"/>
  <c r="D35" i="67" l="1"/>
  <c r="G35" i="67"/>
  <c r="D29" i="65"/>
  <c r="G33" i="63"/>
  <c r="J33" i="63" s="1"/>
  <c r="H33" i="63"/>
  <c r="K33" i="63" s="1"/>
  <c r="I33" i="63"/>
  <c r="D33" i="63"/>
  <c r="E34" i="63" s="1"/>
  <c r="C36" i="62"/>
  <c r="D36" i="62" s="1"/>
  <c r="F36" i="62"/>
  <c r="F6" i="34"/>
  <c r="D13" i="32"/>
  <c r="AJ4" i="52"/>
  <c r="AI8" i="52"/>
  <c r="AI9" i="52"/>
  <c r="U3" i="52"/>
  <c r="Y3" i="52"/>
  <c r="Z3" i="52" s="1"/>
  <c r="AJ5" i="52"/>
  <c r="AG5" i="52"/>
  <c r="R3" i="52"/>
  <c r="S3" i="52" s="1"/>
  <c r="AB3" i="52"/>
  <c r="AA7" i="52"/>
  <c r="K3" i="52"/>
  <c r="H35" i="67" l="1"/>
  <c r="I35" i="67" s="1"/>
  <c r="J35" i="67" s="1"/>
  <c r="E30" i="65"/>
  <c r="E35" i="67"/>
  <c r="F36" i="67" s="1"/>
  <c r="F34" i="63"/>
  <c r="C34" i="63"/>
  <c r="D34" i="63"/>
  <c r="G36" i="62"/>
  <c r="H36" i="62"/>
  <c r="K36" i="62" s="1"/>
  <c r="O8" i="62" s="1"/>
  <c r="E14" i="32"/>
  <c r="C14" i="32" s="1"/>
  <c r="AB4" i="52"/>
  <c r="Y4" i="52"/>
  <c r="AA8" i="52"/>
  <c r="R4" i="52"/>
  <c r="U4" i="52"/>
  <c r="T8" i="52"/>
  <c r="AH5" i="52"/>
  <c r="F30" i="65" l="1"/>
  <c r="G30" i="65" s="1"/>
  <c r="C30" i="65"/>
  <c r="D36" i="67"/>
  <c r="G36" i="67"/>
  <c r="E35" i="63"/>
  <c r="G34" i="63"/>
  <c r="J34" i="63" s="1"/>
  <c r="H34" i="63"/>
  <c r="K34" i="63" s="1"/>
  <c r="I34" i="63"/>
  <c r="I36" i="62"/>
  <c r="L36" i="62" s="1"/>
  <c r="J36" i="62"/>
  <c r="M36" i="62" s="1"/>
  <c r="F7" i="34"/>
  <c r="C7" i="34"/>
  <c r="D7" i="34" s="1"/>
  <c r="D14" i="32"/>
  <c r="AI10" i="52"/>
  <c r="AG6" i="52"/>
  <c r="AH6" i="52" s="1"/>
  <c r="Z4" i="52"/>
  <c r="AB5" i="52" s="1"/>
  <c r="AJ6" i="52"/>
  <c r="S4" i="52"/>
  <c r="U5" i="52" s="1"/>
  <c r="E36" i="67" l="1"/>
  <c r="F37" i="67" s="1"/>
  <c r="H36" i="67"/>
  <c r="I36" i="67" s="1"/>
  <c r="J36" i="67" s="1"/>
  <c r="D30" i="65"/>
  <c r="C35" i="63"/>
  <c r="F35" i="63"/>
  <c r="C8" i="34"/>
  <c r="D8" i="34" s="1"/>
  <c r="F8" i="34"/>
  <c r="E15" i="32"/>
  <c r="C15" i="32" s="1"/>
  <c r="AJ7" i="52"/>
  <c r="AA9" i="52"/>
  <c r="Y5" i="52"/>
  <c r="D37" i="67" l="1"/>
  <c r="G37" i="67"/>
  <c r="E31" i="65"/>
  <c r="D35" i="63"/>
  <c r="G35" i="63"/>
  <c r="J35" i="63" s="1"/>
  <c r="H35" i="63"/>
  <c r="K35" i="63" s="1"/>
  <c r="I35" i="63"/>
  <c r="C9" i="34"/>
  <c r="D15" i="32"/>
  <c r="E16" i="32" s="1"/>
  <c r="C16" i="32" s="1"/>
  <c r="Z5" i="52"/>
  <c r="AB6" i="52" s="1"/>
  <c r="F31" i="65" l="1"/>
  <c r="G31" i="65" s="1"/>
  <c r="K6" i="65" s="1"/>
  <c r="C31" i="65"/>
  <c r="H37" i="67"/>
  <c r="I37" i="67" s="1"/>
  <c r="J37" i="67" s="1"/>
  <c r="E37" i="67"/>
  <c r="F38" i="67" s="1"/>
  <c r="E36" i="63"/>
  <c r="D9" i="34"/>
  <c r="E14" i="34" s="1"/>
  <c r="F9" i="34"/>
  <c r="D16" i="32"/>
  <c r="E17" i="32" s="1"/>
  <c r="C17" i="32" s="1"/>
  <c r="G38" i="67" l="1"/>
  <c r="D38" i="67"/>
  <c r="D31" i="65"/>
  <c r="E32" i="65" s="1"/>
  <c r="F36" i="63"/>
  <c r="C36" i="63"/>
  <c r="C10" i="34"/>
  <c r="D10" i="34" s="1"/>
  <c r="E15" i="34" s="1"/>
  <c r="F10" i="34"/>
  <c r="D17" i="32"/>
  <c r="E18" i="32"/>
  <c r="C18" i="32" s="1"/>
  <c r="E38" i="67" l="1"/>
  <c r="F39" i="67" s="1"/>
  <c r="H38" i="67"/>
  <c r="I38" i="67" s="1"/>
  <c r="J38" i="67" s="1"/>
  <c r="D36" i="63"/>
  <c r="G36" i="63"/>
  <c r="J36" i="63" s="1"/>
  <c r="H36" i="63"/>
  <c r="K36" i="63" s="1"/>
  <c r="I36" i="63"/>
  <c r="F11" i="34"/>
  <c r="D18" i="32"/>
  <c r="E19" i="32" s="1"/>
  <c r="C19" i="32" s="1"/>
  <c r="D39" i="67" l="1"/>
  <c r="G39" i="67"/>
  <c r="E37" i="63"/>
  <c r="D19" i="32"/>
  <c r="E20" i="32"/>
  <c r="C20" i="32" s="1"/>
  <c r="H39" i="67" l="1"/>
  <c r="I39" i="67" s="1"/>
  <c r="J39" i="67" s="1"/>
  <c r="E39" i="67"/>
  <c r="F40" i="67" s="1"/>
  <c r="C37" i="63"/>
  <c r="F37" i="63"/>
  <c r="D20" i="32"/>
  <c r="E21" i="32" s="1"/>
  <c r="C21" i="32" s="1"/>
  <c r="D40" i="67" l="1"/>
  <c r="G40" i="67"/>
  <c r="H37" i="63"/>
  <c r="K37" i="63" s="1"/>
  <c r="G37" i="63"/>
  <c r="J37" i="63" s="1"/>
  <c r="I37" i="63"/>
  <c r="D37" i="63"/>
  <c r="D21" i="32"/>
  <c r="L3" i="33"/>
  <c r="K3" i="33"/>
  <c r="H40" i="67" l="1"/>
  <c r="I40" i="67" s="1"/>
  <c r="J40" i="67" s="1"/>
  <c r="E40" i="67"/>
  <c r="F41" i="67" s="1"/>
  <c r="E38" i="63"/>
  <c r="E22" i="32"/>
  <c r="C22" i="32" s="1"/>
  <c r="D22" i="32" s="1"/>
  <c r="D41" i="67" l="1"/>
  <c r="G41" i="67"/>
  <c r="C38" i="63"/>
  <c r="F38" i="63"/>
  <c r="E23" i="32"/>
  <c r="C23" i="32" s="1"/>
  <c r="D23" i="32"/>
  <c r="H41" i="67" l="1"/>
  <c r="I41" i="67" s="1"/>
  <c r="J41" i="67" s="1"/>
  <c r="E41" i="67"/>
  <c r="F42" i="67" s="1"/>
  <c r="H38" i="63"/>
  <c r="K38" i="63" s="1"/>
  <c r="G38" i="63"/>
  <c r="J38" i="63" s="1"/>
  <c r="I38" i="63"/>
  <c r="D38" i="63"/>
  <c r="E24" i="32"/>
  <c r="C24" i="32" s="1"/>
  <c r="D24" i="32"/>
  <c r="G42" i="67" l="1"/>
  <c r="D42" i="67"/>
  <c r="E39" i="63"/>
  <c r="E25" i="32"/>
  <c r="C25" i="32" s="1"/>
  <c r="D25" i="32"/>
  <c r="E42" i="67" l="1"/>
  <c r="F43" i="67" s="1"/>
  <c r="H42" i="67"/>
  <c r="I42" i="67" s="1"/>
  <c r="J42" i="67" s="1"/>
  <c r="C39" i="63"/>
  <c r="F39" i="63"/>
  <c r="E26" i="32"/>
  <c r="C26" i="32" s="1"/>
  <c r="D26" i="32" s="1"/>
  <c r="D43" i="67" l="1"/>
  <c r="G43" i="67"/>
  <c r="G39" i="63"/>
  <c r="J39" i="63" s="1"/>
  <c r="H39" i="63"/>
  <c r="K39" i="63" s="1"/>
  <c r="I39" i="63"/>
  <c r="D39" i="63"/>
  <c r="E40" i="63" s="1"/>
  <c r="E27" i="32"/>
  <c r="C27" i="32" s="1"/>
  <c r="H43" i="67" l="1"/>
  <c r="I43" i="67" s="1"/>
  <c r="J43" i="67" s="1"/>
  <c r="E43" i="67"/>
  <c r="F44" i="67" s="1"/>
  <c r="F40" i="63"/>
  <c r="C40" i="63"/>
  <c r="D27" i="32"/>
  <c r="D44" i="67" l="1"/>
  <c r="G44" i="67"/>
  <c r="D40" i="63"/>
  <c r="G40" i="63"/>
  <c r="J40" i="63" s="1"/>
  <c r="H40" i="63"/>
  <c r="K40" i="63" s="1"/>
  <c r="I40" i="63"/>
  <c r="E28" i="32"/>
  <c r="C28" i="32" s="1"/>
  <c r="H44" i="67" l="1"/>
  <c r="I44" i="67" s="1"/>
  <c r="J44" i="67" s="1"/>
  <c r="E44" i="67"/>
  <c r="F45" i="67" s="1"/>
  <c r="E41" i="63"/>
  <c r="D28" i="32"/>
  <c r="E29" i="32" s="1"/>
  <c r="C29" i="32" s="1"/>
  <c r="D45" i="67" l="1"/>
  <c r="G45" i="67"/>
  <c r="F41" i="63"/>
  <c r="C41" i="63"/>
  <c r="E30" i="32"/>
  <c r="C30" i="32" s="1"/>
  <c r="D29" i="32"/>
  <c r="H45" i="67" l="1"/>
  <c r="I45" i="67" s="1"/>
  <c r="J45" i="67" s="1"/>
  <c r="E45" i="67"/>
  <c r="F46" i="67" s="1"/>
  <c r="D41" i="63"/>
  <c r="G41" i="63"/>
  <c r="J41" i="63" s="1"/>
  <c r="H41" i="63"/>
  <c r="K41" i="63" s="1"/>
  <c r="I41" i="63"/>
  <c r="D30" i="32"/>
  <c r="G46" i="67" l="1"/>
  <c r="D46" i="67"/>
  <c r="E42" i="63"/>
  <c r="E7" i="34"/>
  <c r="E46" i="67" l="1"/>
  <c r="F47" i="67" s="1"/>
  <c r="H46" i="67"/>
  <c r="I46" i="67" s="1"/>
  <c r="J46" i="67" s="1"/>
  <c r="F42" i="63"/>
  <c r="C42" i="63"/>
  <c r="E4" i="34"/>
  <c r="E6" i="34"/>
  <c r="E5" i="34"/>
  <c r="D47" i="67" l="1"/>
  <c r="G47" i="67"/>
  <c r="G42" i="63"/>
  <c r="J42" i="63" s="1"/>
  <c r="H42" i="63"/>
  <c r="K42" i="63" s="1"/>
  <c r="I42" i="63"/>
  <c r="D42" i="63"/>
  <c r="B5" i="17"/>
  <c r="B6" i="17"/>
  <c r="B7" i="17"/>
  <c r="B8" i="17"/>
  <c r="B9" i="17"/>
  <c r="B10" i="17"/>
  <c r="B11" i="17"/>
  <c r="C13" i="17" s="1"/>
  <c r="B12" i="17"/>
  <c r="B13" i="17"/>
  <c r="B14" i="17"/>
  <c r="B15" i="17"/>
  <c r="B16" i="17"/>
  <c r="B17" i="17"/>
  <c r="B18" i="17"/>
  <c r="C20" i="17" s="1"/>
  <c r="B19" i="17"/>
  <c r="C21" i="17" s="1"/>
  <c r="B20" i="17"/>
  <c r="B21" i="17"/>
  <c r="B22" i="17"/>
  <c r="B23" i="17"/>
  <c r="B24" i="17"/>
  <c r="B25" i="17"/>
  <c r="B26" i="17"/>
  <c r="B27" i="17"/>
  <c r="C29" i="17" s="1"/>
  <c r="B28" i="17"/>
  <c r="B29" i="17"/>
  <c r="B30" i="17"/>
  <c r="B31" i="17"/>
  <c r="B4" i="17"/>
  <c r="C6" i="17" l="1"/>
  <c r="H47" i="67"/>
  <c r="I47" i="67" s="1"/>
  <c r="J47" i="67" s="1"/>
  <c r="E47" i="67"/>
  <c r="F48" i="67" s="1"/>
  <c r="E43" i="63"/>
  <c r="C12" i="17"/>
  <c r="C28" i="17"/>
  <c r="C19" i="17"/>
  <c r="C11" i="17"/>
  <c r="C9" i="17"/>
  <c r="C16" i="17"/>
  <c r="C25" i="17"/>
  <c r="C27" i="17"/>
  <c r="C8" i="17"/>
  <c r="C17" i="17"/>
  <c r="C23" i="17"/>
  <c r="C15" i="17"/>
  <c r="C7" i="17"/>
  <c r="C10" i="17"/>
  <c r="C24" i="17"/>
  <c r="C22" i="17"/>
  <c r="C14" i="17"/>
  <c r="C18" i="17"/>
  <c r="C26" i="17"/>
  <c r="D48" i="67" l="1"/>
  <c r="G48" i="67"/>
  <c r="C43" i="63"/>
  <c r="F43" i="63"/>
  <c r="C2" i="32"/>
  <c r="E3" i="32" s="1"/>
  <c r="H48" i="67" l="1"/>
  <c r="I48" i="67" s="1"/>
  <c r="J48" i="67" s="1"/>
  <c r="E48" i="67"/>
  <c r="F49" i="67" s="1"/>
  <c r="G43" i="63"/>
  <c r="J43" i="63" s="1"/>
  <c r="H43" i="63"/>
  <c r="K43" i="63" s="1"/>
  <c r="I43" i="63"/>
  <c r="D43" i="63"/>
  <c r="Z17" i="32"/>
  <c r="O5" i="32"/>
  <c r="P5" i="32" s="1"/>
  <c r="Q5" i="32" s="1"/>
  <c r="R5" i="32" s="1"/>
  <c r="S5" i="32" s="1"/>
  <c r="T5" i="32" s="1"/>
  <c r="U5" i="32" s="1"/>
  <c r="V5" i="32" s="1"/>
  <c r="W5" i="32" s="1"/>
  <c r="X5" i="32" s="1"/>
  <c r="Y5" i="32" s="1"/>
  <c r="N6" i="32"/>
  <c r="N7" i="32" s="1"/>
  <c r="N8" i="32" s="1"/>
  <c r="N9" i="32" s="1"/>
  <c r="N10" i="32" s="1"/>
  <c r="N11" i="32" s="1"/>
  <c r="N12" i="32" s="1"/>
  <c r="N13" i="32" s="1"/>
  <c r="N14" i="32" s="1"/>
  <c r="N15" i="32" s="1"/>
  <c r="N16" i="32" s="1"/>
  <c r="D49" i="67" l="1"/>
  <c r="G49" i="67"/>
  <c r="E44" i="63"/>
  <c r="C3" i="33"/>
  <c r="N17" i="33"/>
  <c r="M6" i="33"/>
  <c r="M7" i="33" s="1"/>
  <c r="M8" i="33" s="1"/>
  <c r="M9" i="33" s="1"/>
  <c r="M10" i="33" s="1"/>
  <c r="M11" i="33" s="1"/>
  <c r="M12" i="33" s="1"/>
  <c r="M13" i="33" s="1"/>
  <c r="M14" i="33" s="1"/>
  <c r="M15" i="33" s="1"/>
  <c r="M16" i="33" s="1"/>
  <c r="M17" i="31"/>
  <c r="L6" i="31"/>
  <c r="L7" i="31" s="1"/>
  <c r="L8" i="31" s="1"/>
  <c r="L9" i="31" s="1"/>
  <c r="L10" i="31" s="1"/>
  <c r="L11" i="31" s="1"/>
  <c r="L12" i="31" s="1"/>
  <c r="L13" i="31" s="1"/>
  <c r="L14" i="31" s="1"/>
  <c r="L15" i="31" s="1"/>
  <c r="L16" i="31" s="1"/>
  <c r="H49" i="67" l="1"/>
  <c r="I49" i="67" s="1"/>
  <c r="J49" i="67" s="1"/>
  <c r="E49" i="67"/>
  <c r="F50" i="67" s="1"/>
  <c r="F44" i="63"/>
  <c r="C44" i="63"/>
  <c r="C4" i="33"/>
  <c r="C5" i="33" s="1"/>
  <c r="C6" i="33" s="1"/>
  <c r="C7" i="33" s="1"/>
  <c r="C8" i="33" s="1"/>
  <c r="C9" i="33" s="1"/>
  <c r="C10" i="33" s="1"/>
  <c r="C11" i="33" s="1"/>
  <c r="C12" i="33" s="1"/>
  <c r="C13" i="33" s="1"/>
  <c r="C14" i="33" s="1"/>
  <c r="C15" i="33" s="1"/>
  <c r="C16" i="33" s="1"/>
  <c r="C17" i="33" s="1"/>
  <c r="C18" i="33" s="1"/>
  <c r="C19" i="33" s="1"/>
  <c r="C20" i="33" s="1"/>
  <c r="C21" i="33" s="1"/>
  <c r="C22" i="33" s="1"/>
  <c r="C23" i="33" s="1"/>
  <c r="C24" i="33" s="1"/>
  <c r="C25" i="33" s="1"/>
  <c r="C26" i="33" s="1"/>
  <c r="C27" i="33" s="1"/>
  <c r="C28" i="33" s="1"/>
  <c r="C29" i="33" s="1"/>
  <c r="C30" i="33" s="1"/>
  <c r="C31" i="33" s="1"/>
  <c r="D3" i="33"/>
  <c r="F3" i="33" s="1"/>
  <c r="F3" i="32"/>
  <c r="C3" i="31"/>
  <c r="C4" i="31" s="1"/>
  <c r="D4" i="31" s="1"/>
  <c r="E4" i="31" s="1"/>
  <c r="G50" i="67" l="1"/>
  <c r="D50" i="67"/>
  <c r="D44" i="63"/>
  <c r="G44" i="63"/>
  <c r="J44" i="63" s="1"/>
  <c r="H44" i="63"/>
  <c r="K44" i="63" s="1"/>
  <c r="I44" i="63"/>
  <c r="C5" i="31"/>
  <c r="C6" i="31" s="1"/>
  <c r="C7" i="31" s="1"/>
  <c r="C8" i="31" s="1"/>
  <c r="C9" i="31" s="1"/>
  <c r="C10" i="31" s="1"/>
  <c r="C11" i="31" s="1"/>
  <c r="C12" i="31" s="1"/>
  <c r="C13" i="31" s="1"/>
  <c r="C14" i="31" s="1"/>
  <c r="C15" i="31" s="1"/>
  <c r="C16" i="31" s="1"/>
  <c r="C17" i="31" s="1"/>
  <c r="C18" i="31" s="1"/>
  <c r="C19" i="31" s="1"/>
  <c r="C20" i="31" s="1"/>
  <c r="C21" i="31" s="1"/>
  <c r="C22" i="31" s="1"/>
  <c r="C23" i="31" s="1"/>
  <c r="C24" i="31" s="1"/>
  <c r="C25" i="31" s="1"/>
  <c r="C26" i="31" s="1"/>
  <c r="C27" i="31" s="1"/>
  <c r="C28" i="31" s="1"/>
  <c r="C29" i="31" s="1"/>
  <c r="C30" i="31" s="1"/>
  <c r="C31" i="31" s="1"/>
  <c r="D3" i="31"/>
  <c r="D4" i="33"/>
  <c r="E3" i="33"/>
  <c r="G3" i="32"/>
  <c r="I3" i="33"/>
  <c r="G4" i="31"/>
  <c r="F4" i="31"/>
  <c r="E50" i="67" l="1"/>
  <c r="F51" i="67" s="1"/>
  <c r="H50" i="67"/>
  <c r="I50" i="67" s="1"/>
  <c r="J50" i="67" s="1"/>
  <c r="E45" i="63"/>
  <c r="F4" i="33"/>
  <c r="K4" i="33"/>
  <c r="E4" i="33"/>
  <c r="G4" i="33" s="1"/>
  <c r="D8" i="31"/>
  <c r="F8" i="31" s="1"/>
  <c r="D25" i="31"/>
  <c r="F25" i="31" s="1"/>
  <c r="D10" i="31"/>
  <c r="F10" i="31" s="1"/>
  <c r="D5" i="31"/>
  <c r="E5" i="31" s="1"/>
  <c r="D6" i="31"/>
  <c r="F6" i="31" s="1"/>
  <c r="D28" i="31"/>
  <c r="F28" i="31" s="1"/>
  <c r="D13" i="31"/>
  <c r="F13" i="31" s="1"/>
  <c r="D16" i="31"/>
  <c r="E16" i="31" s="1"/>
  <c r="G16" i="31" s="1"/>
  <c r="D9" i="31"/>
  <c r="E9" i="31" s="1"/>
  <c r="G9" i="31" s="1"/>
  <c r="D26" i="31"/>
  <c r="F26" i="31" s="1"/>
  <c r="D23" i="31"/>
  <c r="F23" i="31" s="1"/>
  <c r="D20" i="31"/>
  <c r="E20" i="31" s="1"/>
  <c r="G20" i="31" s="1"/>
  <c r="D14" i="31"/>
  <c r="F14" i="31" s="1"/>
  <c r="D30" i="31"/>
  <c r="F30" i="31" s="1"/>
  <c r="D12" i="31"/>
  <c r="F12" i="31" s="1"/>
  <c r="D18" i="31"/>
  <c r="F18" i="31" s="1"/>
  <c r="D22" i="31"/>
  <c r="F22" i="31" s="1"/>
  <c r="D24" i="31"/>
  <c r="E24" i="31" s="1"/>
  <c r="G24" i="31" s="1"/>
  <c r="D11" i="31"/>
  <c r="E11" i="31" s="1"/>
  <c r="G11" i="31" s="1"/>
  <c r="D21" i="31"/>
  <c r="F21" i="31" s="1"/>
  <c r="D15" i="31"/>
  <c r="E15" i="31" s="1"/>
  <c r="G15" i="31" s="1"/>
  <c r="D19" i="31"/>
  <c r="F19" i="31" s="1"/>
  <c r="D29" i="31"/>
  <c r="E29" i="31" s="1"/>
  <c r="G29" i="31" s="1"/>
  <c r="D17" i="31"/>
  <c r="F17" i="31" s="1"/>
  <c r="D27" i="31"/>
  <c r="F27" i="31" s="1"/>
  <c r="D7" i="31"/>
  <c r="E7" i="31" s="1"/>
  <c r="G7" i="31" s="1"/>
  <c r="E3" i="31"/>
  <c r="F3" i="31"/>
  <c r="I3" i="31" s="1"/>
  <c r="G3" i="33"/>
  <c r="J3" i="33" s="1"/>
  <c r="H3" i="33"/>
  <c r="D5" i="33"/>
  <c r="K5" i="33" s="1"/>
  <c r="I4" i="33"/>
  <c r="D6" i="33"/>
  <c r="F7" i="31"/>
  <c r="E25" i="31"/>
  <c r="G25" i="31" s="1"/>
  <c r="D51" i="67" l="1"/>
  <c r="G51" i="67"/>
  <c r="C45" i="63"/>
  <c r="F45" i="63"/>
  <c r="K6" i="33"/>
  <c r="H4" i="33"/>
  <c r="L4" i="33" s="1"/>
  <c r="E10" i="31"/>
  <c r="G10" i="31" s="1"/>
  <c r="F11" i="31"/>
  <c r="F24" i="31"/>
  <c r="E6" i="31"/>
  <c r="G6" i="31" s="1"/>
  <c r="E28" i="31"/>
  <c r="G28" i="31" s="1"/>
  <c r="F5" i="31"/>
  <c r="I6" i="31" s="1"/>
  <c r="E30" i="31"/>
  <c r="G30" i="31" s="1"/>
  <c r="F16" i="31"/>
  <c r="E8" i="31"/>
  <c r="G8" i="31" s="1"/>
  <c r="E13" i="31"/>
  <c r="G13" i="31" s="1"/>
  <c r="E22" i="31"/>
  <c r="G22" i="31" s="1"/>
  <c r="F9" i="31"/>
  <c r="E23" i="31"/>
  <c r="G23" i="31" s="1"/>
  <c r="F15" i="31"/>
  <c r="F20" i="31"/>
  <c r="E26" i="31"/>
  <c r="G26" i="31" s="1"/>
  <c r="E21" i="31"/>
  <c r="G21" i="31" s="1"/>
  <c r="E14" i="31"/>
  <c r="G14" i="31" s="1"/>
  <c r="E12" i="31"/>
  <c r="G12" i="31" s="1"/>
  <c r="E18" i="31"/>
  <c r="G18" i="31" s="1"/>
  <c r="E27" i="31"/>
  <c r="G27" i="31" s="1"/>
  <c r="I4" i="31"/>
  <c r="H3" i="31"/>
  <c r="G3" i="31"/>
  <c r="H4" i="31"/>
  <c r="F29" i="31"/>
  <c r="E19" i="31"/>
  <c r="G19" i="31" s="1"/>
  <c r="E17" i="31"/>
  <c r="G17" i="31" s="1"/>
  <c r="E5" i="33"/>
  <c r="G5" i="33" s="1"/>
  <c r="J5" i="33" s="1"/>
  <c r="F5" i="33"/>
  <c r="I5" i="33" s="1"/>
  <c r="J4" i="33"/>
  <c r="F6" i="33"/>
  <c r="E6" i="33"/>
  <c r="D7" i="33"/>
  <c r="G5" i="31"/>
  <c r="H5" i="31"/>
  <c r="H51" i="67" l="1"/>
  <c r="I51" i="67" s="1"/>
  <c r="J51" i="67" s="1"/>
  <c r="E51" i="67"/>
  <c r="F52" i="67" s="1"/>
  <c r="H45" i="63"/>
  <c r="K45" i="63" s="1"/>
  <c r="G45" i="63"/>
  <c r="J45" i="63" s="1"/>
  <c r="I45" i="63"/>
  <c r="D45" i="63"/>
  <c r="K7" i="33"/>
  <c r="H6" i="31"/>
  <c r="I7" i="31"/>
  <c r="I5" i="31"/>
  <c r="I9" i="31"/>
  <c r="H7" i="31"/>
  <c r="H9" i="31"/>
  <c r="H11" i="31"/>
  <c r="H10" i="31"/>
  <c r="H8" i="31"/>
  <c r="I8" i="31"/>
  <c r="I14" i="31"/>
  <c r="I12" i="31"/>
  <c r="I10" i="31"/>
  <c r="I19" i="31"/>
  <c r="H5" i="33"/>
  <c r="L5" i="33" s="1"/>
  <c r="H6" i="33"/>
  <c r="L6" i="33" s="1"/>
  <c r="I25" i="31"/>
  <c r="I16" i="31"/>
  <c r="I20" i="31"/>
  <c r="I18" i="31"/>
  <c r="I13" i="31"/>
  <c r="I11" i="31"/>
  <c r="I29" i="31"/>
  <c r="I30" i="31"/>
  <c r="H15" i="31"/>
  <c r="I24" i="31"/>
  <c r="I28" i="31"/>
  <c r="I17" i="31"/>
  <c r="I26" i="31"/>
  <c r="I27" i="31"/>
  <c r="I15" i="31"/>
  <c r="I23" i="31"/>
  <c r="I22" i="31"/>
  <c r="I21" i="31"/>
  <c r="H17" i="31"/>
  <c r="H14" i="31"/>
  <c r="H30" i="31"/>
  <c r="H21" i="31"/>
  <c r="H20" i="31"/>
  <c r="H16" i="31"/>
  <c r="H13" i="31"/>
  <c r="H12" i="31"/>
  <c r="H23" i="31"/>
  <c r="H27" i="31"/>
  <c r="H28" i="31"/>
  <c r="H18" i="31"/>
  <c r="H25" i="31"/>
  <c r="J3" i="31"/>
  <c r="J4" i="31"/>
  <c r="H19" i="31"/>
  <c r="H22" i="31"/>
  <c r="H24" i="31"/>
  <c r="H26" i="31"/>
  <c r="H29" i="31"/>
  <c r="G6" i="33"/>
  <c r="I6" i="33"/>
  <c r="F7" i="33"/>
  <c r="E7" i="33"/>
  <c r="D8" i="33"/>
  <c r="J17" i="31"/>
  <c r="J28" i="31"/>
  <c r="J26" i="31"/>
  <c r="J25" i="31"/>
  <c r="J5" i="31"/>
  <c r="J8" i="31"/>
  <c r="J21" i="31"/>
  <c r="J13" i="31"/>
  <c r="J16" i="31"/>
  <c r="J6" i="31"/>
  <c r="J29" i="31"/>
  <c r="J7" i="31"/>
  <c r="J24" i="31"/>
  <c r="J14" i="31"/>
  <c r="J27" i="31"/>
  <c r="J15" i="31"/>
  <c r="J19" i="31"/>
  <c r="J22" i="31"/>
  <c r="J23" i="31"/>
  <c r="J11" i="31"/>
  <c r="J30" i="31"/>
  <c r="M5" i="31" s="1"/>
  <c r="J12" i="31"/>
  <c r="J10" i="31"/>
  <c r="J9" i="31"/>
  <c r="J20" i="31"/>
  <c r="J18" i="31"/>
  <c r="D52" i="67" l="1"/>
  <c r="G52" i="67"/>
  <c r="E46" i="63"/>
  <c r="K8" i="33"/>
  <c r="E8" i="33"/>
  <c r="F8" i="33"/>
  <c r="I8" i="33" s="1"/>
  <c r="J6" i="33"/>
  <c r="D9" i="33"/>
  <c r="I7" i="33"/>
  <c r="G7" i="33"/>
  <c r="H7" i="33"/>
  <c r="L7" i="33" s="1"/>
  <c r="H52" i="67" l="1"/>
  <c r="I52" i="67" s="1"/>
  <c r="J52" i="67" s="1"/>
  <c r="E52" i="67"/>
  <c r="F53" i="67" s="1"/>
  <c r="C46" i="63"/>
  <c r="F46" i="63"/>
  <c r="K9" i="33"/>
  <c r="G8" i="33"/>
  <c r="H8" i="33"/>
  <c r="L8" i="33" s="1"/>
  <c r="E9" i="33"/>
  <c r="F9" i="33"/>
  <c r="I9" i="33" s="1"/>
  <c r="J7" i="33"/>
  <c r="D10" i="33"/>
  <c r="D53" i="67" l="1"/>
  <c r="G53" i="67"/>
  <c r="H46" i="63"/>
  <c r="K46" i="63" s="1"/>
  <c r="G46" i="63"/>
  <c r="J46" i="63" s="1"/>
  <c r="I46" i="63"/>
  <c r="D46" i="63"/>
  <c r="K10" i="33"/>
  <c r="D11" i="33"/>
  <c r="G9" i="33"/>
  <c r="H9" i="33"/>
  <c r="L9" i="33" s="1"/>
  <c r="F10" i="33"/>
  <c r="I10" i="33" s="1"/>
  <c r="E10" i="33"/>
  <c r="J8" i="33"/>
  <c r="H53" i="67" l="1"/>
  <c r="I53" i="67" s="1"/>
  <c r="J53" i="67" s="1"/>
  <c r="E53" i="67"/>
  <c r="F54" i="67" s="1"/>
  <c r="E47" i="63"/>
  <c r="K11" i="33"/>
  <c r="G10" i="33"/>
  <c r="D12" i="33"/>
  <c r="J9" i="33"/>
  <c r="F11" i="33"/>
  <c r="I11" i="33" s="1"/>
  <c r="E11" i="33"/>
  <c r="H10" i="33"/>
  <c r="L10" i="33" s="1"/>
  <c r="G54" i="67" l="1"/>
  <c r="D54" i="67"/>
  <c r="C47" i="63"/>
  <c r="F47" i="63"/>
  <c r="K12" i="33"/>
  <c r="F12" i="33"/>
  <c r="I12" i="33" s="1"/>
  <c r="E12" i="33"/>
  <c r="D13" i="33"/>
  <c r="G11" i="33"/>
  <c r="J11" i="33" s="1"/>
  <c r="H11" i="33"/>
  <c r="L11" i="33" s="1"/>
  <c r="J10" i="33"/>
  <c r="E54" i="67" l="1"/>
  <c r="F55" i="67" s="1"/>
  <c r="H54" i="67"/>
  <c r="I54" i="67" s="1"/>
  <c r="J54" i="67" s="1"/>
  <c r="G47" i="63"/>
  <c r="J47" i="63" s="1"/>
  <c r="H47" i="63"/>
  <c r="K47" i="63" s="1"/>
  <c r="I47" i="63"/>
  <c r="D47" i="63"/>
  <c r="K13" i="33"/>
  <c r="D14" i="33"/>
  <c r="F13" i="33"/>
  <c r="I13" i="33" s="1"/>
  <c r="E13" i="33"/>
  <c r="G12" i="33"/>
  <c r="J12" i="33" s="1"/>
  <c r="H12" i="33"/>
  <c r="L12" i="33" s="1"/>
  <c r="A3" i="17"/>
  <c r="B3" i="17"/>
  <c r="A4" i="17"/>
  <c r="F4" i="17" s="1"/>
  <c r="A5" i="17"/>
  <c r="F5" i="17" s="1"/>
  <c r="A6" i="17"/>
  <c r="A7" i="17"/>
  <c r="F7" i="17" s="1"/>
  <c r="A8" i="17"/>
  <c r="F8" i="17" s="1"/>
  <c r="A9" i="17"/>
  <c r="F9" i="17" s="1"/>
  <c r="A10" i="17"/>
  <c r="F10" i="17" s="1"/>
  <c r="A11" i="17"/>
  <c r="F11" i="17" s="1"/>
  <c r="A12" i="17"/>
  <c r="F12" i="17" s="1"/>
  <c r="A13" i="17"/>
  <c r="F13" i="17" s="1"/>
  <c r="A14" i="17"/>
  <c r="F14" i="17" s="1"/>
  <c r="A15" i="17"/>
  <c r="F15" i="17" s="1"/>
  <c r="A16" i="17"/>
  <c r="F16" i="17" s="1"/>
  <c r="A17" i="17"/>
  <c r="F17" i="17" s="1"/>
  <c r="A18" i="17"/>
  <c r="F18" i="17" s="1"/>
  <c r="A19" i="17"/>
  <c r="F19" i="17" s="1"/>
  <c r="A20" i="17"/>
  <c r="F20" i="17" s="1"/>
  <c r="A21" i="17"/>
  <c r="F21" i="17" s="1"/>
  <c r="A22" i="17"/>
  <c r="F22" i="17" s="1"/>
  <c r="A23" i="17"/>
  <c r="F23" i="17" s="1"/>
  <c r="A24" i="17"/>
  <c r="F24" i="17" s="1"/>
  <c r="A25" i="17"/>
  <c r="F25" i="17" s="1"/>
  <c r="A26" i="17"/>
  <c r="F26" i="17" s="1"/>
  <c r="A27" i="17"/>
  <c r="F27" i="17" s="1"/>
  <c r="A28" i="17"/>
  <c r="F28" i="17" s="1"/>
  <c r="A29" i="17"/>
  <c r="F29" i="17" s="1"/>
  <c r="A30" i="17"/>
  <c r="F30" i="17" s="1"/>
  <c r="A31" i="17"/>
  <c r="F31" i="17" s="1"/>
  <c r="A1" i="14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W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D55" i="67" l="1"/>
  <c r="G55" i="67"/>
  <c r="E48" i="63"/>
  <c r="D2" i="14"/>
  <c r="C2" i="14"/>
  <c r="K14" i="33"/>
  <c r="F6" i="17"/>
  <c r="E2" i="17"/>
  <c r="D2" i="17"/>
  <c r="G13" i="33"/>
  <c r="J13" i="33" s="1"/>
  <c r="H13" i="33"/>
  <c r="L13" i="33" s="1"/>
  <c r="F14" i="33"/>
  <c r="I14" i="33" s="1"/>
  <c r="E14" i="33"/>
  <c r="D15" i="33"/>
  <c r="H55" i="67" l="1"/>
  <c r="I55" i="67" s="1"/>
  <c r="J55" i="67" s="1"/>
  <c r="E55" i="67"/>
  <c r="F56" i="67" s="1"/>
  <c r="F48" i="63"/>
  <c r="C48" i="63"/>
  <c r="E3" i="14"/>
  <c r="C3" i="14" s="1"/>
  <c r="K15" i="33"/>
  <c r="D8" i="17"/>
  <c r="E8" i="17" s="1"/>
  <c r="D16" i="17"/>
  <c r="E16" i="17" s="1"/>
  <c r="D24" i="17"/>
  <c r="E24" i="17" s="1"/>
  <c r="D4" i="17"/>
  <c r="E4" i="17" s="1"/>
  <c r="D5" i="17"/>
  <c r="E5" i="17" s="1"/>
  <c r="D29" i="17"/>
  <c r="E29" i="17" s="1"/>
  <c r="D30" i="17"/>
  <c r="E30" i="17" s="1"/>
  <c r="D23" i="17"/>
  <c r="E23" i="17" s="1"/>
  <c r="D9" i="17"/>
  <c r="E9" i="17" s="1"/>
  <c r="D17" i="17"/>
  <c r="E17" i="17" s="1"/>
  <c r="D25" i="17"/>
  <c r="E25" i="17" s="1"/>
  <c r="D13" i="17"/>
  <c r="E13" i="17" s="1"/>
  <c r="D6" i="17"/>
  <c r="E6" i="17" s="1"/>
  <c r="J5" i="17" s="1"/>
  <c r="D22" i="17"/>
  <c r="E22" i="17" s="1"/>
  <c r="D15" i="17"/>
  <c r="E15" i="17" s="1"/>
  <c r="D10" i="17"/>
  <c r="E10" i="17" s="1"/>
  <c r="D18" i="17"/>
  <c r="E18" i="17" s="1"/>
  <c r="D26" i="17"/>
  <c r="E26" i="17" s="1"/>
  <c r="D31" i="17"/>
  <c r="E31" i="17" s="1"/>
  <c r="D11" i="17"/>
  <c r="E11" i="17" s="1"/>
  <c r="D19" i="17"/>
  <c r="E19" i="17" s="1"/>
  <c r="D27" i="17"/>
  <c r="E27" i="17" s="1"/>
  <c r="D21" i="17"/>
  <c r="E21" i="17" s="1"/>
  <c r="D14" i="17"/>
  <c r="E14" i="17" s="1"/>
  <c r="D7" i="17"/>
  <c r="E7" i="17" s="1"/>
  <c r="D12" i="17"/>
  <c r="E12" i="17" s="1"/>
  <c r="D20" i="17"/>
  <c r="E20" i="17" s="1"/>
  <c r="D28" i="17"/>
  <c r="E28" i="17" s="1"/>
  <c r="F15" i="33"/>
  <c r="I15" i="33" s="1"/>
  <c r="E15" i="33"/>
  <c r="G14" i="33"/>
  <c r="J14" i="33" s="1"/>
  <c r="H14" i="33"/>
  <c r="L14" i="33" s="1"/>
  <c r="D16" i="33"/>
  <c r="D56" i="67" l="1"/>
  <c r="G56" i="67"/>
  <c r="D48" i="63"/>
  <c r="G48" i="63"/>
  <c r="J48" i="63" s="1"/>
  <c r="H48" i="63"/>
  <c r="K48" i="63" s="1"/>
  <c r="I48" i="63"/>
  <c r="J3" i="17"/>
  <c r="J4" i="17"/>
  <c r="D3" i="14"/>
  <c r="E4" i="14" s="1"/>
  <c r="C4" i="14" s="1"/>
  <c r="K16" i="33"/>
  <c r="J6" i="17"/>
  <c r="E16" i="33"/>
  <c r="F16" i="33"/>
  <c r="I16" i="33" s="1"/>
  <c r="G15" i="33"/>
  <c r="J15" i="33" s="1"/>
  <c r="H15" i="33"/>
  <c r="L15" i="33" s="1"/>
  <c r="D17" i="33"/>
  <c r="F3" i="14"/>
  <c r="H56" i="67" l="1"/>
  <c r="I56" i="67" s="1"/>
  <c r="J56" i="67" s="1"/>
  <c r="E56" i="67"/>
  <c r="F57" i="67" s="1"/>
  <c r="E49" i="63"/>
  <c r="D4" i="14"/>
  <c r="E5" i="14" s="1"/>
  <c r="C5" i="14" s="1"/>
  <c r="K17" i="33"/>
  <c r="J8" i="17"/>
  <c r="K6" i="17" s="1"/>
  <c r="F17" i="33"/>
  <c r="I17" i="33" s="1"/>
  <c r="E17" i="33"/>
  <c r="D18" i="33"/>
  <c r="G16" i="33"/>
  <c r="J16" i="33" s="1"/>
  <c r="H16" i="33"/>
  <c r="L16" i="33" s="1"/>
  <c r="G3" i="14"/>
  <c r="G57" i="67" l="1"/>
  <c r="D57" i="67"/>
  <c r="F49" i="63"/>
  <c r="C49" i="63"/>
  <c r="D5" i="14"/>
  <c r="E6" i="14" s="1"/>
  <c r="C6" i="14" s="1"/>
  <c r="K18" i="33"/>
  <c r="K5" i="17"/>
  <c r="K4" i="17"/>
  <c r="K3" i="17"/>
  <c r="F18" i="33"/>
  <c r="I18" i="33" s="1"/>
  <c r="E18" i="33"/>
  <c r="D19" i="33"/>
  <c r="G17" i="33"/>
  <c r="J17" i="33" s="1"/>
  <c r="H17" i="33"/>
  <c r="L17" i="33" s="1"/>
  <c r="F4" i="14"/>
  <c r="H3" i="14"/>
  <c r="I3" i="14" s="1"/>
  <c r="G2" i="17"/>
  <c r="F2" i="17"/>
  <c r="E57" i="67" l="1"/>
  <c r="F58" i="67" s="1"/>
  <c r="H57" i="67"/>
  <c r="I57" i="67" s="1"/>
  <c r="J57" i="67" s="1"/>
  <c r="D49" i="63"/>
  <c r="G49" i="63"/>
  <c r="J49" i="63" s="1"/>
  <c r="H49" i="63"/>
  <c r="K49" i="63" s="1"/>
  <c r="I49" i="63"/>
  <c r="D6" i="14"/>
  <c r="E7" i="14" s="1"/>
  <c r="C7" i="14" s="1"/>
  <c r="K19" i="33"/>
  <c r="F19" i="33"/>
  <c r="I19" i="33" s="1"/>
  <c r="E19" i="33"/>
  <c r="D20" i="33"/>
  <c r="G18" i="33"/>
  <c r="J18" i="33" s="1"/>
  <c r="H18" i="33"/>
  <c r="L18" i="33" s="1"/>
  <c r="G4" i="14"/>
  <c r="G58" i="67" l="1"/>
  <c r="D58" i="67"/>
  <c r="E50" i="63"/>
  <c r="D7" i="14"/>
  <c r="E8" i="14" s="1"/>
  <c r="C8" i="14" s="1"/>
  <c r="K20" i="33"/>
  <c r="F20" i="33"/>
  <c r="I20" i="33" s="1"/>
  <c r="E20" i="33"/>
  <c r="D21" i="33"/>
  <c r="G19" i="33"/>
  <c r="J19" i="33" s="1"/>
  <c r="H19" i="33"/>
  <c r="L19" i="33" s="1"/>
  <c r="F5" i="14"/>
  <c r="H4" i="14"/>
  <c r="I4" i="14" s="1"/>
  <c r="E58" i="67" l="1"/>
  <c r="F59" i="67" s="1"/>
  <c r="H58" i="67"/>
  <c r="I58" i="67" s="1"/>
  <c r="J58" i="67" s="1"/>
  <c r="F50" i="63"/>
  <c r="C50" i="63"/>
  <c r="D8" i="14"/>
  <c r="E9" i="14" s="1"/>
  <c r="C9" i="14" s="1"/>
  <c r="K21" i="33"/>
  <c r="D22" i="33"/>
  <c r="F21" i="33"/>
  <c r="I21" i="33" s="1"/>
  <c r="E21" i="33"/>
  <c r="G20" i="33"/>
  <c r="J20" i="33" s="1"/>
  <c r="H20" i="33"/>
  <c r="L20" i="33" s="1"/>
  <c r="G5" i="14"/>
  <c r="D59" i="67" l="1"/>
  <c r="G59" i="67"/>
  <c r="D50" i="63"/>
  <c r="H50" i="63"/>
  <c r="K50" i="63" s="1"/>
  <c r="G50" i="63"/>
  <c r="J50" i="63" s="1"/>
  <c r="I50" i="63"/>
  <c r="D9" i="14"/>
  <c r="E10" i="14" s="1"/>
  <c r="C10" i="14" s="1"/>
  <c r="K22" i="33"/>
  <c r="D23" i="33"/>
  <c r="G21" i="33"/>
  <c r="J21" i="33" s="1"/>
  <c r="H21" i="33"/>
  <c r="L21" i="33" s="1"/>
  <c r="F22" i="33"/>
  <c r="I22" i="33" s="1"/>
  <c r="E22" i="33"/>
  <c r="F6" i="14"/>
  <c r="H5" i="14"/>
  <c r="I5" i="14" s="1"/>
  <c r="H59" i="67" l="1"/>
  <c r="I59" i="67" s="1"/>
  <c r="J59" i="67" s="1"/>
  <c r="E59" i="67"/>
  <c r="F60" i="67" s="1"/>
  <c r="E51" i="63"/>
  <c r="D10" i="14"/>
  <c r="E11" i="14" s="1"/>
  <c r="C11" i="14" s="1"/>
  <c r="K23" i="33"/>
  <c r="G10" i="17"/>
  <c r="D24" i="33"/>
  <c r="F23" i="33"/>
  <c r="I23" i="33" s="1"/>
  <c r="E23" i="33"/>
  <c r="G22" i="33"/>
  <c r="J22" i="33" s="1"/>
  <c r="H22" i="33"/>
  <c r="L22" i="33" s="1"/>
  <c r="G6" i="14"/>
  <c r="G15" i="17"/>
  <c r="G5" i="17"/>
  <c r="G24" i="17"/>
  <c r="G30" i="17"/>
  <c r="G25" i="17"/>
  <c r="D60" i="67" l="1"/>
  <c r="G60" i="67"/>
  <c r="C51" i="63"/>
  <c r="F51" i="63"/>
  <c r="D11" i="14"/>
  <c r="E12" i="14" s="1"/>
  <c r="C12" i="14" s="1"/>
  <c r="K24" i="33"/>
  <c r="G20" i="17"/>
  <c r="F24" i="33"/>
  <c r="I24" i="33" s="1"/>
  <c r="E24" i="33"/>
  <c r="D25" i="33"/>
  <c r="G23" i="33"/>
  <c r="J23" i="33" s="1"/>
  <c r="H23" i="33"/>
  <c r="L23" i="33" s="1"/>
  <c r="F7" i="14"/>
  <c r="H6" i="14"/>
  <c r="I6" i="14" s="1"/>
  <c r="G4" i="17"/>
  <c r="G22" i="17"/>
  <c r="G21" i="17"/>
  <c r="G26" i="17"/>
  <c r="G23" i="17"/>
  <c r="G28" i="17"/>
  <c r="G16" i="17"/>
  <c r="G27" i="17"/>
  <c r="G11" i="17"/>
  <c r="G17" i="17"/>
  <c r="G13" i="17"/>
  <c r="G14" i="17"/>
  <c r="G6" i="17"/>
  <c r="G12" i="17"/>
  <c r="G18" i="17"/>
  <c r="G7" i="17"/>
  <c r="G9" i="17"/>
  <c r="G29" i="17"/>
  <c r="G8" i="17"/>
  <c r="G19" i="17"/>
  <c r="K8" i="17"/>
  <c r="G31" i="17"/>
  <c r="H60" i="67" l="1"/>
  <c r="I60" i="67" s="1"/>
  <c r="J60" i="67" s="1"/>
  <c r="E60" i="67"/>
  <c r="F61" i="67" s="1"/>
  <c r="G51" i="63"/>
  <c r="J51" i="63" s="1"/>
  <c r="H51" i="63"/>
  <c r="K51" i="63" s="1"/>
  <c r="I51" i="63"/>
  <c r="D51" i="63"/>
  <c r="D12" i="14"/>
  <c r="E13" i="14" s="1"/>
  <c r="C13" i="14" s="1"/>
  <c r="K25" i="33"/>
  <c r="G24" i="33"/>
  <c r="J24" i="33" s="1"/>
  <c r="H24" i="33"/>
  <c r="L24" i="33" s="1"/>
  <c r="F25" i="33"/>
  <c r="I25" i="33" s="1"/>
  <c r="E25" i="33"/>
  <c r="D26" i="33"/>
  <c r="G7" i="14"/>
  <c r="G61" i="67" l="1"/>
  <c r="D61" i="67"/>
  <c r="E52" i="63"/>
  <c r="D13" i="14"/>
  <c r="E14" i="14" s="1"/>
  <c r="C14" i="14" s="1"/>
  <c r="K26" i="33"/>
  <c r="F26" i="33"/>
  <c r="I26" i="33" s="1"/>
  <c r="E26" i="33"/>
  <c r="D27" i="33"/>
  <c r="G25" i="33"/>
  <c r="J25" i="33" s="1"/>
  <c r="H25" i="33"/>
  <c r="L25" i="33" s="1"/>
  <c r="F8" i="14"/>
  <c r="H7" i="14"/>
  <c r="I7" i="14" s="1"/>
  <c r="E61" i="67" l="1"/>
  <c r="F62" i="67" s="1"/>
  <c r="H61" i="67"/>
  <c r="I61" i="67" s="1"/>
  <c r="J61" i="67" s="1"/>
  <c r="C52" i="63"/>
  <c r="F52" i="63"/>
  <c r="D14" i="14"/>
  <c r="E15" i="14" s="1"/>
  <c r="C15" i="14" s="1"/>
  <c r="K27" i="33"/>
  <c r="G26" i="33"/>
  <c r="J26" i="33" s="1"/>
  <c r="H26" i="33"/>
  <c r="L26" i="33" s="1"/>
  <c r="F27" i="33"/>
  <c r="I27" i="33" s="1"/>
  <c r="E27" i="33"/>
  <c r="D28" i="33"/>
  <c r="G8" i="14"/>
  <c r="H8" i="14" s="1"/>
  <c r="I8" i="14" s="1"/>
  <c r="G62" i="67" l="1"/>
  <c r="D62" i="67"/>
  <c r="G52" i="63"/>
  <c r="J52" i="63" s="1"/>
  <c r="H52" i="63"/>
  <c r="K52" i="63" s="1"/>
  <c r="I52" i="63"/>
  <c r="D52" i="63"/>
  <c r="D15" i="14"/>
  <c r="E16" i="14" s="1"/>
  <c r="C16" i="14" s="1"/>
  <c r="K28" i="33"/>
  <c r="F28" i="33"/>
  <c r="I28" i="33" s="1"/>
  <c r="E28" i="33"/>
  <c r="D29" i="33"/>
  <c r="G27" i="33"/>
  <c r="J27" i="33" s="1"/>
  <c r="H27" i="33"/>
  <c r="L27" i="33" s="1"/>
  <c r="F9" i="14"/>
  <c r="E62" i="67" l="1"/>
  <c r="F63" i="67" s="1"/>
  <c r="H62" i="67"/>
  <c r="I62" i="67" s="1"/>
  <c r="J62" i="67" s="1"/>
  <c r="E53" i="63"/>
  <c r="D16" i="14"/>
  <c r="E17" i="14" s="1"/>
  <c r="C17" i="14" s="1"/>
  <c r="K29" i="33"/>
  <c r="G28" i="33"/>
  <c r="J28" i="33" s="1"/>
  <c r="H28" i="33"/>
  <c r="L28" i="33" s="1"/>
  <c r="F29" i="33"/>
  <c r="I29" i="33" s="1"/>
  <c r="E29" i="33"/>
  <c r="D30" i="33"/>
  <c r="G9" i="14"/>
  <c r="H9" i="14" s="1"/>
  <c r="I9" i="14" s="1"/>
  <c r="D63" i="67" l="1"/>
  <c r="G63" i="67"/>
  <c r="C53" i="63"/>
  <c r="F53" i="63"/>
  <c r="D17" i="14"/>
  <c r="E18" i="14" s="1"/>
  <c r="C18" i="14" s="1"/>
  <c r="K30" i="33"/>
  <c r="F30" i="33"/>
  <c r="I30" i="33" s="1"/>
  <c r="E30" i="33"/>
  <c r="G29" i="33"/>
  <c r="J29" i="33" s="1"/>
  <c r="H29" i="33"/>
  <c r="L29" i="33" s="1"/>
  <c r="F10" i="14"/>
  <c r="H63" i="67" l="1"/>
  <c r="I63" i="67" s="1"/>
  <c r="J63" i="67" s="1"/>
  <c r="E63" i="67"/>
  <c r="F64" i="67" s="1"/>
  <c r="G53" i="63"/>
  <c r="J53" i="63" s="1"/>
  <c r="H53" i="63"/>
  <c r="K53" i="63" s="1"/>
  <c r="I53" i="63"/>
  <c r="D53" i="63"/>
  <c r="D18" i="14"/>
  <c r="E19" i="14" s="1"/>
  <c r="C19" i="14" s="1"/>
  <c r="G30" i="33"/>
  <c r="J30" i="33" s="1"/>
  <c r="N5" i="33" s="1"/>
  <c r="H30" i="33"/>
  <c r="L30" i="33" s="1"/>
  <c r="G10" i="14"/>
  <c r="H10" i="14" s="1"/>
  <c r="I10" i="14" s="1"/>
  <c r="D64" i="67" l="1"/>
  <c r="G64" i="67"/>
  <c r="E54" i="63"/>
  <c r="D19" i="14"/>
  <c r="E20" i="14" s="1"/>
  <c r="C20" i="14" s="1"/>
  <c r="F11" i="14"/>
  <c r="H64" i="67" l="1"/>
  <c r="I64" i="67" s="1"/>
  <c r="J64" i="67" s="1"/>
  <c r="E64" i="67"/>
  <c r="F65" i="67" s="1"/>
  <c r="C54" i="63"/>
  <c r="F54" i="63"/>
  <c r="D20" i="14"/>
  <c r="E21" i="14" s="1"/>
  <c r="C21" i="14" s="1"/>
  <c r="G11" i="14"/>
  <c r="H11" i="14" s="1"/>
  <c r="I11" i="14" s="1"/>
  <c r="D65" i="67" l="1"/>
  <c r="G65" i="67"/>
  <c r="H54" i="63"/>
  <c r="K54" i="63" s="1"/>
  <c r="G54" i="63"/>
  <c r="J54" i="63" s="1"/>
  <c r="I54" i="63"/>
  <c r="D54" i="63"/>
  <c r="D21" i="14"/>
  <c r="E22" i="14" s="1"/>
  <c r="C22" i="14" s="1"/>
  <c r="F12" i="14"/>
  <c r="H65" i="67" l="1"/>
  <c r="I65" i="67" s="1"/>
  <c r="J65" i="67" s="1"/>
  <c r="E65" i="67"/>
  <c r="F66" i="67" s="1"/>
  <c r="E55" i="63"/>
  <c r="D22" i="14"/>
  <c r="E23" i="14" s="1"/>
  <c r="C23" i="14" s="1"/>
  <c r="G12" i="14"/>
  <c r="H12" i="14" s="1"/>
  <c r="I12" i="14" s="1"/>
  <c r="G66" i="67" l="1"/>
  <c r="D66" i="67"/>
  <c r="C55" i="63"/>
  <c r="F55" i="63"/>
  <c r="D23" i="14"/>
  <c r="E24" i="14" s="1"/>
  <c r="C24" i="14" s="1"/>
  <c r="F13" i="14"/>
  <c r="E66" i="67" l="1"/>
  <c r="F67" i="67" s="1"/>
  <c r="H66" i="67"/>
  <c r="I66" i="67" s="1"/>
  <c r="J66" i="67" s="1"/>
  <c r="G55" i="63"/>
  <c r="J55" i="63" s="1"/>
  <c r="H55" i="63"/>
  <c r="K55" i="63" s="1"/>
  <c r="I55" i="63"/>
  <c r="D55" i="63"/>
  <c r="D24" i="14"/>
  <c r="E25" i="14" s="1"/>
  <c r="C25" i="14" s="1"/>
  <c r="G13" i="14"/>
  <c r="H13" i="14" s="1"/>
  <c r="I13" i="14" s="1"/>
  <c r="D67" i="67" l="1"/>
  <c r="G67" i="67"/>
  <c r="E56" i="63"/>
  <c r="D25" i="14"/>
  <c r="E26" i="14" s="1"/>
  <c r="C26" i="14" s="1"/>
  <c r="F14" i="14"/>
  <c r="H67" i="67" l="1"/>
  <c r="I67" i="67" s="1"/>
  <c r="J67" i="67" s="1"/>
  <c r="E67" i="67"/>
  <c r="F68" i="67" s="1"/>
  <c r="F56" i="63"/>
  <c r="C56" i="63"/>
  <c r="D26" i="14"/>
  <c r="E27" i="14" s="1"/>
  <c r="C27" i="14" s="1"/>
  <c r="G14" i="14"/>
  <c r="H14" i="14" s="1"/>
  <c r="I14" i="14" s="1"/>
  <c r="G68" i="67" l="1"/>
  <c r="D68" i="67"/>
  <c r="D56" i="63"/>
  <c r="G56" i="63"/>
  <c r="J56" i="63" s="1"/>
  <c r="H56" i="63"/>
  <c r="K56" i="63" s="1"/>
  <c r="I56" i="63"/>
  <c r="D27" i="14"/>
  <c r="E28" i="14" s="1"/>
  <c r="C28" i="14" s="1"/>
  <c r="F15" i="14"/>
  <c r="E68" i="67" l="1"/>
  <c r="F69" i="67" s="1"/>
  <c r="H68" i="67"/>
  <c r="I68" i="67" s="1"/>
  <c r="J68" i="67" s="1"/>
  <c r="E57" i="63"/>
  <c r="D28" i="14"/>
  <c r="E29" i="14" s="1"/>
  <c r="C29" i="14" s="1"/>
  <c r="G15" i="14"/>
  <c r="H15" i="14" s="1"/>
  <c r="I15" i="14" s="1"/>
  <c r="D69" i="67" l="1"/>
  <c r="G69" i="67"/>
  <c r="F57" i="63"/>
  <c r="C57" i="63"/>
  <c r="D29" i="14"/>
  <c r="E30" i="14" s="1"/>
  <c r="C30" i="14" s="1"/>
  <c r="F16" i="14"/>
  <c r="H69" i="67" l="1"/>
  <c r="I69" i="67" s="1"/>
  <c r="J69" i="67" s="1"/>
  <c r="E69" i="67"/>
  <c r="F70" i="67" s="1"/>
  <c r="D57" i="63"/>
  <c r="G57" i="63"/>
  <c r="J57" i="63" s="1"/>
  <c r="H57" i="63"/>
  <c r="K57" i="63" s="1"/>
  <c r="I57" i="63"/>
  <c r="D30" i="14"/>
  <c r="E31" i="14" s="1"/>
  <c r="C31" i="14" s="1"/>
  <c r="G16" i="14"/>
  <c r="H16" i="14" s="1"/>
  <c r="I16" i="14" s="1"/>
  <c r="G70" i="67" l="1"/>
  <c r="D70" i="67"/>
  <c r="E58" i="63"/>
  <c r="D31" i="14"/>
  <c r="E32" i="14" s="1"/>
  <c r="C32" i="14" s="1"/>
  <c r="F17" i="14"/>
  <c r="E70" i="67" l="1"/>
  <c r="F71" i="67" s="1"/>
  <c r="H70" i="67"/>
  <c r="I70" i="67" s="1"/>
  <c r="J70" i="67" s="1"/>
  <c r="F58" i="63"/>
  <c r="C58" i="63"/>
  <c r="D32" i="14"/>
  <c r="E33" i="14" s="1"/>
  <c r="C33" i="14" s="1"/>
  <c r="G17" i="14"/>
  <c r="H17" i="14" s="1"/>
  <c r="I17" i="14" s="1"/>
  <c r="D71" i="67" l="1"/>
  <c r="G71" i="67"/>
  <c r="D58" i="63"/>
  <c r="E59" i="63" s="1"/>
  <c r="H58" i="63"/>
  <c r="K58" i="63" s="1"/>
  <c r="K6" i="63" s="1"/>
  <c r="G58" i="63"/>
  <c r="J58" i="63" s="1"/>
  <c r="J6" i="63" s="1"/>
  <c r="I58" i="63"/>
  <c r="I6" i="63" s="1"/>
  <c r="O6" i="63" s="1"/>
  <c r="E33" i="32"/>
  <c r="E34" i="32" s="1"/>
  <c r="D33" i="14"/>
  <c r="E34" i="14" s="1"/>
  <c r="C34" i="14" s="1"/>
  <c r="F18" i="14"/>
  <c r="H71" i="67" l="1"/>
  <c r="I71" i="67" s="1"/>
  <c r="J71" i="67" s="1"/>
  <c r="E71" i="67"/>
  <c r="F72" i="67" s="1"/>
  <c r="D34" i="14"/>
  <c r="E35" i="14" s="1"/>
  <c r="C35" i="14" s="1"/>
  <c r="G18" i="14"/>
  <c r="H18" i="14" s="1"/>
  <c r="I18" i="14" s="1"/>
  <c r="G72" i="67" l="1"/>
  <c r="D72" i="67"/>
  <c r="D35" i="14"/>
  <c r="E36" i="14" s="1"/>
  <c r="C36" i="14" s="1"/>
  <c r="F19" i="14"/>
  <c r="E72" i="67" l="1"/>
  <c r="F73" i="67" s="1"/>
  <c r="H72" i="67"/>
  <c r="I72" i="67" s="1"/>
  <c r="J72" i="67" s="1"/>
  <c r="D36" i="14"/>
  <c r="E37" i="14" s="1"/>
  <c r="C37" i="14" s="1"/>
  <c r="G19" i="14"/>
  <c r="H19" i="14" s="1"/>
  <c r="I19" i="14" s="1"/>
  <c r="D73" i="67" l="1"/>
  <c r="G73" i="67"/>
  <c r="D37" i="14"/>
  <c r="E38" i="14" s="1"/>
  <c r="C38" i="14" s="1"/>
  <c r="F20" i="14"/>
  <c r="H73" i="67" l="1"/>
  <c r="I73" i="67" s="1"/>
  <c r="J73" i="67" s="1"/>
  <c r="E73" i="67"/>
  <c r="F74" i="67" s="1"/>
  <c r="D38" i="14"/>
  <c r="E39" i="14" s="1"/>
  <c r="C39" i="14" s="1"/>
  <c r="G20" i="14"/>
  <c r="H20" i="14" s="1"/>
  <c r="I20" i="14" s="1"/>
  <c r="G74" i="67" l="1"/>
  <c r="D74" i="67"/>
  <c r="D39" i="14"/>
  <c r="E40" i="14" s="1"/>
  <c r="C40" i="14" s="1"/>
  <c r="F21" i="14"/>
  <c r="E74" i="67" l="1"/>
  <c r="F75" i="67" s="1"/>
  <c r="H74" i="67"/>
  <c r="I74" i="67" s="1"/>
  <c r="J74" i="67" s="1"/>
  <c r="D40" i="14"/>
  <c r="E41" i="14" s="1"/>
  <c r="C41" i="14" s="1"/>
  <c r="G21" i="14"/>
  <c r="H21" i="14" s="1"/>
  <c r="I21" i="14" s="1"/>
  <c r="D75" i="67" l="1"/>
  <c r="G75" i="67"/>
  <c r="D41" i="14"/>
  <c r="E42" i="14" s="1"/>
  <c r="C42" i="14" s="1"/>
  <c r="F22" i="14"/>
  <c r="H75" i="67" l="1"/>
  <c r="I75" i="67" s="1"/>
  <c r="J75" i="67" s="1"/>
  <c r="E75" i="67"/>
  <c r="F76" i="67" s="1"/>
  <c r="D42" i="14"/>
  <c r="E43" i="14" s="1"/>
  <c r="C43" i="14" s="1"/>
  <c r="G22" i="14"/>
  <c r="H22" i="14" s="1"/>
  <c r="I22" i="14" s="1"/>
  <c r="G76" i="67" l="1"/>
  <c r="D76" i="67"/>
  <c r="D43" i="14"/>
  <c r="E44" i="14" s="1"/>
  <c r="C44" i="14" s="1"/>
  <c r="F23" i="14"/>
  <c r="E76" i="67" l="1"/>
  <c r="F77" i="67" s="1"/>
  <c r="H76" i="67"/>
  <c r="I76" i="67" s="1"/>
  <c r="J76" i="67" s="1"/>
  <c r="D44" i="14"/>
  <c r="E45" i="14" s="1"/>
  <c r="C45" i="14" s="1"/>
  <c r="G23" i="14"/>
  <c r="H23" i="14" s="1"/>
  <c r="I23" i="14" s="1"/>
  <c r="D77" i="67" l="1"/>
  <c r="G77" i="67"/>
  <c r="D45" i="14"/>
  <c r="E46" i="14" s="1"/>
  <c r="C46" i="14" s="1"/>
  <c r="F24" i="14"/>
  <c r="H77" i="67" l="1"/>
  <c r="I77" i="67" s="1"/>
  <c r="J77" i="67" s="1"/>
  <c r="G78" i="67"/>
  <c r="E77" i="67"/>
  <c r="F78" i="67" s="1"/>
  <c r="O1" i="67" s="1"/>
  <c r="D46" i="14"/>
  <c r="E47" i="14" s="1"/>
  <c r="C47" i="14" s="1"/>
  <c r="G24" i="14"/>
  <c r="H24" i="14" s="1"/>
  <c r="I24" i="14" s="1"/>
  <c r="H78" i="67" l="1"/>
  <c r="K3" i="67"/>
  <c r="K4" i="67"/>
  <c r="K5" i="67"/>
  <c r="K6" i="67"/>
  <c r="K7" i="67"/>
  <c r="K8" i="67"/>
  <c r="K9" i="67"/>
  <c r="K10" i="67"/>
  <c r="K11" i="67"/>
  <c r="K12" i="67"/>
  <c r="K13" i="67"/>
  <c r="K14" i="67"/>
  <c r="K15" i="67"/>
  <c r="K16" i="67"/>
  <c r="K17" i="67"/>
  <c r="K18" i="67"/>
  <c r="K19" i="67"/>
  <c r="K20" i="67"/>
  <c r="K21" i="67"/>
  <c r="K22" i="67"/>
  <c r="K23" i="67"/>
  <c r="K24" i="67"/>
  <c r="K25" i="67"/>
  <c r="K26" i="67"/>
  <c r="K27" i="67"/>
  <c r="K28" i="67"/>
  <c r="K29" i="67"/>
  <c r="K30" i="67"/>
  <c r="K31" i="67"/>
  <c r="K32" i="67"/>
  <c r="K33" i="67"/>
  <c r="K34" i="67"/>
  <c r="K35" i="67"/>
  <c r="K36" i="67"/>
  <c r="K37" i="67"/>
  <c r="K38" i="67"/>
  <c r="K39" i="67"/>
  <c r="K40" i="67"/>
  <c r="K41" i="67"/>
  <c r="K42" i="67"/>
  <c r="K43" i="67"/>
  <c r="K44" i="67"/>
  <c r="K45" i="67"/>
  <c r="K46" i="67"/>
  <c r="K47" i="67"/>
  <c r="K48" i="67"/>
  <c r="K49" i="67"/>
  <c r="K50" i="67"/>
  <c r="K51" i="67"/>
  <c r="K52" i="67"/>
  <c r="K53" i="67"/>
  <c r="K54" i="67"/>
  <c r="K55" i="67"/>
  <c r="K56" i="67"/>
  <c r="K57" i="67"/>
  <c r="K58" i="67"/>
  <c r="K59" i="67"/>
  <c r="K60" i="67"/>
  <c r="K61" i="67"/>
  <c r="K62" i="67"/>
  <c r="K63" i="67"/>
  <c r="K64" i="67"/>
  <c r="K65" i="67"/>
  <c r="K66" i="67"/>
  <c r="K67" i="67"/>
  <c r="K68" i="67"/>
  <c r="K69" i="67"/>
  <c r="K70" i="67"/>
  <c r="K71" i="67"/>
  <c r="K72" i="67"/>
  <c r="K73" i="67"/>
  <c r="K74" i="67"/>
  <c r="K75" i="67"/>
  <c r="K76" i="67"/>
  <c r="I78" i="67"/>
  <c r="M5" i="67"/>
  <c r="K77" i="67"/>
  <c r="D47" i="14"/>
  <c r="E48" i="14" s="1"/>
  <c r="C48" i="14" s="1"/>
  <c r="F25" i="14"/>
  <c r="L4" i="67" l="1"/>
  <c r="L19" i="67"/>
  <c r="L23" i="67"/>
  <c r="L27" i="67"/>
  <c r="L31" i="67"/>
  <c r="L35" i="67"/>
  <c r="L39" i="67"/>
  <c r="L43" i="67"/>
  <c r="L47" i="67"/>
  <c r="L51" i="67"/>
  <c r="L55" i="67"/>
  <c r="L59" i="67"/>
  <c r="L63" i="67"/>
  <c r="L67" i="67"/>
  <c r="L71" i="67"/>
  <c r="L8" i="67"/>
  <c r="L12" i="67"/>
  <c r="L16" i="67"/>
  <c r="L5" i="67"/>
  <c r="L20" i="67"/>
  <c r="L24" i="67"/>
  <c r="L28" i="67"/>
  <c r="L32" i="67"/>
  <c r="L36" i="67"/>
  <c r="L40" i="67"/>
  <c r="L44" i="67"/>
  <c r="L48" i="67"/>
  <c r="L52" i="67"/>
  <c r="L56" i="67"/>
  <c r="L60" i="67"/>
  <c r="L64" i="67"/>
  <c r="L9" i="67"/>
  <c r="L13" i="67"/>
  <c r="L6" i="67"/>
  <c r="L10" i="67"/>
  <c r="L14" i="67"/>
  <c r="L3" i="67"/>
  <c r="L18" i="67"/>
  <c r="L22" i="67"/>
  <c r="L26" i="67"/>
  <c r="L30" i="67"/>
  <c r="L34" i="67"/>
  <c r="L38" i="67"/>
  <c r="L42" i="67"/>
  <c r="L46" i="67"/>
  <c r="L50" i="67"/>
  <c r="L54" i="67"/>
  <c r="L58" i="67"/>
  <c r="L62" i="67"/>
  <c r="L66" i="67"/>
  <c r="L70" i="67"/>
  <c r="L21" i="67"/>
  <c r="L53" i="67"/>
  <c r="L11" i="67"/>
  <c r="L25" i="67"/>
  <c r="L57" i="67"/>
  <c r="L69" i="67"/>
  <c r="L29" i="67"/>
  <c r="L61" i="67"/>
  <c r="L72" i="67"/>
  <c r="L73" i="67"/>
  <c r="L74" i="67"/>
  <c r="L75" i="67"/>
  <c r="L76" i="67"/>
  <c r="L77" i="67"/>
  <c r="L33" i="67"/>
  <c r="L65" i="67"/>
  <c r="L68" i="67"/>
  <c r="L7" i="67"/>
  <c r="L37" i="67"/>
  <c r="L41" i="67"/>
  <c r="L17" i="67"/>
  <c r="L49" i="67"/>
  <c r="L15" i="67"/>
  <c r="L45" i="67"/>
  <c r="D48" i="14"/>
  <c r="E49" i="14" s="1"/>
  <c r="C49" i="14" s="1"/>
  <c r="G25" i="14"/>
  <c r="H25" i="14" s="1"/>
  <c r="I25" i="14" s="1"/>
  <c r="D49" i="14" l="1"/>
  <c r="E50" i="14" s="1"/>
  <c r="C50" i="14" s="1"/>
  <c r="F26" i="14"/>
  <c r="D50" i="14" l="1"/>
  <c r="E51" i="14" s="1"/>
  <c r="C51" i="14" s="1"/>
  <c r="G26" i="14"/>
  <c r="H26" i="14" s="1"/>
  <c r="I26" i="14" s="1"/>
  <c r="D51" i="14" l="1"/>
  <c r="E52" i="14" s="1"/>
  <c r="C52" i="14" s="1"/>
  <c r="F27" i="14"/>
  <c r="D52" i="14" l="1"/>
  <c r="E53" i="14" s="1"/>
  <c r="C53" i="14" s="1"/>
  <c r="G27" i="14"/>
  <c r="H27" i="14" s="1"/>
  <c r="I27" i="14" s="1"/>
  <c r="D53" i="14" l="1"/>
  <c r="E54" i="14" s="1"/>
  <c r="C54" i="14" s="1"/>
  <c r="F28" i="14"/>
  <c r="D54" i="14" l="1"/>
  <c r="E55" i="14" s="1"/>
  <c r="C55" i="14" s="1"/>
  <c r="G28" i="14"/>
  <c r="H28" i="14" s="1"/>
  <c r="I28" i="14" s="1"/>
  <c r="D55" i="14" l="1"/>
  <c r="E56" i="14" s="1"/>
  <c r="C56" i="14" s="1"/>
  <c r="F29" i="14"/>
  <c r="D56" i="14" l="1"/>
  <c r="E57" i="14" s="1"/>
  <c r="C57" i="14" s="1"/>
  <c r="G29" i="14"/>
  <c r="H29" i="14" s="1"/>
  <c r="I29" i="14" s="1"/>
  <c r="D57" i="14" l="1"/>
  <c r="E58" i="14" s="1"/>
  <c r="C58" i="14" s="1"/>
  <c r="F30" i="14"/>
  <c r="D58" i="14" l="1"/>
  <c r="E59" i="14" s="1"/>
  <c r="C59" i="14" s="1"/>
  <c r="G30" i="14"/>
  <c r="H30" i="14" s="1"/>
  <c r="I30" i="14" s="1"/>
  <c r="D59" i="14" l="1"/>
  <c r="E60" i="14" s="1"/>
  <c r="C60" i="14" s="1"/>
  <c r="F31" i="14"/>
  <c r="D60" i="14" l="1"/>
  <c r="E61" i="14" s="1"/>
  <c r="C61" i="14" s="1"/>
  <c r="G31" i="14"/>
  <c r="H31" i="14" s="1"/>
  <c r="I31" i="14" s="1"/>
  <c r="D61" i="14" l="1"/>
  <c r="E62" i="14" s="1"/>
  <c r="C62" i="14" s="1"/>
  <c r="F32" i="14"/>
  <c r="D62" i="14" l="1"/>
  <c r="E63" i="14" s="1"/>
  <c r="C63" i="14" s="1"/>
  <c r="G32" i="14"/>
  <c r="H32" i="14" s="1"/>
  <c r="I32" i="14" s="1"/>
  <c r="D63" i="14" l="1"/>
  <c r="E64" i="14" s="1"/>
  <c r="C64" i="14" s="1"/>
  <c r="F33" i="14"/>
  <c r="D64" i="14" l="1"/>
  <c r="E65" i="14" s="1"/>
  <c r="C65" i="14" s="1"/>
  <c r="G33" i="14"/>
  <c r="H33" i="14" s="1"/>
  <c r="I33" i="14" s="1"/>
  <c r="D65" i="14" l="1"/>
  <c r="E66" i="14" s="1"/>
  <c r="C66" i="14" s="1"/>
  <c r="F34" i="14"/>
  <c r="D66" i="14" l="1"/>
  <c r="E67" i="14" s="1"/>
  <c r="C67" i="14" s="1"/>
  <c r="G34" i="14"/>
  <c r="H34" i="14" s="1"/>
  <c r="I34" i="14" s="1"/>
  <c r="D67" i="14" l="1"/>
  <c r="E68" i="14" s="1"/>
  <c r="C68" i="14" s="1"/>
  <c r="F35" i="14"/>
  <c r="D68" i="14" l="1"/>
  <c r="E69" i="14" s="1"/>
  <c r="C69" i="14" s="1"/>
  <c r="G35" i="14"/>
  <c r="H35" i="14" s="1"/>
  <c r="I35" i="14" s="1"/>
  <c r="D69" i="14" l="1"/>
  <c r="E70" i="14" s="1"/>
  <c r="C70" i="14" s="1"/>
  <c r="F36" i="14"/>
  <c r="D70" i="14" l="1"/>
  <c r="E71" i="14" s="1"/>
  <c r="C71" i="14" s="1"/>
  <c r="G36" i="14"/>
  <c r="H36" i="14" s="1"/>
  <c r="I36" i="14" s="1"/>
  <c r="D71" i="14" l="1"/>
  <c r="E72" i="14" s="1"/>
  <c r="C72" i="14" s="1"/>
  <c r="F37" i="14"/>
  <c r="D72" i="14" l="1"/>
  <c r="E73" i="14" s="1"/>
  <c r="C73" i="14" s="1"/>
  <c r="G37" i="14"/>
  <c r="H37" i="14" s="1"/>
  <c r="I37" i="14" s="1"/>
  <c r="D73" i="14" l="1"/>
  <c r="E74" i="14" s="1"/>
  <c r="C74" i="14" s="1"/>
  <c r="F38" i="14"/>
  <c r="D74" i="14" l="1"/>
  <c r="E75" i="14" s="1"/>
  <c r="C75" i="14" s="1"/>
  <c r="G38" i="14"/>
  <c r="H38" i="14" s="1"/>
  <c r="I38" i="14" s="1"/>
  <c r="D75" i="14" l="1"/>
  <c r="E76" i="14" s="1"/>
  <c r="C76" i="14" s="1"/>
  <c r="F39" i="14"/>
  <c r="D76" i="14" l="1"/>
  <c r="E77" i="14" s="1"/>
  <c r="C77" i="14" s="1"/>
  <c r="D77" i="14" s="1"/>
  <c r="G39" i="14"/>
  <c r="H39" i="14" s="1"/>
  <c r="I39" i="14" s="1"/>
  <c r="F40" i="14" l="1"/>
  <c r="G40" i="14" l="1"/>
  <c r="H40" i="14" s="1"/>
  <c r="I40" i="14" s="1"/>
  <c r="F41" i="14" l="1"/>
  <c r="G41" i="14" l="1"/>
  <c r="H41" i="14" s="1"/>
  <c r="I41" i="14" s="1"/>
  <c r="F42" i="14" l="1"/>
  <c r="G42" i="14" l="1"/>
  <c r="H42" i="14" s="1"/>
  <c r="I42" i="14" s="1"/>
  <c r="F43" i="14" l="1"/>
  <c r="G43" i="14" l="1"/>
  <c r="H43" i="14" s="1"/>
  <c r="I43" i="14" s="1"/>
  <c r="F44" i="14" l="1"/>
  <c r="G44" i="14" l="1"/>
  <c r="H44" i="14" s="1"/>
  <c r="I44" i="14" s="1"/>
  <c r="F45" i="14" l="1"/>
  <c r="G45" i="14" l="1"/>
  <c r="H45" i="14" s="1"/>
  <c r="I45" i="14" s="1"/>
  <c r="F46" i="14" l="1"/>
  <c r="G46" i="14" l="1"/>
  <c r="H46" i="14" s="1"/>
  <c r="I46" i="14" s="1"/>
  <c r="F47" i="14" l="1"/>
  <c r="G47" i="14" l="1"/>
  <c r="H47" i="14" s="1"/>
  <c r="I47" i="14" s="1"/>
  <c r="F48" i="14" l="1"/>
  <c r="G48" i="14" l="1"/>
  <c r="H48" i="14" s="1"/>
  <c r="I48" i="14" s="1"/>
  <c r="F49" i="14" l="1"/>
  <c r="G49" i="14" l="1"/>
  <c r="H49" i="14" s="1"/>
  <c r="I49" i="14" s="1"/>
  <c r="F50" i="14" l="1"/>
  <c r="G50" i="14" l="1"/>
  <c r="H50" i="14" s="1"/>
  <c r="I50" i="14" s="1"/>
  <c r="F51" i="14" l="1"/>
  <c r="G51" i="14" l="1"/>
  <c r="H51" i="14" s="1"/>
  <c r="I51" i="14" s="1"/>
  <c r="F52" i="14" l="1"/>
  <c r="G52" i="14" l="1"/>
  <c r="H52" i="14" s="1"/>
  <c r="I52" i="14" s="1"/>
  <c r="F53" i="14" l="1"/>
  <c r="G53" i="14" l="1"/>
  <c r="H53" i="14" s="1"/>
  <c r="I53" i="14" s="1"/>
  <c r="F54" i="14" l="1"/>
  <c r="G54" i="14" l="1"/>
  <c r="H54" i="14" s="1"/>
  <c r="I54" i="14" s="1"/>
  <c r="F55" i="14" l="1"/>
  <c r="G55" i="14" l="1"/>
  <c r="H55" i="14" s="1"/>
  <c r="I55" i="14" s="1"/>
  <c r="F56" i="14" l="1"/>
  <c r="G56" i="14" l="1"/>
  <c r="H56" i="14" s="1"/>
  <c r="I56" i="14" s="1"/>
  <c r="F57" i="14" l="1"/>
  <c r="G57" i="14" l="1"/>
  <c r="H57" i="14" s="1"/>
  <c r="I57" i="14" s="1"/>
  <c r="F58" i="14" l="1"/>
  <c r="G58" i="14" l="1"/>
  <c r="H58" i="14" s="1"/>
  <c r="I58" i="14" s="1"/>
  <c r="F59" i="14" l="1"/>
  <c r="G59" i="14" l="1"/>
  <c r="H59" i="14" s="1"/>
  <c r="I59" i="14" s="1"/>
  <c r="F60" i="14" l="1"/>
  <c r="G60" i="14" l="1"/>
  <c r="H60" i="14" s="1"/>
  <c r="I60" i="14" s="1"/>
  <c r="F61" i="14" l="1"/>
  <c r="G61" i="14" l="1"/>
  <c r="H61" i="14" s="1"/>
  <c r="I61" i="14" s="1"/>
  <c r="F62" i="14" l="1"/>
  <c r="G62" i="14" l="1"/>
  <c r="H62" i="14" s="1"/>
  <c r="I62" i="14" s="1"/>
  <c r="F63" i="14" l="1"/>
  <c r="G63" i="14" l="1"/>
  <c r="H63" i="14" s="1"/>
  <c r="I63" i="14" s="1"/>
  <c r="F64" i="14" l="1"/>
  <c r="G64" i="14" l="1"/>
  <c r="H64" i="14" s="1"/>
  <c r="I64" i="14" s="1"/>
  <c r="F65" i="14" l="1"/>
  <c r="G65" i="14" l="1"/>
  <c r="H65" i="14" s="1"/>
  <c r="I65" i="14" s="1"/>
  <c r="F66" i="14" l="1"/>
  <c r="G66" i="14" l="1"/>
  <c r="H66" i="14" s="1"/>
  <c r="I66" i="14" s="1"/>
  <c r="F67" i="14" l="1"/>
  <c r="G67" i="14" l="1"/>
  <c r="H67" i="14" s="1"/>
  <c r="I67" i="14" s="1"/>
  <c r="F68" i="14" l="1"/>
  <c r="G68" i="14" l="1"/>
  <c r="H68" i="14" s="1"/>
  <c r="I68" i="14" s="1"/>
  <c r="F69" i="14" l="1"/>
  <c r="G69" i="14" l="1"/>
  <c r="H69" i="14" s="1"/>
  <c r="I69" i="14" s="1"/>
  <c r="F70" i="14" l="1"/>
  <c r="G70" i="14" l="1"/>
  <c r="H70" i="14" s="1"/>
  <c r="I70" i="14" s="1"/>
  <c r="F71" i="14" l="1"/>
  <c r="G71" i="14" l="1"/>
  <c r="H71" i="14" s="1"/>
  <c r="I71" i="14" s="1"/>
  <c r="F72" i="14" l="1"/>
  <c r="G72" i="14" l="1"/>
  <c r="H72" i="14" s="1"/>
  <c r="I72" i="14" s="1"/>
  <c r="F73" i="14" l="1"/>
  <c r="G73" i="14" l="1"/>
  <c r="H73" i="14" s="1"/>
  <c r="I73" i="14" s="1"/>
  <c r="F74" i="14" l="1"/>
  <c r="G74" i="14" l="1"/>
  <c r="H74" i="14" s="1"/>
  <c r="I74" i="14" s="1"/>
  <c r="F75" i="14" l="1"/>
  <c r="G75" i="14" l="1"/>
  <c r="H75" i="14" s="1"/>
  <c r="I75" i="14" s="1"/>
  <c r="F76" i="14" l="1"/>
  <c r="G76" i="14" l="1"/>
  <c r="H76" i="14" s="1"/>
  <c r="I76" i="14" s="1"/>
  <c r="F77" i="14" l="1"/>
  <c r="E78" i="14" l="1"/>
  <c r="G77" i="14"/>
  <c r="H77" i="14" s="1"/>
  <c r="F78" i="14"/>
  <c r="J3" i="14" s="1"/>
  <c r="K3" i="14" l="1"/>
  <c r="N1" i="14"/>
  <c r="G78" i="14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L5" i="14"/>
  <c r="I77" i="14"/>
  <c r="H78" i="14"/>
  <c r="J77" i="14"/>
  <c r="K56" i="14" l="1"/>
  <c r="K8" i="14"/>
  <c r="K54" i="14"/>
  <c r="K70" i="14"/>
  <c r="K13" i="14"/>
  <c r="K60" i="14"/>
  <c r="K47" i="14"/>
  <c r="K27" i="14"/>
  <c r="K34" i="14"/>
  <c r="K41" i="14"/>
  <c r="K64" i="14"/>
  <c r="K5" i="14"/>
  <c r="K26" i="14"/>
  <c r="K30" i="14"/>
  <c r="K61" i="14"/>
  <c r="K39" i="14"/>
  <c r="K44" i="14"/>
  <c r="K75" i="14"/>
  <c r="K11" i="14"/>
  <c r="K18" i="14"/>
  <c r="K25" i="14"/>
  <c r="K48" i="14"/>
  <c r="K77" i="14"/>
  <c r="K33" i="14"/>
  <c r="K22" i="14"/>
  <c r="K53" i="14"/>
  <c r="K15" i="14"/>
  <c r="K36" i="14"/>
  <c r="K67" i="14"/>
  <c r="K74" i="14"/>
  <c r="K10" i="14"/>
  <c r="K17" i="14"/>
  <c r="K40" i="14"/>
  <c r="K14" i="14"/>
  <c r="K45" i="14"/>
  <c r="K62" i="14"/>
  <c r="K28" i="14"/>
  <c r="K59" i="14"/>
  <c r="K66" i="14"/>
  <c r="K73" i="14"/>
  <c r="K9" i="14"/>
  <c r="K32" i="14"/>
  <c r="K19" i="14"/>
  <c r="K63" i="14"/>
  <c r="K6" i="14"/>
  <c r="K37" i="14"/>
  <c r="K69" i="14"/>
  <c r="K20" i="14"/>
  <c r="K51" i="14"/>
  <c r="K58" i="14"/>
  <c r="K65" i="14"/>
  <c r="K71" i="14"/>
  <c r="K24" i="14"/>
  <c r="K38" i="14"/>
  <c r="K52" i="14"/>
  <c r="K46" i="14"/>
  <c r="K7" i="14"/>
  <c r="K55" i="14"/>
  <c r="K29" i="14"/>
  <c r="K76" i="14"/>
  <c r="K12" i="14"/>
  <c r="K43" i="14"/>
  <c r="K50" i="14"/>
  <c r="K57" i="14"/>
  <c r="K31" i="14"/>
  <c r="K16" i="14"/>
  <c r="K23" i="14"/>
  <c r="K21" i="14"/>
  <c r="K68" i="14"/>
  <c r="K4" i="14"/>
  <c r="K35" i="14"/>
  <c r="K42" i="14"/>
  <c r="K49" i="14"/>
  <c r="K72" i="14"/>
  <c r="F4" i="32" l="1"/>
  <c r="G4" i="32" l="1"/>
  <c r="F5" i="32" l="1"/>
  <c r="G5" i="32" l="1"/>
  <c r="F6" i="32" l="1"/>
  <c r="G6" i="32" l="1"/>
  <c r="F7" i="32" l="1"/>
  <c r="G7" i="32" l="1"/>
  <c r="F8" i="32" l="1"/>
  <c r="G8" i="32" l="1"/>
  <c r="F9" i="32" l="1"/>
  <c r="G9" i="32" s="1"/>
  <c r="F10" i="32" l="1"/>
  <c r="G10" i="32" s="1"/>
  <c r="F11" i="32" l="1"/>
  <c r="G11" i="32" s="1"/>
  <c r="F12" i="32" l="1"/>
  <c r="G12" i="32" s="1"/>
  <c r="F13" i="32" l="1"/>
  <c r="G13" i="32" s="1"/>
  <c r="F14" i="32" l="1"/>
  <c r="G14" i="32" s="1"/>
  <c r="F15" i="32" l="1"/>
  <c r="G15" i="32" s="1"/>
  <c r="F16" i="32" l="1"/>
  <c r="G16" i="32" s="1"/>
  <c r="F17" i="32" l="1"/>
  <c r="G17" i="32" s="1"/>
  <c r="F18" i="32" l="1"/>
  <c r="G18" i="32" s="1"/>
  <c r="F19" i="32" l="1"/>
  <c r="G19" i="32" s="1"/>
  <c r="F20" i="32" l="1"/>
  <c r="G20" i="32" s="1"/>
  <c r="F21" i="32" l="1"/>
  <c r="G21" i="32" s="1"/>
  <c r="F22" i="32" l="1"/>
  <c r="G22" i="32" s="1"/>
  <c r="F23" i="32" l="1"/>
  <c r="G23" i="32" s="1"/>
  <c r="F24" i="32" l="1"/>
  <c r="G24" i="32" s="1"/>
  <c r="F25" i="32" l="1"/>
  <c r="G25" i="32" s="1"/>
  <c r="F26" i="32" l="1"/>
  <c r="G26" i="32" s="1"/>
  <c r="F27" i="32" l="1"/>
  <c r="G27" i="32" s="1"/>
  <c r="F28" i="32" l="1"/>
  <c r="G28" i="32" s="1"/>
  <c r="F29" i="32" l="1"/>
  <c r="G29" i="32" s="1"/>
  <c r="F30" i="32" l="1"/>
  <c r="G30" i="32" s="1"/>
  <c r="N5" i="32" s="1"/>
  <c r="C11" i="34" l="1"/>
  <c r="D11" i="34" l="1"/>
  <c r="E16" i="34" s="1"/>
  <c r="F12" i="34" l="1"/>
  <c r="C12" i="34"/>
  <c r="G8" i="34"/>
  <c r="H8" i="34" s="1"/>
  <c r="D12" i="34" l="1"/>
  <c r="E17" i="34" s="1"/>
  <c r="I8" i="34"/>
  <c r="F13" i="34" l="1"/>
  <c r="C13" i="34"/>
  <c r="G9" i="34"/>
  <c r="H9" i="34" s="1"/>
  <c r="D13" i="34" l="1"/>
  <c r="E18" i="34" s="1"/>
  <c r="I9" i="34"/>
  <c r="F14" i="34" l="1"/>
  <c r="C14" i="34"/>
  <c r="G10" i="34"/>
  <c r="H10" i="34" s="1"/>
  <c r="D14" i="34" l="1"/>
  <c r="E19" i="34" s="1"/>
  <c r="I10" i="34"/>
  <c r="G11" i="34"/>
  <c r="H11" i="34" s="1"/>
  <c r="F15" i="34" l="1"/>
  <c r="C15" i="34"/>
  <c r="I11" i="34"/>
  <c r="G12" i="34"/>
  <c r="H12" i="34" s="1"/>
  <c r="I12" i="34" s="1"/>
  <c r="D15" i="34" l="1"/>
  <c r="E20" i="34" s="1"/>
  <c r="G13" i="34"/>
  <c r="H13" i="34" s="1"/>
  <c r="F16" i="34" l="1"/>
  <c r="C16" i="34"/>
  <c r="I13" i="34"/>
  <c r="G14" i="34"/>
  <c r="H14" i="34" s="1"/>
  <c r="I14" i="34" s="1"/>
  <c r="D16" i="34" l="1"/>
  <c r="E21" i="34" s="1"/>
  <c r="G16" i="34"/>
  <c r="H16" i="34" s="1"/>
  <c r="G15" i="34"/>
  <c r="H15" i="34" s="1"/>
  <c r="I15" i="34" s="1"/>
  <c r="F17" i="34" l="1"/>
  <c r="C17" i="34"/>
  <c r="I16" i="34"/>
  <c r="D17" i="34" l="1"/>
  <c r="E22" i="34" s="1"/>
  <c r="F18" i="34" l="1"/>
  <c r="C18" i="34"/>
  <c r="G17" i="34"/>
  <c r="H17" i="34" s="1"/>
  <c r="I17" i="34" s="1"/>
  <c r="D18" i="34" l="1"/>
  <c r="E23" i="34" s="1"/>
  <c r="G18" i="34"/>
  <c r="H18" i="34" s="1"/>
  <c r="I18" i="34" s="1"/>
  <c r="F19" i="34" l="1"/>
  <c r="C19" i="34"/>
  <c r="D19" i="34" l="1"/>
  <c r="E24" i="34" s="1"/>
  <c r="F20" i="34" l="1"/>
  <c r="C20" i="34"/>
  <c r="G19" i="34"/>
  <c r="H19" i="34" s="1"/>
  <c r="I19" i="34" s="1"/>
  <c r="D20" i="34" l="1"/>
  <c r="E25" i="34" s="1"/>
  <c r="G20" i="34"/>
  <c r="H20" i="34" s="1"/>
  <c r="I20" i="34" s="1"/>
  <c r="F21" i="34" l="1"/>
  <c r="C21" i="34"/>
  <c r="D21" i="34" l="1"/>
  <c r="E26" i="34" s="1"/>
  <c r="F22" i="34" l="1"/>
  <c r="C22" i="34"/>
  <c r="G21" i="34"/>
  <c r="H21" i="34" s="1"/>
  <c r="I21" i="34" s="1"/>
  <c r="D22" i="34" l="1"/>
  <c r="E27" i="34" s="1"/>
  <c r="G22" i="34"/>
  <c r="H22" i="34" s="1"/>
  <c r="I22" i="34" s="1"/>
  <c r="F23" i="34" l="1"/>
  <c r="G23" i="34" s="1"/>
  <c r="H23" i="34" s="1"/>
  <c r="I23" i="34" s="1"/>
  <c r="C23" i="34"/>
  <c r="D23" i="34" l="1"/>
  <c r="F24" i="34" s="1"/>
  <c r="C24" i="34" l="1"/>
  <c r="D24" i="34" s="1"/>
  <c r="E29" i="34" s="1"/>
  <c r="E28" i="34"/>
  <c r="F25" i="34" l="1"/>
  <c r="C25" i="34"/>
  <c r="G24" i="34"/>
  <c r="H24" i="34" s="1"/>
  <c r="I24" i="34" s="1"/>
  <c r="D25" i="34" l="1"/>
  <c r="E30" i="34" s="1"/>
  <c r="G25" i="34"/>
  <c r="H25" i="34" s="1"/>
  <c r="I25" i="34" s="1"/>
  <c r="F26" i="34" l="1"/>
  <c r="G26" i="34" s="1"/>
  <c r="H26" i="34" s="1"/>
  <c r="I26" i="34" s="1"/>
  <c r="C26" i="34"/>
  <c r="D26" i="34" l="1"/>
  <c r="E31" i="34" s="1"/>
  <c r="F27" i="34" l="1"/>
  <c r="C27" i="34"/>
  <c r="D27" i="34" l="1"/>
  <c r="E32" i="34" s="1"/>
  <c r="G27" i="34"/>
  <c r="H27" i="34" s="1"/>
  <c r="I27" i="34" s="1"/>
  <c r="F28" i="34" l="1"/>
  <c r="G28" i="34" s="1"/>
  <c r="H28" i="34" s="1"/>
  <c r="I28" i="34" s="1"/>
  <c r="C28" i="34"/>
  <c r="D28" i="34" l="1"/>
  <c r="F29" i="34" s="1"/>
  <c r="C29" i="34" l="1"/>
  <c r="D29" i="34" s="1"/>
  <c r="E34" i="34" s="1"/>
  <c r="E33" i="34"/>
  <c r="F30" i="34" l="1"/>
  <c r="C30" i="34"/>
  <c r="G29" i="34"/>
  <c r="H29" i="34" s="1"/>
  <c r="I29" i="34" s="1"/>
  <c r="D30" i="34" l="1"/>
  <c r="E35" i="34" s="1"/>
  <c r="F31" i="34" l="1"/>
  <c r="C31" i="34"/>
  <c r="G30" i="34"/>
  <c r="H30" i="34" s="1"/>
  <c r="I30" i="34" s="1"/>
  <c r="D31" i="34" l="1"/>
  <c r="F34" i="34" s="1"/>
  <c r="G31" i="34"/>
  <c r="H31" i="34" s="1"/>
  <c r="I31" i="34" s="1"/>
  <c r="F33" i="34" l="1"/>
  <c r="F32" i="34"/>
  <c r="F35" i="34"/>
</calcChain>
</file>

<file path=xl/sharedStrings.xml><?xml version="1.0" encoding="utf-8"?>
<sst xmlns="http://schemas.openxmlformats.org/spreadsheetml/2006/main" count="364" uniqueCount="158">
  <si>
    <t>At</t>
  </si>
  <si>
    <t>MAD</t>
  </si>
  <si>
    <t>|E|</t>
  </si>
  <si>
    <t>E</t>
  </si>
  <si>
    <t>Per.</t>
  </si>
  <si>
    <t>Trend</t>
  </si>
  <si>
    <t>Seas</t>
  </si>
  <si>
    <t>Actual</t>
  </si>
  <si>
    <t>TS</t>
  </si>
  <si>
    <t>SE</t>
  </si>
  <si>
    <t>b0</t>
  </si>
  <si>
    <t>b1</t>
  </si>
  <si>
    <t>Std.S</t>
  </si>
  <si>
    <t>(E-MeanE)^2</t>
  </si>
  <si>
    <t>Beta=</t>
  </si>
  <si>
    <t>alpha=</t>
  </si>
  <si>
    <t>ES-Forc</t>
  </si>
  <si>
    <t>Trens</t>
  </si>
  <si>
    <t>ES-Level</t>
  </si>
  <si>
    <t>Level</t>
  </si>
  <si>
    <t>Centered-MA</t>
  </si>
  <si>
    <t>R2</t>
  </si>
  <si>
    <t>Reg-Cen-MA</t>
  </si>
  <si>
    <t>Index</t>
  </si>
  <si>
    <t>Season</t>
  </si>
  <si>
    <t>Normlized Index</t>
  </si>
  <si>
    <t>Forecast</t>
  </si>
  <si>
    <t>Periodicity</t>
  </si>
  <si>
    <t xml:space="preserve">The Lectre </t>
  </si>
  <si>
    <t>https://www.youtube.com/watch?v=VxYX8t5OZNc&amp;t=2s</t>
  </si>
  <si>
    <t>1. Use centered moving average to remove seasonality</t>
  </si>
  <si>
    <t>2. Apply regression analysis on the seasonality removed data (centered moving average)</t>
  </si>
  <si>
    <t>3. Divide data of each period by the data obtained using the regression line to find the index for that period</t>
  </si>
  <si>
    <t>4. Average the indices for each period</t>
  </si>
  <si>
    <t>5. Normalize the indices</t>
  </si>
  <si>
    <t>6. Apply the indices on the regression line</t>
  </si>
  <si>
    <t>Ft</t>
  </si>
  <si>
    <t>Et</t>
  </si>
  <si>
    <t>|Et|</t>
  </si>
  <si>
    <t>E2</t>
  </si>
  <si>
    <t>|E|/At</t>
  </si>
  <si>
    <t>MSE</t>
  </si>
  <si>
    <t>MAPE</t>
  </si>
  <si>
    <t>alpha</t>
  </si>
  <si>
    <t>Bias</t>
  </si>
  <si>
    <t>Seasonality</t>
  </si>
  <si>
    <t>The Forecast for New Level is the Previous Lever + Previous Trend</t>
  </si>
  <si>
    <t>Actual Trend is the difference between current Level and previous Level</t>
  </si>
  <si>
    <t>N</t>
  </si>
  <si>
    <t>Periodicity = N = 4 here</t>
  </si>
  <si>
    <t>L0: INTERCEPT</t>
  </si>
  <si>
    <t>T0: SLOPE</t>
  </si>
  <si>
    <t>Initial Seasonality for the first N periods are Demand divided by the average of the first N periods</t>
  </si>
  <si>
    <t>Actual for Level is Actual Data divided by Seasonality of N Period ago</t>
  </si>
  <si>
    <t>Forecast Trend is (1-Beta) multiplied the  previous trend forecast + Beta time the acyal trend (the difference between current level and previous level)</t>
  </si>
  <si>
    <t>Actual Seasonality is current demand divided by the current level</t>
  </si>
  <si>
    <t>Forecast Seasonality is (1-Gamma) times seasonality of P periods agoi  plus Gamma times Actual Seasonality</t>
  </si>
  <si>
    <t>Beta</t>
  </si>
  <si>
    <t>Gamma</t>
  </si>
  <si>
    <t>Alpha</t>
  </si>
  <si>
    <t>a</t>
  </si>
  <si>
    <t>p</t>
  </si>
  <si>
    <t>b</t>
  </si>
  <si>
    <t>g</t>
  </si>
  <si>
    <t>TrenSeasAdjust-Ave</t>
  </si>
  <si>
    <t>S1</t>
  </si>
  <si>
    <t>S2</t>
  </si>
  <si>
    <t>S3</t>
  </si>
  <si>
    <t>S4</t>
  </si>
  <si>
    <t>t</t>
  </si>
  <si>
    <t>Lt</t>
  </si>
  <si>
    <t>Tt</t>
  </si>
  <si>
    <t>St</t>
  </si>
  <si>
    <t>p=</t>
  </si>
  <si>
    <t>L0</t>
  </si>
  <si>
    <r>
      <t>L1 = (1-α)(L0+T0)+</t>
    </r>
    <r>
      <rPr>
        <sz val="11"/>
        <color theme="1"/>
        <rFont val="Calibri"/>
        <family val="2"/>
      </rPr>
      <t>α(D1/S1)</t>
    </r>
  </si>
  <si>
    <r>
      <t>L2 = (1-α)(L1+T1)+</t>
    </r>
    <r>
      <rPr>
        <sz val="11"/>
        <color theme="1"/>
        <rFont val="Calibri"/>
        <family val="2"/>
      </rPr>
      <t>α(D2/S2)</t>
    </r>
  </si>
  <si>
    <r>
      <t>L3 = (1-α)(L2+T2)+</t>
    </r>
    <r>
      <rPr>
        <sz val="11"/>
        <color theme="1"/>
        <rFont val="Calibri"/>
        <family val="2"/>
      </rPr>
      <t>α(D3/S3)</t>
    </r>
  </si>
  <si>
    <r>
      <t>L4 = (1-α)(L3+T3)+</t>
    </r>
    <r>
      <rPr>
        <sz val="11"/>
        <color theme="1"/>
        <rFont val="Calibri"/>
        <family val="2"/>
      </rPr>
      <t>α(D4/S4)</t>
    </r>
  </si>
  <si>
    <t>T0</t>
  </si>
  <si>
    <r>
      <t xml:space="preserve">T1 =(1- β)T0+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(L1-L0)</t>
    </r>
  </si>
  <si>
    <r>
      <t xml:space="preserve">T2=(1- β)T1+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(L2-L1)</t>
    </r>
  </si>
  <si>
    <r>
      <t xml:space="preserve">T3=(1- β)T2+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(L3-L2)</t>
    </r>
  </si>
  <si>
    <r>
      <t xml:space="preserve">T4=(1- β)T3+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(L4-L3)</t>
    </r>
  </si>
  <si>
    <t>F2=(L1+T1)S2=</t>
  </si>
  <si>
    <t>F3=(L2+T2)S3</t>
  </si>
  <si>
    <t>F4=(L3+T3)S4</t>
  </si>
  <si>
    <t>F5=(L4+T4)S5</t>
  </si>
  <si>
    <r>
      <t>S5=(1-γ)S1+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(D1/(L0+T0))</t>
    </r>
  </si>
  <si>
    <r>
      <t>S6=(1-γ)S2+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(D2/(L1+T1)</t>
    </r>
  </si>
  <si>
    <r>
      <t>S7=(1-γ)S3+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(D3/(L2+T2)</t>
    </r>
  </si>
  <si>
    <r>
      <t>S8=(1-γ)S4+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(D4/(L3</t>
    </r>
    <r>
      <rPr>
        <sz val="11"/>
        <color theme="1"/>
        <rFont val="Calibri"/>
        <family val="2"/>
        <scheme val="minor"/>
      </rPr>
      <t>+T3)</t>
    </r>
  </si>
  <si>
    <t>F1</t>
  </si>
  <si>
    <t>`</t>
  </si>
  <si>
    <t>α=</t>
  </si>
  <si>
    <t>β=</t>
  </si>
  <si>
    <t>γ=</t>
  </si>
  <si>
    <t>At (Data)</t>
  </si>
  <si>
    <t>Simple ES</t>
  </si>
  <si>
    <t>TrenAdjES</t>
  </si>
  <si>
    <t>α=0.5</t>
  </si>
  <si>
    <t>α=0.2</t>
  </si>
  <si>
    <t>Demand</t>
  </si>
  <si>
    <t>Period</t>
  </si>
  <si>
    <t>Forecast (α=0.2, α=0.5)</t>
  </si>
  <si>
    <t>|E|/A IFE</t>
  </si>
  <si>
    <t>E=At-Ft</t>
  </si>
  <si>
    <t>Ft=(1-α)Ft+αAt</t>
  </si>
  <si>
    <t>Draw the Tracking Signal  graph.</t>
  </si>
  <si>
    <t>Compute MAD, MSE, MAPE, and TS for all periods.  Enter the values for period 50.</t>
  </si>
  <si>
    <t>LCL</t>
  </si>
  <si>
    <t>UCL</t>
  </si>
  <si>
    <t>Center</t>
  </si>
  <si>
    <t>Add</t>
  </si>
  <si>
    <t>4. Repeat parts (1) and (2) for MAPE.</t>
  </si>
  <si>
    <t>3. Repeat parts (1) and (2) for MSE.</t>
  </si>
  <si>
    <t>2. Find the Optimal alpha to three decimal points to  minimize MAD using Data Table.</t>
  </si>
  <si>
    <t>1. Find the Optimal alpha to minimize MAD using solver.</t>
  </si>
  <si>
    <t>A-S</t>
  </si>
  <si>
    <t>F-S</t>
  </si>
  <si>
    <t>A-T</t>
  </si>
  <si>
    <t>F-T</t>
  </si>
  <si>
    <t>A-L</t>
  </si>
  <si>
    <t>F-L</t>
  </si>
  <si>
    <t>|E|/A</t>
  </si>
  <si>
    <t>Ft(TrSeasAdjExpSmoo</t>
  </si>
  <si>
    <t>TrendData</t>
  </si>
  <si>
    <t>Ft (Stat.Reg)</t>
  </si>
  <si>
    <t>SeasIndAdj</t>
  </si>
  <si>
    <t>SeasInd</t>
  </si>
  <si>
    <t>Seas.Ind</t>
  </si>
  <si>
    <t>Deseas.Reg</t>
  </si>
  <si>
    <t>Centered.MA</t>
  </si>
  <si>
    <t>SUM-E</t>
  </si>
  <si>
    <t>Draw the Actual vs. Forcast graph.</t>
  </si>
  <si>
    <t>Use the following data. Cpmute the forecast for the next period using alpha =</t>
  </si>
  <si>
    <t>Growth</t>
  </si>
  <si>
    <t>Ft=L(t-1)+G(t-1)</t>
  </si>
  <si>
    <t>G</t>
  </si>
  <si>
    <t>L</t>
  </si>
  <si>
    <t>beta</t>
  </si>
  <si>
    <t>Forecast Seasonality is current demand divided by current level</t>
  </si>
  <si>
    <t>Actual Seasonality is demand divided by the current lever</t>
  </si>
  <si>
    <t>Forecast Trend the  previous trend</t>
  </si>
  <si>
    <t>Actual for Level id Actual Data divided by Seasonality of N Period ago</t>
  </si>
  <si>
    <t>Initial Seasonality are the sensualities of the first N periods</t>
  </si>
  <si>
    <t>Initial Trend is the difference between the average of the last N periods and minus the average of the first N periods divided by N(K-1) where K is the number of the repeated N periods</t>
  </si>
  <si>
    <t>Starting level is the average of the first N periods (when N is periodicity)</t>
  </si>
  <si>
    <t>beta=</t>
  </si>
  <si>
    <t>.8,.8</t>
  </si>
  <si>
    <t>B3/10</t>
  </si>
  <si>
    <t>You can Enter the data to the first 21 lines of ArdiData</t>
  </si>
  <si>
    <t>TAES</t>
  </si>
  <si>
    <t>ES</t>
  </si>
  <si>
    <t>='C:\Users\aa2035\Desktop\Forecasting\[MainDataBase.xlsx]5.ArdiData75'!C3</t>
  </si>
  <si>
    <t>You Can Get Ardi Data from</t>
  </si>
  <si>
    <t>Tracking Signal</t>
  </si>
  <si>
    <t>ArdiData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</si>
</sst>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.000000"/>
    <numFmt numFmtId="168" formatCode="0.00000"/>
    <numFmt numFmtId="169" formatCode="0.000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b/>
      <sz val="10"/>
      <color theme="0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  <font>
      <sz val="11"/>
      <color theme="0"/>
      <name val="Book Antiqua"/>
      <family val="1"/>
    </font>
    <font>
      <b/>
      <sz val="10"/>
      <name val="Symbol"/>
      <family val="1"/>
      <charset val="2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Symbol"/>
      <family val="1"/>
      <charset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2"/>
      <color rgb="FFC00000"/>
      <name val="Book Antiqua"/>
      <family val="1"/>
    </font>
    <font>
      <b/>
      <sz val="12"/>
      <color rgb="FF00B050"/>
      <name val="Book Antiqua"/>
      <family val="1"/>
    </font>
    <font>
      <sz val="10"/>
      <name val="Arial"/>
    </font>
    <font>
      <b/>
      <sz val="12"/>
      <color theme="0"/>
      <name val="Book Antiqua"/>
      <family val="1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Book Antiqua"/>
      <family val="1"/>
    </font>
  </fonts>
  <fills count="2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3" fillId="0" borderId="0"/>
    <xf numFmtId="0" fontId="25" fillId="0" borderId="0" applyNumberFormat="0" applyFill="0" applyBorder="0" applyAlignment="0" applyProtection="0"/>
    <xf numFmtId="0" fontId="26" fillId="24" borderId="0" applyNumberFormat="0" applyBorder="0" applyAlignment="0" applyProtection="0"/>
  </cellStyleXfs>
  <cellXfs count="229">
    <xf numFmtId="0" fontId="0" fillId="0" borderId="0" xfId="0"/>
    <xf numFmtId="0" fontId="0" fillId="0" borderId="0" xfId="0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/>
    <xf numFmtId="1" fontId="2" fillId="0" borderId="0" xfId="2" applyNumberFormat="1" applyBorder="1" applyAlignment="1">
      <alignment horizontal="center"/>
    </xf>
    <xf numFmtId="0" fontId="3" fillId="0" borderId="0" xfId="1" applyFont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64" fontId="2" fillId="0" borderId="0" xfId="2" applyNumberFormat="1" applyAlignment="1">
      <alignment horizontal="center"/>
    </xf>
    <xf numFmtId="164" fontId="2" fillId="8" borderId="0" xfId="2" applyNumberFormat="1" applyFill="1" applyAlignment="1">
      <alignment horizontal="left"/>
    </xf>
    <xf numFmtId="1" fontId="2" fillId="0" borderId="0" xfId="2" applyNumberFormat="1" applyAlignment="1">
      <alignment horizontal="left"/>
    </xf>
    <xf numFmtId="164" fontId="2" fillId="0" borderId="0" xfId="2" applyNumberFormat="1" applyAlignment="1">
      <alignment horizontal="left"/>
    </xf>
    <xf numFmtId="1" fontId="2" fillId="0" borderId="0" xfId="2" applyNumberFormat="1" applyBorder="1" applyAlignment="1">
      <alignment horizontal="left"/>
    </xf>
    <xf numFmtId="164" fontId="4" fillId="7" borderId="0" xfId="2" applyNumberFormat="1" applyFont="1" applyFill="1"/>
    <xf numFmtId="166" fontId="4" fillId="7" borderId="0" xfId="2" applyNumberFormat="1" applyFont="1" applyFill="1"/>
    <xf numFmtId="0" fontId="2" fillId="0" borderId="0" xfId="2" applyFont="1" applyAlignment="1">
      <alignment horizontal="center"/>
    </xf>
    <xf numFmtId="0" fontId="2" fillId="8" borderId="0" xfId="2" applyFont="1" applyFill="1" applyAlignment="1">
      <alignment horizontal="center"/>
    </xf>
    <xf numFmtId="0" fontId="2" fillId="9" borderId="0" xfId="2" applyFont="1" applyFill="1" applyAlignment="1">
      <alignment horizontal="center"/>
    </xf>
    <xf numFmtId="0" fontId="2" fillId="0" borderId="0" xfId="2" applyFont="1" applyAlignment="1">
      <alignment horizontal="right"/>
    </xf>
    <xf numFmtId="1" fontId="2" fillId="0" borderId="0" xfId="2" applyNumberFormat="1" applyFont="1" applyBorder="1" applyAlignment="1">
      <alignment horizontal="center"/>
    </xf>
    <xf numFmtId="0" fontId="3" fillId="0" borderId="0" xfId="0" applyFont="1"/>
    <xf numFmtId="0" fontId="5" fillId="0" borderId="0" xfId="2" applyFont="1"/>
    <xf numFmtId="0" fontId="3" fillId="0" borderId="10" xfId="1" applyFont="1" applyBorder="1" applyAlignment="1">
      <alignment horizontal="left"/>
    </xf>
    <xf numFmtId="0" fontId="3" fillId="3" borderId="11" xfId="1" applyFont="1" applyFill="1" applyBorder="1" applyAlignment="1">
      <alignment horizontal="center"/>
    </xf>
    <xf numFmtId="0" fontId="3" fillId="5" borderId="11" xfId="1" applyFont="1" applyFill="1" applyBorder="1" applyAlignment="1">
      <alignment horizontal="center"/>
    </xf>
    <xf numFmtId="0" fontId="5" fillId="0" borderId="0" xfId="2" applyFont="1" applyFill="1"/>
    <xf numFmtId="0" fontId="3" fillId="3" borderId="0" xfId="1" applyFont="1" applyFill="1" applyAlignment="1">
      <alignment horizontal="center"/>
    </xf>
    <xf numFmtId="0" fontId="3" fillId="5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1" fontId="5" fillId="0" borderId="0" xfId="2" applyNumberFormat="1" applyFont="1" applyBorder="1" applyAlignment="1">
      <alignment horizontal="center"/>
    </xf>
    <xf numFmtId="0" fontId="5" fillId="0" borderId="0" xfId="2" applyFont="1" applyAlignment="1">
      <alignment horizontal="center"/>
    </xf>
    <xf numFmtId="0" fontId="7" fillId="13" borderId="0" xfId="2" applyFont="1" applyFill="1" applyAlignment="1">
      <alignment horizontal="center" vertical="center"/>
    </xf>
    <xf numFmtId="164" fontId="7" fillId="13" borderId="0" xfId="2" applyNumberFormat="1" applyFont="1" applyFill="1" applyAlignment="1">
      <alignment horizontal="center" vertical="center"/>
    </xf>
    <xf numFmtId="165" fontId="7" fillId="13" borderId="0" xfId="2" applyNumberFormat="1" applyFont="1" applyFill="1" applyAlignment="1">
      <alignment horizontal="center" vertical="center"/>
    </xf>
    <xf numFmtId="0" fontId="5" fillId="0" borderId="0" xfId="2" applyFont="1" applyAlignment="1">
      <alignment horizontal="left"/>
    </xf>
    <xf numFmtId="165" fontId="5" fillId="0" borderId="0" xfId="2" applyNumberFormat="1" applyFont="1" applyAlignment="1">
      <alignment horizontal="center"/>
    </xf>
    <xf numFmtId="1" fontId="7" fillId="12" borderId="0" xfId="2" applyNumberFormat="1" applyFont="1" applyFill="1" applyBorder="1" applyAlignment="1">
      <alignment horizontal="center"/>
    </xf>
    <xf numFmtId="164" fontId="7" fillId="10" borderId="0" xfId="2" applyNumberFormat="1" applyFont="1" applyFill="1" applyAlignment="1">
      <alignment horizontal="center"/>
    </xf>
    <xf numFmtId="2" fontId="5" fillId="0" borderId="0" xfId="2" applyNumberFormat="1" applyFont="1" applyAlignment="1">
      <alignment horizontal="center"/>
    </xf>
    <xf numFmtId="1" fontId="7" fillId="11" borderId="0" xfId="2" applyNumberFormat="1" applyFont="1" applyFill="1" applyAlignment="1">
      <alignment horizontal="center"/>
    </xf>
    <xf numFmtId="167" fontId="5" fillId="0" borderId="0" xfId="2" applyNumberFormat="1" applyFont="1" applyAlignment="1">
      <alignment horizontal="center"/>
    </xf>
    <xf numFmtId="2" fontId="6" fillId="2" borderId="0" xfId="2" applyNumberFormat="1" applyFont="1" applyFill="1" applyAlignment="1">
      <alignment horizontal="center"/>
    </xf>
    <xf numFmtId="0" fontId="5" fillId="0" borderId="0" xfId="2" applyFont="1" applyFill="1" applyAlignment="1">
      <alignment horizontal="center"/>
    </xf>
    <xf numFmtId="0" fontId="5" fillId="2" borderId="0" xfId="2" applyFont="1" applyFill="1"/>
    <xf numFmtId="0" fontId="8" fillId="2" borderId="0" xfId="2" applyFont="1" applyFill="1"/>
    <xf numFmtId="0" fontId="8" fillId="0" borderId="0" xfId="2" applyFont="1" applyFill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2" fontId="5" fillId="0" borderId="0" xfId="2" applyNumberFormat="1" applyFont="1" applyFill="1" applyAlignment="1">
      <alignment horizontal="center"/>
    </xf>
    <xf numFmtId="164" fontId="5" fillId="0" borderId="0" xfId="2" applyNumberFormat="1" applyFont="1" applyFill="1"/>
    <xf numFmtId="0" fontId="0" fillId="0" borderId="0" xfId="0" applyFill="1" applyAlignment="1">
      <alignment horizontal="right"/>
    </xf>
    <xf numFmtId="0" fontId="5" fillId="0" borderId="0" xfId="2" applyFont="1" applyFill="1" applyAlignment="1">
      <alignment horizontal="left"/>
    </xf>
    <xf numFmtId="166" fontId="0" fillId="0" borderId="0" xfId="0" applyNumberFormat="1" applyAlignment="1">
      <alignment horizontal="left"/>
    </xf>
    <xf numFmtId="1" fontId="6" fillId="2" borderId="0" xfId="2" applyNumberFormat="1" applyFont="1" applyFill="1" applyAlignment="1">
      <alignment horizontal="center"/>
    </xf>
    <xf numFmtId="1" fontId="7" fillId="13" borderId="0" xfId="2" applyNumberFormat="1" applyFont="1" applyFill="1" applyAlignment="1">
      <alignment horizontal="center" vertical="center"/>
    </xf>
    <xf numFmtId="0" fontId="3" fillId="0" borderId="10" xfId="1" applyFont="1" applyFill="1" applyBorder="1" applyAlignment="1">
      <alignment horizontal="left"/>
    </xf>
    <xf numFmtId="0" fontId="3" fillId="0" borderId="11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9" fillId="14" borderId="0" xfId="1" applyFont="1" applyFill="1" applyAlignment="1">
      <alignment horizontal="center"/>
    </xf>
    <xf numFmtId="0" fontId="9" fillId="2" borderId="0" xfId="1" applyFont="1" applyFill="1" applyBorder="1" applyAlignment="1">
      <alignment horizontal="center"/>
    </xf>
    <xf numFmtId="2" fontId="0" fillId="0" borderId="0" xfId="0" applyNumberFormat="1" applyAlignment="1">
      <alignment horizontal="left" vertical="top"/>
    </xf>
    <xf numFmtId="0" fontId="6" fillId="0" borderId="0" xfId="2" applyFont="1"/>
    <xf numFmtId="0" fontId="10" fillId="0" borderId="0" xfId="2" applyFont="1"/>
    <xf numFmtId="0" fontId="0" fillId="0" borderId="0" xfId="0" applyAlignment="1">
      <alignment horizontal="left" vertical="top"/>
    </xf>
    <xf numFmtId="165" fontId="3" fillId="0" borderId="0" xfId="1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2" fontId="11" fillId="0" borderId="9" xfId="0" applyNumberFormat="1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2" fontId="0" fillId="0" borderId="9" xfId="0" applyNumberForma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 readingOrder="1"/>
    </xf>
    <xf numFmtId="0" fontId="12" fillId="0" borderId="9" xfId="0" applyFont="1" applyBorder="1" applyAlignment="1">
      <alignment horizontal="center" vertical="top" wrapText="1" readingOrder="1"/>
    </xf>
    <xf numFmtId="0" fontId="11" fillId="0" borderId="4" xfId="0" applyFont="1" applyBorder="1" applyAlignment="1">
      <alignment horizontal="center" vertical="top"/>
    </xf>
    <xf numFmtId="2" fontId="11" fillId="0" borderId="5" xfId="0" applyNumberFormat="1" applyFont="1" applyBorder="1" applyAlignment="1">
      <alignment horizontal="center" vertical="top"/>
    </xf>
    <xf numFmtId="2" fontId="0" fillId="0" borderId="5" xfId="0" applyNumberFormat="1" applyBorder="1" applyAlignment="1">
      <alignment horizontal="center" vertical="top"/>
    </xf>
    <xf numFmtId="2" fontId="13" fillId="0" borderId="4" xfId="0" applyNumberFormat="1" applyFont="1" applyBorder="1" applyAlignment="1">
      <alignment horizontal="center" vertical="top"/>
    </xf>
    <xf numFmtId="2" fontId="13" fillId="0" borderId="9" xfId="0" applyNumberFormat="1" applyFont="1" applyBorder="1" applyAlignment="1">
      <alignment horizontal="center" vertical="top"/>
    </xf>
    <xf numFmtId="2" fontId="0" fillId="0" borderId="0" xfId="0" applyNumberFormat="1" applyAlignment="1">
      <alignment horizontal="center" vertical="top"/>
    </xf>
    <xf numFmtId="2" fontId="13" fillId="0" borderId="5" xfId="0" applyNumberFormat="1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2" fontId="11" fillId="0" borderId="4" xfId="0" applyNumberFormat="1" applyFont="1" applyBorder="1" applyAlignment="1">
      <alignment horizontal="center" vertical="top"/>
    </xf>
    <xf numFmtId="2" fontId="0" fillId="0" borderId="4" xfId="0" applyNumberFormat="1" applyBorder="1" applyAlignment="1">
      <alignment horizontal="center" vertical="top"/>
    </xf>
    <xf numFmtId="2" fontId="13" fillId="0" borderId="0" xfId="0" applyNumberFormat="1" applyFont="1" applyAlignment="1">
      <alignment horizontal="center" vertical="top"/>
    </xf>
    <xf numFmtId="2" fontId="11" fillId="0" borderId="0" xfId="0" applyNumberFormat="1" applyFont="1" applyAlignment="1">
      <alignment horizontal="center" vertical="top"/>
    </xf>
    <xf numFmtId="0" fontId="12" fillId="0" borderId="6" xfId="0" applyFont="1" applyBorder="1" applyAlignment="1">
      <alignment horizontal="center" vertical="top" wrapText="1" readingOrder="1"/>
    </xf>
    <xf numFmtId="0" fontId="12" fillId="0" borderId="14" xfId="0" applyFont="1" applyBorder="1" applyAlignment="1">
      <alignment horizontal="center" vertical="top" wrapText="1" readingOrder="1"/>
    </xf>
    <xf numFmtId="0" fontId="0" fillId="0" borderId="6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15" borderId="2" xfId="0" applyFill="1" applyBorder="1" applyAlignment="1">
      <alignment horizontal="right"/>
    </xf>
    <xf numFmtId="0" fontId="0" fillId="15" borderId="12" xfId="0" applyFill="1" applyBorder="1" applyAlignment="1">
      <alignment horizontal="left"/>
    </xf>
    <xf numFmtId="2" fontId="0" fillId="15" borderId="12" xfId="0" applyNumberFormat="1" applyFill="1" applyBorder="1" applyAlignment="1">
      <alignment horizontal="left"/>
    </xf>
    <xf numFmtId="0" fontId="0" fillId="15" borderId="12" xfId="0" applyFill="1" applyBorder="1"/>
    <xf numFmtId="0" fontId="0" fillId="15" borderId="2" xfId="0" applyFill="1" applyBorder="1"/>
    <xf numFmtId="0" fontId="0" fillId="15" borderId="12" xfId="0" applyFill="1" applyBorder="1" applyAlignment="1">
      <alignment horizontal="right"/>
    </xf>
    <xf numFmtId="0" fontId="0" fillId="15" borderId="3" xfId="0" applyFill="1" applyBorder="1"/>
    <xf numFmtId="0" fontId="0" fillId="15" borderId="3" xfId="0" applyFill="1" applyBorder="1" applyAlignment="1">
      <alignment horizontal="left"/>
    </xf>
    <xf numFmtId="0" fontId="0" fillId="15" borderId="4" xfId="0" applyFill="1" applyBorder="1" applyAlignment="1">
      <alignment horizontal="right"/>
    </xf>
    <xf numFmtId="0" fontId="0" fillId="15" borderId="0" xfId="0" applyFill="1" applyAlignment="1">
      <alignment horizontal="left"/>
    </xf>
    <xf numFmtId="0" fontId="0" fillId="15" borderId="0" xfId="0" applyFill="1"/>
    <xf numFmtId="0" fontId="0" fillId="15" borderId="4" xfId="0" applyFill="1" applyBorder="1"/>
    <xf numFmtId="0" fontId="0" fillId="15" borderId="0" xfId="0" applyFill="1" applyAlignment="1">
      <alignment horizontal="right"/>
    </xf>
    <xf numFmtId="0" fontId="0" fillId="15" borderId="5" xfId="0" applyFill="1" applyBorder="1"/>
    <xf numFmtId="0" fontId="0" fillId="15" borderId="5" xfId="0" applyFill="1" applyBorder="1" applyAlignment="1">
      <alignment horizontal="left"/>
    </xf>
    <xf numFmtId="0" fontId="0" fillId="15" borderId="6" xfId="0" applyFill="1" applyBorder="1"/>
    <xf numFmtId="0" fontId="0" fillId="15" borderId="13" xfId="0" applyFill="1" applyBorder="1" applyAlignment="1">
      <alignment horizontal="right"/>
    </xf>
    <xf numFmtId="0" fontId="0" fillId="15" borderId="13" xfId="0" applyFill="1" applyBorder="1"/>
    <xf numFmtId="0" fontId="0" fillId="15" borderId="6" xfId="0" applyFill="1" applyBorder="1" applyAlignment="1">
      <alignment horizontal="right"/>
    </xf>
    <xf numFmtId="0" fontId="0" fillId="15" borderId="13" xfId="0" applyFill="1" applyBorder="1" applyAlignment="1">
      <alignment horizontal="left"/>
    </xf>
    <xf numFmtId="0" fontId="0" fillId="15" borderId="7" xfId="0" applyFill="1" applyBorder="1"/>
    <xf numFmtId="0" fontId="0" fillId="15" borderId="7" xfId="0" applyFill="1" applyBorder="1" applyAlignment="1">
      <alignment horizontal="left"/>
    </xf>
    <xf numFmtId="0" fontId="14" fillId="0" borderId="0" xfId="0" applyFont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4" xfId="0" applyFill="1" applyBorder="1"/>
    <xf numFmtId="165" fontId="0" fillId="0" borderId="0" xfId="0" applyNumberFormat="1"/>
    <xf numFmtId="165" fontId="0" fillId="0" borderId="0" xfId="0" applyNumberFormat="1" applyFill="1"/>
    <xf numFmtId="2" fontId="0" fillId="0" borderId="0" xfId="0" applyNumberFormat="1" applyFill="1"/>
    <xf numFmtId="0" fontId="0" fillId="16" borderId="0" xfId="0" applyFill="1" applyAlignment="1">
      <alignment horizontal="left"/>
    </xf>
    <xf numFmtId="1" fontId="0" fillId="16" borderId="0" xfId="0" applyNumberFormat="1" applyFill="1" applyAlignment="1">
      <alignment horizontal="center"/>
    </xf>
    <xf numFmtId="0" fontId="0" fillId="17" borderId="0" xfId="0" applyFill="1" applyAlignment="1">
      <alignment horizontal="left"/>
    </xf>
    <xf numFmtId="2" fontId="0" fillId="17" borderId="0" xfId="0" applyNumberFormat="1" applyFill="1" applyAlignment="1">
      <alignment horizontal="center"/>
    </xf>
    <xf numFmtId="0" fontId="0" fillId="18" borderId="0" xfId="0" applyFill="1" applyAlignment="1">
      <alignment horizontal="left"/>
    </xf>
    <xf numFmtId="1" fontId="5" fillId="18" borderId="0" xfId="2" applyNumberFormat="1" applyFont="1" applyFill="1" applyAlignment="1">
      <alignment horizontal="center"/>
    </xf>
    <xf numFmtId="0" fontId="0" fillId="19" borderId="0" xfId="0" applyFill="1" applyAlignment="1">
      <alignment horizontal="left"/>
    </xf>
    <xf numFmtId="2" fontId="5" fillId="19" borderId="0" xfId="2" applyNumberFormat="1" applyFont="1" applyFill="1" applyAlignment="1">
      <alignment horizontal="center"/>
    </xf>
    <xf numFmtId="0" fontId="0" fillId="20" borderId="0" xfId="0" applyFill="1" applyAlignment="1">
      <alignment horizontal="left"/>
    </xf>
    <xf numFmtId="2" fontId="0" fillId="20" borderId="0" xfId="0" applyNumberFormat="1" applyFill="1" applyAlignment="1">
      <alignment horizontal="center"/>
    </xf>
    <xf numFmtId="0" fontId="3" fillId="9" borderId="0" xfId="1" applyFont="1" applyFill="1" applyBorder="1" applyAlignment="1">
      <alignment horizontal="center"/>
    </xf>
    <xf numFmtId="165" fontId="3" fillId="17" borderId="0" xfId="1" applyNumberFormat="1" applyFont="1" applyFill="1" applyBorder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left" vertical="top"/>
    </xf>
    <xf numFmtId="0" fontId="0" fillId="9" borderId="0" xfId="0" applyFill="1" applyAlignment="1">
      <alignment horizontal="left" vertical="top"/>
    </xf>
    <xf numFmtId="165" fontId="0" fillId="5" borderId="0" xfId="0" applyNumberFormat="1" applyFill="1" applyAlignment="1">
      <alignment horizontal="left" vertical="top"/>
    </xf>
    <xf numFmtId="0" fontId="0" fillId="17" borderId="0" xfId="0" applyFill="1" applyAlignment="1">
      <alignment horizontal="left" vertical="top"/>
    </xf>
    <xf numFmtId="165" fontId="0" fillId="0" borderId="0" xfId="0" applyNumberFormat="1" applyAlignment="1">
      <alignment horizontal="left" vertical="top"/>
    </xf>
    <xf numFmtId="0" fontId="0" fillId="21" borderId="0" xfId="0" applyFill="1" applyAlignment="1">
      <alignment horizontal="left" vertical="top"/>
    </xf>
    <xf numFmtId="2" fontId="3" fillId="21" borderId="0" xfId="1" applyNumberFormat="1" applyFont="1" applyFill="1" applyAlignment="1">
      <alignment horizontal="center"/>
    </xf>
    <xf numFmtId="165" fontId="0" fillId="6" borderId="0" xfId="0" applyNumberFormat="1" applyFill="1" applyAlignment="1">
      <alignment horizontal="left" vertical="top"/>
    </xf>
    <xf numFmtId="165" fontId="3" fillId="22" borderId="0" xfId="1" applyNumberFormat="1" applyFont="1" applyFill="1" applyAlignment="1">
      <alignment horizontal="center"/>
    </xf>
    <xf numFmtId="0" fontId="0" fillId="23" borderId="0" xfId="0" applyFill="1" applyAlignment="1">
      <alignment horizontal="left" vertical="top"/>
    </xf>
    <xf numFmtId="165" fontId="0" fillId="3" borderId="0" xfId="0" applyNumberFormat="1" applyFill="1" applyAlignment="1">
      <alignment horizontal="left" vertical="top"/>
    </xf>
    <xf numFmtId="2" fontId="0" fillId="3" borderId="0" xfId="0" applyNumberFormat="1" applyFill="1" applyAlignment="1">
      <alignment horizontal="center"/>
    </xf>
    <xf numFmtId="2" fontId="3" fillId="6" borderId="0" xfId="1" applyNumberFormat="1" applyFont="1" applyFill="1" applyAlignment="1">
      <alignment horizontal="center"/>
    </xf>
    <xf numFmtId="2" fontId="0" fillId="18" borderId="0" xfId="0" applyNumberFormat="1" applyFill="1" applyAlignment="1">
      <alignment horizontal="center"/>
    </xf>
    <xf numFmtId="165" fontId="0" fillId="18" borderId="0" xfId="0" applyNumberFormat="1" applyFill="1" applyAlignment="1">
      <alignment horizontal="left" vertical="top"/>
    </xf>
    <xf numFmtId="0" fontId="0" fillId="15" borderId="0" xfId="0" applyFill="1" applyBorder="1" applyAlignment="1">
      <alignment horizontal="right"/>
    </xf>
    <xf numFmtId="0" fontId="0" fillId="15" borderId="0" xfId="0" applyFill="1" applyBorder="1" applyAlignment="1">
      <alignment horizontal="left"/>
    </xf>
    <xf numFmtId="2" fontId="0" fillId="15" borderId="0" xfId="0" applyNumberFormat="1" applyFill="1" applyBorder="1" applyAlignment="1">
      <alignment horizontal="left"/>
    </xf>
    <xf numFmtId="0" fontId="0" fillId="15" borderId="0" xfId="0" applyFill="1" applyBorder="1"/>
    <xf numFmtId="0" fontId="12" fillId="0" borderId="8" xfId="2" applyFont="1" applyBorder="1"/>
    <xf numFmtId="164" fontId="12" fillId="0" borderId="14" xfId="2" applyNumberFormat="1" applyFont="1" applyBorder="1" applyAlignment="1">
      <alignment horizontal="center"/>
    </xf>
    <xf numFmtId="0" fontId="12" fillId="0" borderId="14" xfId="2" applyFont="1" applyBorder="1" applyAlignment="1">
      <alignment horizontal="center"/>
    </xf>
    <xf numFmtId="164" fontId="12" fillId="0" borderId="9" xfId="2" applyNumberFormat="1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164" fontId="12" fillId="0" borderId="8" xfId="2" applyNumberFormat="1" applyFont="1" applyBorder="1" applyAlignment="1">
      <alignment horizontal="center"/>
    </xf>
    <xf numFmtId="0" fontId="16" fillId="0" borderId="8" xfId="2" applyFont="1" applyBorder="1" applyAlignment="1">
      <alignment horizontal="center"/>
    </xf>
    <xf numFmtId="0" fontId="12" fillId="0" borderId="1" xfId="2" applyFont="1" applyBorder="1"/>
    <xf numFmtId="0" fontId="12" fillId="0" borderId="3" xfId="2" applyFont="1" applyBorder="1"/>
    <xf numFmtId="0" fontId="12" fillId="0" borderId="0" xfId="2" applyFont="1"/>
    <xf numFmtId="1" fontId="5" fillId="0" borderId="0" xfId="2" applyNumberFormat="1" applyFont="1" applyFill="1" applyAlignment="1">
      <alignment horizontal="center"/>
    </xf>
    <xf numFmtId="0" fontId="17" fillId="0" borderId="0" xfId="5" applyFill="1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0" fillId="0" borderId="1" xfId="0" applyBorder="1"/>
    <xf numFmtId="0" fontId="18" fillId="0" borderId="0" xfId="0" applyFont="1" applyAlignment="1">
      <alignment horizontal="left"/>
    </xf>
    <xf numFmtId="164" fontId="18" fillId="0" borderId="0" xfId="0" applyNumberFormat="1" applyFont="1"/>
    <xf numFmtId="164" fontId="0" fillId="0" borderId="0" xfId="0" applyNumberFormat="1"/>
    <xf numFmtId="168" fontId="18" fillId="0" borderId="0" xfId="0" applyNumberFormat="1" applyFont="1" applyAlignment="1">
      <alignment horizontal="left"/>
    </xf>
    <xf numFmtId="166" fontId="27" fillId="14" borderId="0" xfId="0" applyNumberFormat="1" applyFont="1" applyFill="1" applyAlignment="1">
      <alignment horizontal="center"/>
    </xf>
    <xf numFmtId="2" fontId="3" fillId="0" borderId="0" xfId="1" applyNumberFormat="1" applyFont="1" applyAlignment="1">
      <alignment horizontal="center"/>
    </xf>
    <xf numFmtId="2" fontId="5" fillId="0" borderId="0" xfId="2" applyNumberFormat="1" applyFont="1"/>
    <xf numFmtId="166" fontId="27" fillId="2" borderId="0" xfId="0" applyNumberFormat="1" applyFont="1" applyFill="1" applyAlignment="1">
      <alignment horizontal="center"/>
    </xf>
    <xf numFmtId="165" fontId="0" fillId="4" borderId="0" xfId="0" applyNumberFormat="1" applyFill="1" applyAlignment="1">
      <alignment horizontal="center"/>
    </xf>
    <xf numFmtId="2" fontId="5" fillId="0" borderId="0" xfId="2" applyNumberFormat="1" applyFont="1" applyAlignment="1">
      <alignment horizontal="center" vertical="top"/>
    </xf>
    <xf numFmtId="0" fontId="3" fillId="0" borderId="11" xfId="1" applyFont="1" applyBorder="1" applyAlignment="1">
      <alignment horizontal="center"/>
    </xf>
    <xf numFmtId="1" fontId="5" fillId="0" borderId="0" xfId="2" applyNumberFormat="1" applyFont="1" applyAlignment="1">
      <alignment horizontal="left" vertical="top"/>
    </xf>
    <xf numFmtId="2" fontId="9" fillId="2" borderId="0" xfId="1" applyNumberFormat="1" applyFont="1" applyFill="1" applyAlignment="1">
      <alignment horizontal="center"/>
    </xf>
    <xf numFmtId="1" fontId="9" fillId="12" borderId="0" xfId="1" applyNumberFormat="1" applyFont="1" applyFill="1" applyAlignment="1">
      <alignment horizontal="center"/>
    </xf>
    <xf numFmtId="165" fontId="9" fillId="12" borderId="0" xfId="1" applyNumberFormat="1" applyFont="1" applyFill="1" applyAlignment="1">
      <alignment horizontal="center"/>
    </xf>
    <xf numFmtId="2" fontId="9" fillId="25" borderId="0" xfId="1" applyNumberFormat="1" applyFont="1" applyFill="1" applyAlignment="1">
      <alignment horizontal="center"/>
    </xf>
    <xf numFmtId="169" fontId="9" fillId="12" borderId="0" xfId="1" applyNumberFormat="1" applyFont="1" applyFill="1" applyAlignment="1">
      <alignment horizontal="center"/>
    </xf>
    <xf numFmtId="2" fontId="3" fillId="4" borderId="0" xfId="1" applyNumberFormat="1" applyFont="1" applyFill="1" applyAlignment="1">
      <alignment horizontal="center"/>
    </xf>
    <xf numFmtId="2" fontId="9" fillId="12" borderId="0" xfId="1" applyNumberFormat="1" applyFont="1" applyFill="1" applyAlignment="1">
      <alignment horizontal="center"/>
    </xf>
    <xf numFmtId="0" fontId="9" fillId="0" borderId="0" xfId="1" applyFont="1" applyAlignment="1">
      <alignment horizontal="center"/>
    </xf>
    <xf numFmtId="2" fontId="9" fillId="14" borderId="0" xfId="1" applyNumberFormat="1" applyFont="1" applyFill="1" applyAlignment="1">
      <alignment horizontal="center"/>
    </xf>
    <xf numFmtId="2" fontId="19" fillId="0" borderId="0" xfId="0" applyNumberFormat="1" applyFont="1" applyAlignment="1">
      <alignment horizontal="center"/>
    </xf>
    <xf numFmtId="164" fontId="24" fillId="2" borderId="0" xfId="0" applyNumberFormat="1" applyFont="1" applyFill="1" applyAlignment="1">
      <alignment horizontal="center"/>
    </xf>
    <xf numFmtId="0" fontId="29" fillId="2" borderId="0" xfId="1" applyFont="1" applyFill="1" applyAlignment="1">
      <alignment horizontal="center"/>
    </xf>
    <xf numFmtId="165" fontId="18" fillId="0" borderId="0" xfId="0" applyNumberFormat="1" applyFont="1"/>
    <xf numFmtId="2" fontId="18" fillId="0" borderId="0" xfId="0" applyNumberFormat="1" applyFont="1" applyAlignment="1">
      <alignment horizontal="left"/>
    </xf>
    <xf numFmtId="166" fontId="0" fillId="0" borderId="0" xfId="0" applyNumberFormat="1" applyAlignment="1">
      <alignment horizontal="center"/>
    </xf>
    <xf numFmtId="166" fontId="5" fillId="0" borderId="0" xfId="2" applyNumberFormat="1" applyFont="1" applyAlignment="1">
      <alignment horizontal="center"/>
    </xf>
    <xf numFmtId="0" fontId="29" fillId="2" borderId="11" xfId="1" applyFont="1" applyFill="1" applyBorder="1" applyAlignment="1">
      <alignment horizontal="center"/>
    </xf>
    <xf numFmtId="165" fontId="2" fillId="0" borderId="0" xfId="2" applyNumberFormat="1"/>
    <xf numFmtId="0" fontId="4" fillId="2" borderId="0" xfId="2" applyFont="1" applyFill="1"/>
    <xf numFmtId="1" fontId="4" fillId="2" borderId="0" xfId="2" applyNumberFormat="1" applyFont="1" applyFill="1" applyAlignment="1">
      <alignment horizontal="center"/>
    </xf>
    <xf numFmtId="1" fontId="2" fillId="0" borderId="0" xfId="2" applyNumberFormat="1" applyAlignment="1">
      <alignment horizontal="center"/>
    </xf>
    <xf numFmtId="1" fontId="28" fillId="2" borderId="0" xfId="0" applyNumberFormat="1" applyFont="1" applyFill="1" applyAlignment="1">
      <alignment horizontal="left"/>
    </xf>
    <xf numFmtId="0" fontId="2" fillId="0" borderId="0" xfId="2" applyAlignment="1">
      <alignment horizontal="left"/>
    </xf>
    <xf numFmtId="164" fontId="2" fillId="0" borderId="0" xfId="2" applyNumberFormat="1"/>
    <xf numFmtId="1" fontId="2" fillId="0" borderId="0" xfId="2" applyNumberFormat="1"/>
    <xf numFmtId="0" fontId="2" fillId="0" borderId="0" xfId="2" applyAlignment="1">
      <alignment horizontal="right"/>
    </xf>
    <xf numFmtId="0" fontId="2" fillId="8" borderId="0" xfId="2" applyFill="1" applyAlignment="1">
      <alignment horizontal="center"/>
    </xf>
    <xf numFmtId="0" fontId="2" fillId="0" borderId="0" xfId="2" applyAlignment="1">
      <alignment horizontal="center"/>
    </xf>
    <xf numFmtId="0" fontId="2" fillId="9" borderId="0" xfId="2" applyFill="1" applyAlignment="1">
      <alignment horizontal="center"/>
    </xf>
    <xf numFmtId="164" fontId="4" fillId="2" borderId="0" xfId="2" applyNumberFormat="1" applyFont="1" applyFill="1" applyAlignment="1">
      <alignment horizontal="left"/>
    </xf>
    <xf numFmtId="0" fontId="4" fillId="2" borderId="0" xfId="2" quotePrefix="1" applyFont="1" applyFill="1"/>
    <xf numFmtId="1" fontId="4" fillId="2" borderId="12" xfId="2" applyNumberFormat="1" applyFont="1" applyFill="1" applyBorder="1" applyAlignment="1">
      <alignment horizontal="center"/>
    </xf>
  </cellXfs>
  <cellStyles count="9">
    <cellStyle name="Hyperlink" xfId="5" builtinId="8"/>
    <cellStyle name="Hyperlink 2" xfId="7" xr:uid="{DF4BE1C7-C298-4FD4-9905-99046DADFCCC}"/>
    <cellStyle name="Neutral 2" xfId="8" xr:uid="{410496D2-8328-4255-A665-D8CEF111D433}"/>
    <cellStyle name="Normal" xfId="0" builtinId="0"/>
    <cellStyle name="Normal 2" xfId="2" xr:uid="{00000000-0005-0000-0000-000001000000}"/>
    <cellStyle name="Normal 2 2" xfId="1" xr:uid="{00000000-0005-0000-0000-000002000000}"/>
    <cellStyle name="Normal 3" xfId="6" xr:uid="{FEFE2A3A-4016-4B9B-887C-D04F3DF9672E}"/>
    <cellStyle name="Normal 3 2" xfId="4" xr:uid="{00000000-0005-0000-0000-000003000000}"/>
    <cellStyle name="Normal 4" xfId="3" xr:uid="{00000000-0005-0000-0000-000004000000}"/>
  </cellStyles>
  <dxfs count="17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'4.OPT.AlphaBeta6ways'!$O$1</c:f>
          <c:strCache>
            <c:ptCount val="1"/>
            <c:pt idx="0">
              <c:v>At vs. Ft=L(t-1)+G(t-1)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'4.OPT.AlphaBeta6ways'!$B$7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'4.OPT.AlphaBeta6ways'!$A$9:$A$58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'4.OPT.AlphaBeta6ways'!$B$9:$B$58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5E-4977-8FB3-4757EAA7EE23}"/>
            </c:ext>
          </c:extLst>
        </c:ser>
        <c:ser>
          <c:idx val="1"/>
          <c:order val="1"/>
          <c:tx>
            <c:strRef>
              <c:f>'4.OPT.AlphaBeta6ways'!$E$7</c:f>
              <c:strCache>
                <c:ptCount val="1"/>
                <c:pt idx="0">
                  <c:v>Ft=L(t-1)+G(t-1)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'4.OPT.AlphaBeta6ways'!$A$9:$A$58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'4.OPT.AlphaBeta6ways'!$E$9:$E$58</c:f>
              <c:numCache>
                <c:formatCode>0.0</c:formatCode>
                <c:ptCount val="50"/>
                <c:pt idx="0">
                  <c:v>2.0612244897959182</c:v>
                </c:pt>
                <c:pt idx="1">
                  <c:v>2.1209803287967421</c:v>
                </c:pt>
                <c:pt idx="2">
                  <c:v>2.1793027469433843</c:v>
                </c:pt>
                <c:pt idx="3">
                  <c:v>2.212238166095696</c:v>
                </c:pt>
                <c:pt idx="4">
                  <c:v>2.2203955686458929</c:v>
                </c:pt>
                <c:pt idx="5">
                  <c:v>2.2763332176987356</c:v>
                </c:pt>
                <c:pt idx="6">
                  <c:v>2.3069410735100009</c:v>
                </c:pt>
                <c:pt idx="7">
                  <c:v>2.3128267462224255</c:v>
                </c:pt>
                <c:pt idx="8">
                  <c:v>2.3665471596087597</c:v>
                </c:pt>
                <c:pt idx="9">
                  <c:v>2.4189789297071607</c:v>
                </c:pt>
                <c:pt idx="10">
                  <c:v>2.4941409314316654</c:v>
                </c:pt>
                <c:pt idx="11">
                  <c:v>2.5195240238677217</c:v>
                </c:pt>
                <c:pt idx="12">
                  <c:v>2.5922741535950244</c:v>
                </c:pt>
                <c:pt idx="13">
                  <c:v>2.6632791559031621</c:v>
                </c:pt>
                <c:pt idx="14">
                  <c:v>2.70859292985753</c:v>
                </c:pt>
                <c:pt idx="15">
                  <c:v>2.7288317556929567</c:v>
                </c:pt>
                <c:pt idx="16">
                  <c:v>2.8685249082560675</c:v>
                </c:pt>
                <c:pt idx="17">
                  <c:v>2.9089152546998487</c:v>
                </c:pt>
                <c:pt idx="18">
                  <c:v>2.9243487560215793</c:v>
                </c:pt>
                <c:pt idx="19">
                  <c:v>2.9634000020713951</c:v>
                </c:pt>
                <c:pt idx="20">
                  <c:v>3.0015144882763893</c:v>
                </c:pt>
                <c:pt idx="21">
                  <c:v>3.0627026485835902</c:v>
                </c:pt>
                <c:pt idx="22">
                  <c:v>3.1464109925526702</c:v>
                </c:pt>
                <c:pt idx="23">
                  <c:v>3.2281113438649549</c:v>
                </c:pt>
                <c:pt idx="24">
                  <c:v>3.3318398331605161</c:v>
                </c:pt>
                <c:pt idx="25">
                  <c:v>3.4090921243076622</c:v>
                </c:pt>
                <c:pt idx="26">
                  <c:v>3.4365153643810591</c:v>
                </c:pt>
                <c:pt idx="27">
                  <c:v>3.4392928138000611</c:v>
                </c:pt>
                <c:pt idx="28">
                  <c:v>3.5139675268248323</c:v>
                </c:pt>
                <c:pt idx="29">
                  <c:v>3.5628629826109917</c:v>
                </c:pt>
                <c:pt idx="30">
                  <c:v>3.6345734990000853</c:v>
                </c:pt>
                <c:pt idx="31">
                  <c:v>3.6805758631897483</c:v>
                </c:pt>
                <c:pt idx="32">
                  <c:v>3.6774987983968499</c:v>
                </c:pt>
                <c:pt idx="33">
                  <c:v>3.7704473980664832</c:v>
                </c:pt>
                <c:pt idx="34">
                  <c:v>3.7892024612079616</c:v>
                </c:pt>
                <c:pt idx="35">
                  <c:v>3.7595317026159054</c:v>
                </c:pt>
                <c:pt idx="36">
                  <c:v>3.8984884259885395</c:v>
                </c:pt>
                <c:pt idx="37">
                  <c:v>3.9381600086780075</c:v>
                </c:pt>
                <c:pt idx="38">
                  <c:v>4.0248558768833886</c:v>
                </c:pt>
                <c:pt idx="39">
                  <c:v>4.1094720878111737</c:v>
                </c:pt>
                <c:pt idx="40">
                  <c:v>4.2160464911897044</c:v>
                </c:pt>
                <c:pt idx="41">
                  <c:v>4.2241125397785053</c:v>
                </c:pt>
                <c:pt idx="42">
                  <c:v>4.2559730632788533</c:v>
                </c:pt>
                <c:pt idx="43">
                  <c:v>4.3110572807072876</c:v>
                </c:pt>
                <c:pt idx="44">
                  <c:v>4.3168442139938188</c:v>
                </c:pt>
                <c:pt idx="45">
                  <c:v>4.3464802935254099</c:v>
                </c:pt>
                <c:pt idx="46">
                  <c:v>4.3754054638781312</c:v>
                </c:pt>
                <c:pt idx="47">
                  <c:v>4.4756006672746818</c:v>
                </c:pt>
                <c:pt idx="48">
                  <c:v>4.6933322067734418</c:v>
                </c:pt>
                <c:pt idx="49">
                  <c:v>4.7619130322424441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5E-4977-8FB3-4757EAA7E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'1.ES-Simp'!$M$1</c:f>
          <c:strCache>
            <c:ptCount val="1"/>
            <c:pt idx="0">
              <c:v>Expo.Smoo: Alpha = 0.5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'1.ES-Simp'!$B$2</c:f>
              <c:strCache>
                <c:ptCount val="1"/>
                <c:pt idx="0">
                  <c:v>At (Data)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'1.ES-Simp'!$A$3:$A$30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'1.ES-Simp'!$B$3:$B$30</c:f>
              <c:numCache>
                <c:formatCode>General</c:formatCode>
                <c:ptCount val="28"/>
                <c:pt idx="0">
                  <c:v>50</c:v>
                </c:pt>
                <c:pt idx="1">
                  <c:v>63</c:v>
                </c:pt>
                <c:pt idx="2">
                  <c:v>50</c:v>
                </c:pt>
                <c:pt idx="3">
                  <c:v>44</c:v>
                </c:pt>
                <c:pt idx="4">
                  <c:v>49</c:v>
                </c:pt>
                <c:pt idx="5">
                  <c:v>48</c:v>
                </c:pt>
                <c:pt idx="6">
                  <c:v>42</c:v>
                </c:pt>
                <c:pt idx="7">
                  <c:v>49</c:v>
                </c:pt>
                <c:pt idx="8">
                  <c:v>50</c:v>
                </c:pt>
                <c:pt idx="9">
                  <c:v>48</c:v>
                </c:pt>
                <c:pt idx="10">
                  <c:v>44</c:v>
                </c:pt>
                <c:pt idx="11">
                  <c:v>66</c:v>
                </c:pt>
                <c:pt idx="12">
                  <c:v>30</c:v>
                </c:pt>
                <c:pt idx="13">
                  <c:v>59</c:v>
                </c:pt>
                <c:pt idx="14">
                  <c:v>49</c:v>
                </c:pt>
                <c:pt idx="15">
                  <c:v>37</c:v>
                </c:pt>
                <c:pt idx="16">
                  <c:v>58</c:v>
                </c:pt>
                <c:pt idx="17">
                  <c:v>49</c:v>
                </c:pt>
                <c:pt idx="18">
                  <c:v>23</c:v>
                </c:pt>
                <c:pt idx="19">
                  <c:v>27</c:v>
                </c:pt>
                <c:pt idx="20">
                  <c:v>23</c:v>
                </c:pt>
                <c:pt idx="21">
                  <c:v>39</c:v>
                </c:pt>
                <c:pt idx="22">
                  <c:v>35</c:v>
                </c:pt>
                <c:pt idx="23">
                  <c:v>27</c:v>
                </c:pt>
                <c:pt idx="24">
                  <c:v>71</c:v>
                </c:pt>
                <c:pt idx="25">
                  <c:v>61</c:v>
                </c:pt>
                <c:pt idx="26">
                  <c:v>47</c:v>
                </c:pt>
                <c:pt idx="27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17-4C8F-BC05-BEEC7CC4097D}"/>
            </c:ext>
          </c:extLst>
        </c:ser>
        <c:ser>
          <c:idx val="0"/>
          <c:order val="1"/>
          <c:tx>
            <c:strRef>
              <c:f>'1.ES-Simp'!$C$2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'1.ES-Simp'!$A$3:$A$31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'1.ES-Simp'!$C$3:$C$31</c:f>
              <c:numCache>
                <c:formatCode>0.00</c:formatCode>
                <c:ptCount val="29"/>
                <c:pt idx="0" formatCode="General">
                  <c:v>50</c:v>
                </c:pt>
                <c:pt idx="1">
                  <c:v>50</c:v>
                </c:pt>
                <c:pt idx="2">
                  <c:v>56.5</c:v>
                </c:pt>
                <c:pt idx="3">
                  <c:v>53.25</c:v>
                </c:pt>
                <c:pt idx="4">
                  <c:v>48.625</c:v>
                </c:pt>
                <c:pt idx="5">
                  <c:v>48.8125</c:v>
                </c:pt>
                <c:pt idx="6">
                  <c:v>48.40625</c:v>
                </c:pt>
                <c:pt idx="7">
                  <c:v>45.203125</c:v>
                </c:pt>
                <c:pt idx="8">
                  <c:v>47.1015625</c:v>
                </c:pt>
                <c:pt idx="9">
                  <c:v>48.55078125</c:v>
                </c:pt>
                <c:pt idx="10">
                  <c:v>48.275390625</c:v>
                </c:pt>
                <c:pt idx="11">
                  <c:v>46.1376953125</c:v>
                </c:pt>
                <c:pt idx="12">
                  <c:v>56.06884765625</c:v>
                </c:pt>
                <c:pt idx="13">
                  <c:v>43.034423828125</c:v>
                </c:pt>
                <c:pt idx="14">
                  <c:v>51.0172119140625</c:v>
                </c:pt>
                <c:pt idx="15">
                  <c:v>50.00860595703125</c:v>
                </c:pt>
                <c:pt idx="16">
                  <c:v>43.504302978515625</c:v>
                </c:pt>
                <c:pt idx="17">
                  <c:v>50.752151489257813</c:v>
                </c:pt>
                <c:pt idx="18">
                  <c:v>49.876075744628906</c:v>
                </c:pt>
                <c:pt idx="19">
                  <c:v>36.438037872314453</c:v>
                </c:pt>
                <c:pt idx="20">
                  <c:v>31.719018936157227</c:v>
                </c:pt>
                <c:pt idx="21">
                  <c:v>27.359509468078613</c:v>
                </c:pt>
                <c:pt idx="22">
                  <c:v>33.179754734039307</c:v>
                </c:pt>
                <c:pt idx="23">
                  <c:v>34.089877367019653</c:v>
                </c:pt>
                <c:pt idx="24">
                  <c:v>30.544938683509827</c:v>
                </c:pt>
                <c:pt idx="25">
                  <c:v>50.772469341754913</c:v>
                </c:pt>
                <c:pt idx="26">
                  <c:v>55.886234670877457</c:v>
                </c:pt>
                <c:pt idx="27">
                  <c:v>51.443117335438728</c:v>
                </c:pt>
                <c:pt idx="28">
                  <c:v>43.721558667719364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17-4C8F-BC05-BEEC7CC40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'2.ES.Simp.Trend'!$O$1</c:f>
          <c:strCache>
            <c:ptCount val="1"/>
            <c:pt idx="0">
              <c:v>Simple ES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'2.ES.Simp.Trend'!$B$2</c:f>
              <c:strCache>
                <c:ptCount val="1"/>
                <c:pt idx="0">
                  <c:v>At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'2.ES.Simp.Trend'!$A$3:$A$30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'2.ES.Simp.Trend'!$B$3:$B$30</c:f>
              <c:numCache>
                <c:formatCode>General</c:formatCode>
                <c:ptCount val="28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30</c:v>
                </c:pt>
                <c:pt idx="5">
                  <c:v>35</c:v>
                </c:pt>
                <c:pt idx="6">
                  <c:v>35</c:v>
                </c:pt>
                <c:pt idx="7">
                  <c:v>36</c:v>
                </c:pt>
                <c:pt idx="8">
                  <c:v>36</c:v>
                </c:pt>
                <c:pt idx="9">
                  <c:v>37</c:v>
                </c:pt>
                <c:pt idx="10">
                  <c:v>39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50</c:v>
                </c:pt>
                <c:pt idx="19">
                  <c:v>55</c:v>
                </c:pt>
                <c:pt idx="20">
                  <c:v>55</c:v>
                </c:pt>
                <c:pt idx="21">
                  <c:v>58</c:v>
                </c:pt>
                <c:pt idx="22">
                  <c:v>62</c:v>
                </c:pt>
                <c:pt idx="23">
                  <c:v>63</c:v>
                </c:pt>
                <c:pt idx="24">
                  <c:v>67</c:v>
                </c:pt>
                <c:pt idx="25">
                  <c:v>72</c:v>
                </c:pt>
                <c:pt idx="26">
                  <c:v>79</c:v>
                </c:pt>
                <c:pt idx="27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00-4859-AB0C-DF940A9DEF4B}"/>
            </c:ext>
          </c:extLst>
        </c:ser>
        <c:ser>
          <c:idx val="0"/>
          <c:order val="1"/>
          <c:tx>
            <c:strRef>
              <c:f>'2.ES.Simp.Trend'!$C$2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'2.ES.Simp.Trend'!$A$3:$A$34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'2.ES.Simp.Trend'!$C$3:$C$34</c:f>
              <c:numCache>
                <c:formatCode>0.00</c:formatCode>
                <c:ptCount val="32"/>
                <c:pt idx="0" formatCode="General">
                  <c:v>19</c:v>
                </c:pt>
                <c:pt idx="1">
                  <c:v>19</c:v>
                </c:pt>
                <c:pt idx="2">
                  <c:v>20</c:v>
                </c:pt>
                <c:pt idx="3">
                  <c:v>22.5</c:v>
                </c:pt>
                <c:pt idx="4">
                  <c:v>25.75</c:v>
                </c:pt>
                <c:pt idx="5">
                  <c:v>27.875</c:v>
                </c:pt>
                <c:pt idx="6">
                  <c:v>31.4375</c:v>
                </c:pt>
                <c:pt idx="7">
                  <c:v>33.21875</c:v>
                </c:pt>
                <c:pt idx="8">
                  <c:v>34.609375</c:v>
                </c:pt>
                <c:pt idx="9">
                  <c:v>35.3046875</c:v>
                </c:pt>
                <c:pt idx="10">
                  <c:v>36.15234375</c:v>
                </c:pt>
                <c:pt idx="11">
                  <c:v>37.576171875</c:v>
                </c:pt>
                <c:pt idx="12">
                  <c:v>39.2880859375</c:v>
                </c:pt>
                <c:pt idx="13">
                  <c:v>40.64404296875</c:v>
                </c:pt>
                <c:pt idx="14">
                  <c:v>41.822021484375</c:v>
                </c:pt>
                <c:pt idx="15">
                  <c:v>43.4110107421875</c:v>
                </c:pt>
                <c:pt idx="16">
                  <c:v>45.70550537109375</c:v>
                </c:pt>
                <c:pt idx="17">
                  <c:v>47.352752685546875</c:v>
                </c:pt>
                <c:pt idx="18">
                  <c:v>48.676376342773438</c:v>
                </c:pt>
                <c:pt idx="19">
                  <c:v>49.338188171386719</c:v>
                </c:pt>
                <c:pt idx="20">
                  <c:v>52.169094085693359</c:v>
                </c:pt>
                <c:pt idx="21">
                  <c:v>53.58454704284668</c:v>
                </c:pt>
                <c:pt idx="22">
                  <c:v>55.79227352142334</c:v>
                </c:pt>
                <c:pt idx="23">
                  <c:v>58.89613676071167</c:v>
                </c:pt>
                <c:pt idx="24">
                  <c:v>60.948068380355835</c:v>
                </c:pt>
                <c:pt idx="25">
                  <c:v>63.974034190177917</c:v>
                </c:pt>
                <c:pt idx="26">
                  <c:v>67.987017095088959</c:v>
                </c:pt>
                <c:pt idx="27">
                  <c:v>73.493508547544479</c:v>
                </c:pt>
                <c:pt idx="28">
                  <c:v>79.74675427377224</c:v>
                </c:pt>
                <c:pt idx="29">
                  <c:v>79.74675427377224</c:v>
                </c:pt>
                <c:pt idx="30">
                  <c:v>79.74675427377224</c:v>
                </c:pt>
                <c:pt idx="31">
                  <c:v>79.74675427377224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00-4859-AB0C-DF940A9DE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'2.ES.Simp.Trend'!$L$2</c:f>
          <c:strCache>
            <c:ptCount val="1"/>
            <c:pt idx="0">
              <c:v>TS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'2.ES.Simp.Trend'!$L$2</c:f>
              <c:strCache>
                <c:ptCount val="1"/>
                <c:pt idx="0">
                  <c:v>TS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'2.ES.Simp.Trend'!$A$3:$A$30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'2.ES.Simp.Trend'!$L$3:$L$30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B4-45F4-B332-494D8ED15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'2.ExpoSmoo'!$C$3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'2.ExpoSmoo'!$B$7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'2.ExpoSmoo'!$A$8:$A$57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'2.ExpoSmoo'!$B$8:$B$57</c:f>
              <c:numCache>
                <c:formatCode>General</c:formatCode>
                <c:ptCount val="50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  <c:pt idx="23">
                  <c:v>63</c:v>
                </c:pt>
                <c:pt idx="24">
                  <c:v>70</c:v>
                </c:pt>
                <c:pt idx="25">
                  <c:v>70</c:v>
                </c:pt>
                <c:pt idx="26">
                  <c:v>82</c:v>
                </c:pt>
                <c:pt idx="27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99-4A4D-AD46-CBFA3759808D}"/>
            </c:ext>
          </c:extLst>
        </c:ser>
        <c:ser>
          <c:idx val="1"/>
          <c:order val="1"/>
          <c:tx>
            <c:strRef>
              <c:f>'2.ExpoSmoo'!$C$7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'2.ExpoSmoo'!$A$8:$A$37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'2.ExpoSmoo'!$C$8:$C$37</c:f>
              <c:numCache>
                <c:formatCode>0.0</c:formatCode>
                <c:ptCount val="30"/>
                <c:pt idx="0">
                  <c:v>21</c:v>
                </c:pt>
                <c:pt idx="1">
                  <c:v>21</c:v>
                </c:pt>
                <c:pt idx="2">
                  <c:v>28</c:v>
                </c:pt>
                <c:pt idx="3">
                  <c:v>32</c:v>
                </c:pt>
                <c:pt idx="4">
                  <c:v>34</c:v>
                </c:pt>
                <c:pt idx="5">
                  <c:v>36</c:v>
                </c:pt>
                <c:pt idx="6">
                  <c:v>37</c:v>
                </c:pt>
                <c:pt idx="7">
                  <c:v>39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41</c:v>
                </c:pt>
                <c:pt idx="12">
                  <c:v>43</c:v>
                </c:pt>
                <c:pt idx="13">
                  <c:v>44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48</c:v>
                </c:pt>
                <c:pt idx="18">
                  <c:v>50</c:v>
                </c:pt>
                <c:pt idx="19">
                  <c:v>54</c:v>
                </c:pt>
                <c:pt idx="20">
                  <c:v>54</c:v>
                </c:pt>
                <c:pt idx="21">
                  <c:v>55</c:v>
                </c:pt>
                <c:pt idx="22">
                  <c:v>58</c:v>
                </c:pt>
                <c:pt idx="23">
                  <c:v>60</c:v>
                </c:pt>
                <c:pt idx="24">
                  <c:v>63</c:v>
                </c:pt>
                <c:pt idx="25">
                  <c:v>70</c:v>
                </c:pt>
                <c:pt idx="26">
                  <c:v>70</c:v>
                </c:pt>
                <c:pt idx="27">
                  <c:v>82</c:v>
                </c:pt>
                <c:pt idx="28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99-4A4D-AD46-CBFA37598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'2.ExpoSmoo'!$L$7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'2.ExpoSmoo'!$A$8:$A$35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'2.ExpoSmoo'!$L$8:$L$35</c:f>
              <c:numCache>
                <c:formatCode>0.0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6.9999999999999991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27.000000000000004</c:v>
                </c:pt>
                <c:pt idx="27">
                  <c:v>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C7-4CDB-A9D9-2751A6721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'2.ExpoSmoo'!$Q$1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'2.ExpoSmoo'!$O$2:$O$3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'2.ExpoSmoo'!$Q$2:$Q$3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C7-4CDB-A9D9-2751A6721491}"/>
            </c:ext>
          </c:extLst>
        </c:ser>
        <c:ser>
          <c:idx val="2"/>
          <c:order val="2"/>
          <c:tx>
            <c:strRef>
              <c:f>'2.ExpoSmoo'!$R$1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'2.ExpoSmoo'!$O$2:$O$3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'2.ExpoSmoo'!$R$2:$R$3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AC7-4CDB-A9D9-2751A6721491}"/>
            </c:ext>
          </c:extLst>
        </c:ser>
        <c:ser>
          <c:idx val="3"/>
          <c:order val="3"/>
          <c:tx>
            <c:strRef>
              <c:f>'2.ExpoSmoo'!$P$1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'2.ExpoSmoo'!$O$2:$O$3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'2.ExpoSmoo'!$P$2:$P$3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AC7-4CDB-A9D9-2751A6721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'2.ExpoSmoo'!$D$7</c:f>
          <c:strCache>
            <c:ptCount val="1"/>
            <c:pt idx="0">
              <c:v>E=At-Ft</c:v>
            </c:pt>
          </c:strCache>
        </c:strRef>
      </c:tx>
      <c:layout>
        <c:manualLayout>
          <c:xMode val="edge"/>
          <c:yMode val="edge"/>
          <c:x val="0.84673580153790984"/>
          <c:y val="0.153167576154660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'2.ExpoSmoo'!$D$7</c:f>
              <c:strCache>
                <c:ptCount val="1"/>
                <c:pt idx="0">
                  <c:v>E=At-Ft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'2.ExpoSmoo'!$A$8:$A$35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'2.ExpoSmoo'!$D$8:$D$35</c:f>
              <c:numCache>
                <c:formatCode>0.0</c:formatCode>
                <c:ptCount val="28"/>
                <c:pt idx="0">
                  <c:v>0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7</c:v>
                </c:pt>
                <c:pt idx="25">
                  <c:v>0</c:v>
                </c:pt>
                <c:pt idx="26">
                  <c:v>12</c:v>
                </c:pt>
                <c:pt idx="27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4F-4FDD-BCA0-78EDD781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'2.ExpoSmoo'!$Q$1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'2.ExpoSmoo'!$O$2:$O$3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'2.ExpoSmoo'!$Q$2:$Q$3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4F-4FDD-BCA0-78EDD78133A9}"/>
            </c:ext>
          </c:extLst>
        </c:ser>
        <c:ser>
          <c:idx val="2"/>
          <c:order val="2"/>
          <c:tx>
            <c:strRef>
              <c:f>'2.ExpoSmoo'!$R$1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'2.ExpoSmoo'!$O$2:$O$3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'2.ExpoSmoo'!$R$2:$R$3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64F-4FDD-BCA0-78EDD78133A9}"/>
            </c:ext>
          </c:extLst>
        </c:ser>
        <c:ser>
          <c:idx val="3"/>
          <c:order val="3"/>
          <c:tx>
            <c:strRef>
              <c:f>'2.ExpoSmoo'!$P$1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'2.ExpoSmoo'!$O$2:$O$3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'2.ExpoSmoo'!$P$2:$P$3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64F-4FDD-BCA0-78EDD781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'3.TrendAdj'!$R$1</c:f>
          <c:strCache>
            <c:ptCount val="1"/>
            <c:pt idx="0">
              <c:v>TrenAdjES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'3.TrendAdj'!$B$1</c:f>
              <c:strCache>
                <c:ptCount val="1"/>
                <c:pt idx="0">
                  <c:v>At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'3.TrendAdj'!$A$3:$A$30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'3.TrendAdj'!$B$3:$B$30</c:f>
              <c:numCache>
                <c:formatCode>General</c:formatCode>
                <c:ptCount val="28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30</c:v>
                </c:pt>
                <c:pt idx="5">
                  <c:v>35</c:v>
                </c:pt>
                <c:pt idx="6">
                  <c:v>35</c:v>
                </c:pt>
                <c:pt idx="7">
                  <c:v>36</c:v>
                </c:pt>
                <c:pt idx="8">
                  <c:v>36</c:v>
                </c:pt>
                <c:pt idx="9">
                  <c:v>37</c:v>
                </c:pt>
                <c:pt idx="10">
                  <c:v>39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50</c:v>
                </c:pt>
                <c:pt idx="19">
                  <c:v>55</c:v>
                </c:pt>
                <c:pt idx="20">
                  <c:v>55</c:v>
                </c:pt>
                <c:pt idx="21">
                  <c:v>58</c:v>
                </c:pt>
                <c:pt idx="22">
                  <c:v>62</c:v>
                </c:pt>
                <c:pt idx="23">
                  <c:v>63</c:v>
                </c:pt>
                <c:pt idx="24">
                  <c:v>67</c:v>
                </c:pt>
                <c:pt idx="25">
                  <c:v>72</c:v>
                </c:pt>
                <c:pt idx="26">
                  <c:v>79</c:v>
                </c:pt>
                <c:pt idx="27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24-4158-8040-0B64F0BCD867}"/>
            </c:ext>
          </c:extLst>
        </c:ser>
        <c:ser>
          <c:idx val="0"/>
          <c:order val="1"/>
          <c:tx>
            <c:strRef>
              <c:f>'3.TrendAdj'!$E$1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'3.TrendAdj'!$A$3:$A$34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</c:numCache>
            </c:numRef>
          </c:xVal>
          <c:yVal>
            <c:numRef>
              <c:f>'3.TrendAdj'!$E$3:$E$34</c:f>
              <c:numCache>
                <c:formatCode>0.00</c:formatCode>
                <c:ptCount val="32"/>
                <c:pt idx="0">
                  <c:v>21.481481481481481</c:v>
                </c:pt>
                <c:pt idx="1">
                  <c:v>22.35</c:v>
                </c:pt>
                <c:pt idx="2">
                  <c:v>23.581759259259261</c:v>
                </c:pt>
                <c:pt idx="3">
                  <c:v>26.410374999999998</c:v>
                </c:pt>
                <c:pt idx="4">
                  <c:v>30.213126620370371</c:v>
                </c:pt>
                <c:pt idx="5">
                  <c:v>32.582533437500004</c:v>
                </c:pt>
                <c:pt idx="6">
                  <c:v>36.62985683043982</c:v>
                </c:pt>
                <c:pt idx="7">
                  <c:v>38.409040002343751</c:v>
                </c:pt>
                <c:pt idx="8">
                  <c:v>39.43727558794415</c:v>
                </c:pt>
                <c:pt idx="9">
                  <c:v>39.435802042552737</c:v>
                </c:pt>
                <c:pt idx="10">
                  <c:v>39.569694963474113</c:v>
                </c:pt>
                <c:pt idx="11">
                  <c:v>40.551187179413688</c:v>
                </c:pt>
                <c:pt idx="12">
                  <c:v>42.109255210471417</c:v>
                </c:pt>
                <c:pt idx="13">
                  <c:v>43.371900944429569</c:v>
                </c:pt>
                <c:pt idx="14">
                  <c:v>44.447438669744209</c:v>
                </c:pt>
                <c:pt idx="15">
                  <c:v>46.068091731939894</c:v>
                </c:pt>
                <c:pt idx="16">
                  <c:v>48.668204503246749</c:v>
                </c:pt>
                <c:pt idx="17">
                  <c:v>50.518030213413176</c:v>
                </c:pt>
                <c:pt idx="18">
                  <c:v>51.865238536484405</c:v>
                </c:pt>
                <c:pt idx="19">
                  <c:v>52.259056917547369</c:v>
                </c:pt>
                <c:pt idx="20">
                  <c:v>55.367107570446741</c:v>
                </c:pt>
                <c:pt idx="21">
                  <c:v>56.866066761329414</c:v>
                </c:pt>
                <c:pt idx="22">
                  <c:v>59.285636342571344</c:v>
                </c:pt>
                <c:pt idx="23">
                  <c:v>62.902575681806596</c:v>
                </c:pt>
                <c:pt idx="24">
                  <c:v>65.225658999153239</c:v>
                </c:pt>
                <c:pt idx="25">
                  <c:v>68.65335180795357</c:v>
                </c:pt>
                <c:pt idx="26">
                  <c:v>73.369195441160713</c:v>
                </c:pt>
                <c:pt idx="27">
                  <c:v>80.071737941590172</c:v>
                </c:pt>
                <c:pt idx="28">
                  <c:v>87.812248500566383</c:v>
                </c:pt>
                <c:pt idx="29">
                  <c:v>92.588628030337674</c:v>
                </c:pt>
                <c:pt idx="30">
                  <c:v>97.365007560108964</c:v>
                </c:pt>
                <c:pt idx="31">
                  <c:v>102.14138708988025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24-4158-8040-0B64F0BCD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3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'3b.ESLag'!$B$2</c:f>
              <c:strCache>
                <c:ptCount val="1"/>
                <c:pt idx="0">
                  <c:v>Demand</c:v>
                </c:pt>
              </c:strCache>
            </c:strRef>
          </c:tx>
          <c:xVal>
            <c:numRef>
              <c:f>'3b.ESLag'!$A$4:$A$14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xVal>
          <c:yVal>
            <c:numRef>
              <c:f>'3b.ESLag'!$B$4:$B$14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8D-40EA-A33C-89FE06E6C8CB}"/>
            </c:ext>
          </c:extLst>
        </c:ser>
        <c:ser>
          <c:idx val="1"/>
          <c:order val="1"/>
          <c:tx>
            <c:strRef>
              <c:f>'3b.ESLag'!$C$15</c:f>
              <c:strCache>
                <c:ptCount val="1"/>
                <c:pt idx="0">
                  <c:v>α=0.2</c:v>
                </c:pt>
              </c:strCache>
            </c:strRef>
          </c:tx>
          <c:xVal>
            <c:numRef>
              <c:f>'3b.ESLag'!$A$4:$A$14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xVal>
          <c:yVal>
            <c:numRef>
              <c:f>'3b.ESLag'!$C$4:$C$14</c:f>
              <c:numCache>
                <c:formatCode>0.0</c:formatCode>
                <c:ptCount val="11"/>
                <c:pt idx="0">
                  <c:v>1</c:v>
                </c:pt>
                <c:pt idx="1">
                  <c:v>1.2000000000000002</c:v>
                </c:pt>
                <c:pt idx="2">
                  <c:v>1.5600000000000003</c:v>
                </c:pt>
                <c:pt idx="3">
                  <c:v>2.048</c:v>
                </c:pt>
                <c:pt idx="4">
                  <c:v>2.6383999999999999</c:v>
                </c:pt>
                <c:pt idx="5">
                  <c:v>3.3107200000000003</c:v>
                </c:pt>
                <c:pt idx="6">
                  <c:v>4.0485760000000006</c:v>
                </c:pt>
                <c:pt idx="7">
                  <c:v>4.8388608000000009</c:v>
                </c:pt>
                <c:pt idx="8">
                  <c:v>5.6710886400000007</c:v>
                </c:pt>
                <c:pt idx="9">
                  <c:v>6.5368709120000004</c:v>
                </c:pt>
                <c:pt idx="10">
                  <c:v>7.4294967296000012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8D-40EA-A33C-89FE06E6C8CB}"/>
            </c:ext>
          </c:extLst>
        </c:ser>
        <c:ser>
          <c:idx val="2"/>
          <c:order val="2"/>
          <c:tx>
            <c:strRef>
              <c:f>'3b.ESLag'!$D$15</c:f>
              <c:strCache>
                <c:ptCount val="1"/>
                <c:pt idx="0">
                  <c:v>α=0.5</c:v>
                </c:pt>
              </c:strCache>
            </c:strRef>
          </c:tx>
          <c:xVal>
            <c:numRef>
              <c:f>'3b.ESLag'!$A$4:$A$14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xVal>
          <c:yVal>
            <c:numRef>
              <c:f>'3b.ESLag'!$D$4:$D$14</c:f>
              <c:numCache>
                <c:formatCode>0.0</c:formatCode>
                <c:ptCount val="11"/>
                <c:pt idx="0">
                  <c:v>1</c:v>
                </c:pt>
                <c:pt idx="1">
                  <c:v>1.5</c:v>
                </c:pt>
                <c:pt idx="2">
                  <c:v>2.1</c:v>
                </c:pt>
                <c:pt idx="3">
                  <c:v>2.7800000000000002</c:v>
                </c:pt>
                <c:pt idx="4">
                  <c:v>3.524</c:v>
                </c:pt>
                <c:pt idx="5">
                  <c:v>4.3192000000000004</c:v>
                </c:pt>
                <c:pt idx="6">
                  <c:v>5.1553599999999999</c:v>
                </c:pt>
                <c:pt idx="7">
                  <c:v>6.0242880000000003</c:v>
                </c:pt>
                <c:pt idx="8">
                  <c:v>6.9194304000000004</c:v>
                </c:pt>
                <c:pt idx="9">
                  <c:v>7.8355443200000003</c:v>
                </c:pt>
                <c:pt idx="10">
                  <c:v>8.7684354560000006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8D-40EA-A33C-89FE06E6C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415680"/>
        <c:axId val="159429760"/>
      </c:scatterChart>
      <c:valAx>
        <c:axId val="159415680"/>
        <c:scaling>
          <c:orientation val="minMax"/>
          <c:max val="12"/>
          <c:min val="2"/>
        </c:scaling>
        <c:delete val="0"/>
        <c:axPos val="b"/>
        <c:numFmt formatCode="General" sourceLinked="1"/>
        <c:majorTickMark val="out"/>
        <c:minorTickMark val="none"/>
        <c:tickLblPos val="nextTo"/>
        <c:crossAx val="159429760"/>
        <c:crosses val="autoZero"/>
        <c:crossBetween val="midCat"/>
      </c:valAx>
      <c:valAx>
        <c:axId val="159429760"/>
        <c:scaling>
          <c:orientation val="minMax"/>
          <c:max val="12"/>
          <c:min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4156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'3.TrenAdExpoSmoo'!$C$3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'3.TrenAdExpoSmoo'!$B$7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'3.TrenAdExpoSmoo'!$A$9:$A$31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'3.TrenAdExpoSmoo'!$B$9:$B$31</c:f>
              <c:numCache>
                <c:formatCode>General</c:formatCode>
                <c:ptCount val="23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BB-4329-ADC8-1208E515C84B}"/>
            </c:ext>
          </c:extLst>
        </c:ser>
        <c:ser>
          <c:idx val="1"/>
          <c:order val="1"/>
          <c:tx>
            <c:strRef>
              <c:f>'3.TrenAdExpoSmoo'!$E$7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'3.TrenAdExpoSmoo'!$A$9:$A$31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'3.TrenAdExpoSmoo'!$C$9:$C$31</c:f>
              <c:numCache>
                <c:formatCode>General</c:formatCode>
                <c:ptCount val="23"/>
                <c:pt idx="0">
                  <c:v>22.040119984825282</c:v>
                </c:pt>
                <c:pt idx="1">
                  <c:v>26.035589094553249</c:v>
                </c:pt>
                <c:pt idx="2">
                  <c:v>30.990153879084353</c:v>
                </c:pt>
                <c:pt idx="3">
                  <c:v>34.720258161371106</c:v>
                </c:pt>
                <c:pt idx="4">
                  <c:v>37.094745409716552</c:v>
                </c:pt>
                <c:pt idx="5">
                  <c:v>38.137838408174659</c:v>
                </c:pt>
                <c:pt idx="6">
                  <c:v>39.182739098690995</c:v>
                </c:pt>
                <c:pt idx="7">
                  <c:v>40.112584403953136</c:v>
                </c:pt>
                <c:pt idx="8">
                  <c:v>40.447514792717428</c:v>
                </c:pt>
                <c:pt idx="9">
                  <c:v>40.370008625851405</c:v>
                </c:pt>
                <c:pt idx="10">
                  <c:v>40.738213126788466</c:v>
                </c:pt>
                <c:pt idx="11">
                  <c:v>42.181704421639189</c:v>
                </c:pt>
                <c:pt idx="12">
                  <c:v>43.766019941648864</c:v>
                </c:pt>
                <c:pt idx="13">
                  <c:v>44.544014242337497</c:v>
                </c:pt>
                <c:pt idx="14">
                  <c:v>45.186081536871995</c:v>
                </c:pt>
                <c:pt idx="15">
                  <c:v>45.945450664344399</c:v>
                </c:pt>
                <c:pt idx="16">
                  <c:v>47.451996579830798</c:v>
                </c:pt>
                <c:pt idx="17">
                  <c:v>49.511984607313877</c:v>
                </c:pt>
                <c:pt idx="18">
                  <c:v>52.936435868786177</c:v>
                </c:pt>
                <c:pt idx="19">
                  <c:v>54.889649484813049</c:v>
                </c:pt>
                <c:pt idx="20">
                  <c:v>55.856024844910273</c:v>
                </c:pt>
                <c:pt idx="21">
                  <c:v>57.586830202676467</c:v>
                </c:pt>
                <c:pt idx="22">
                  <c:v>59.675167250951674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BB-4329-ADC8-1208E515C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2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'3.TrenAdExpoSmoo'!$M$7</c:f>
              <c:strCache>
                <c:ptCount val="1"/>
                <c:pt idx="0">
                  <c:v>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'3.TrenAdExpoSmoo'!$A$9:$A$36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'3.TrenAdExpoSmoo'!$M$9:$M$36</c:f>
              <c:numCache>
                <c:formatCode>0.0</c:formatCode>
                <c:ptCount val="28"/>
                <c:pt idx="0">
                  <c:v>-1</c:v>
                </c:pt>
                <c:pt idx="1">
                  <c:v>0.61526471477734412</c:v>
                </c:pt>
                <c:pt idx="2">
                  <c:v>1.4454076207691982</c:v>
                </c:pt>
                <c:pt idx="3">
                  <c:v>1.025531079734683</c:v>
                </c:pt>
                <c:pt idx="4">
                  <c:v>0.10218364435810046</c:v>
                </c:pt>
                <c:pt idx="5">
                  <c:v>-0.87728398299655796</c:v>
                </c:pt>
                <c:pt idx="6">
                  <c:v>-1.1762458115224856</c:v>
                </c:pt>
                <c:pt idx="7">
                  <c:v>-1.4474583154522866</c:v>
                </c:pt>
                <c:pt idx="8">
                  <c:v>-2.0562608694174012</c:v>
                </c:pt>
                <c:pt idx="9">
                  <c:v>-2.6380377118724114</c:v>
                </c:pt>
                <c:pt idx="10">
                  <c:v>-2.465569145536338</c:v>
                </c:pt>
                <c:pt idx="11">
                  <c:v>-1.3774485290032259</c:v>
                </c:pt>
                <c:pt idx="12">
                  <c:v>-1.1312770126466025</c:v>
                </c:pt>
                <c:pt idx="13">
                  <c:v>-1.9179690736502832</c:v>
                </c:pt>
                <c:pt idx="14">
                  <c:v>-2.2928943949638767</c:v>
                </c:pt>
                <c:pt idx="15">
                  <c:v>-2.3469008909127513</c:v>
                </c:pt>
                <c:pt idx="16">
                  <c:v>-1.4977052655945722</c:v>
                </c:pt>
                <c:pt idx="17">
                  <c:v>-0.73352277765062013</c:v>
                </c:pt>
                <c:pt idx="18">
                  <c:v>0.93859433848447849</c:v>
                </c:pt>
                <c:pt idx="19">
                  <c:v>-0.42998512312003745</c:v>
                </c:pt>
                <c:pt idx="20">
                  <c:v>-1.7057628485245311</c:v>
                </c:pt>
                <c:pt idx="21">
                  <c:v>-1.1062437112227386</c:v>
                </c:pt>
                <c:pt idx="22">
                  <c:v>-0.62497261113664304</c:v>
                </c:pt>
                <c:pt idx="23">
                  <c:v>0.2314822891738309</c:v>
                </c:pt>
                <c:pt idx="24">
                  <c:v>3.1673157588760601</c:v>
                </c:pt>
                <c:pt idx="25">
                  <c:v>1.3251689504586897</c:v>
                </c:pt>
                <c:pt idx="26">
                  <c:v>4.9361935935966015</c:v>
                </c:pt>
                <c:pt idx="27">
                  <c:v>5.9448186738540425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A9-4EB4-BC70-DD8388748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'3.TrenAdExpoSmoo'!$P$1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'3.TrenAdExpoSmoo'!$N$2:$N$3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'3.TrenAdExpoSmoo'!$P$2:$P$3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A9-4EB4-BC70-DD83887481BC}"/>
            </c:ext>
          </c:extLst>
        </c:ser>
        <c:ser>
          <c:idx val="2"/>
          <c:order val="2"/>
          <c:tx>
            <c:strRef>
              <c:f>'3.TrenAdExpoSmoo'!$Q$1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'3.TrenAdExpoSmoo'!$N$2:$N$3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'3.TrenAdExpoSmoo'!$Q$2:$Q$3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DA9-4EB4-BC70-DD83887481BC}"/>
            </c:ext>
          </c:extLst>
        </c:ser>
        <c:ser>
          <c:idx val="3"/>
          <c:order val="3"/>
          <c:tx>
            <c:strRef>
              <c:f>'3.TrenAdExpoSmoo'!$O$1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'3.TrenAdExpoSmoo'!$N$2:$N$3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'3.TrenAdExpoSmoo'!$O$2:$O$3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DA9-4EB4-BC70-DD8388748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'3.TrenAdExpoSmoo'!$F$7</c:f>
          <c:strCache>
            <c:ptCount val="1"/>
            <c:pt idx="0">
              <c:v>E=At-Ft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'3.TrenAdExpoSmoo'!$F$7</c:f>
              <c:strCache>
                <c:ptCount val="1"/>
                <c:pt idx="0">
                  <c:v>E=At-Ft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'3.TrenAdExpoSmoo'!$A$9:$A$36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'3.TrenAdExpoSmoo'!$F$9:$F$36</c:f>
              <c:numCache>
                <c:formatCode>0.0</c:formatCode>
                <c:ptCount val="28"/>
                <c:pt idx="0">
                  <c:v>-2.481481481481481</c:v>
                </c:pt>
                <c:pt idx="1">
                  <c:v>4.6866220772646976</c:v>
                </c:pt>
                <c:pt idx="2">
                  <c:v>2.4092551674401506</c:v>
                </c:pt>
                <c:pt idx="3">
                  <c:v>-1.7183664532977332</c:v>
                </c:pt>
                <c:pt idx="4">
                  <c:v>-2.6118048886492886</c:v>
                </c:pt>
                <c:pt idx="5">
                  <c:v>-2.7146146406157783</c:v>
                </c:pt>
                <c:pt idx="6">
                  <c:v>-0.43597248006007305</c:v>
                </c:pt>
                <c:pt idx="7">
                  <c:v>-0.2685998900023634</c:v>
                </c:pt>
                <c:pt idx="8">
                  <c:v>-1.0676649684832782</c:v>
                </c:pt>
                <c:pt idx="9">
                  <c:v>-0.8827534961679433</c:v>
                </c:pt>
                <c:pt idx="10">
                  <c:v>0.62456186540678971</c:v>
                </c:pt>
                <c:pt idx="11">
                  <c:v>1.9522606561796181</c:v>
                </c:pt>
                <c:pt idx="12">
                  <c:v>0.5582213497530546</c:v>
                </c:pt>
                <c:pt idx="13">
                  <c:v>-1.2978899431967506</c:v>
                </c:pt>
                <c:pt idx="14">
                  <c:v>-0.44394675088473434</c:v>
                </c:pt>
                <c:pt idx="15">
                  <c:v>0.13014187615981854</c:v>
                </c:pt>
                <c:pt idx="16">
                  <c:v>1.3074071826115485</c:v>
                </c:pt>
                <c:pt idx="17">
                  <c:v>1.1642898678001643</c:v>
                </c:pt>
                <c:pt idx="18">
                  <c:v>2.5374136969576426</c:v>
                </c:pt>
                <c:pt idx="19">
                  <c:v>-2.1224942831417195</c:v>
                </c:pt>
                <c:pt idx="20">
                  <c:v>-2.042273806218347</c:v>
                </c:pt>
                <c:pt idx="21">
                  <c:v>0.98572589290073154</c:v>
                </c:pt>
                <c:pt idx="22">
                  <c:v>0.77497448669591762</c:v>
                </c:pt>
                <c:pt idx="23">
                  <c:v>1.3093054182219532</c:v>
                </c:pt>
                <c:pt idx="24">
                  <c:v>4.8957760974154638</c:v>
                </c:pt>
                <c:pt idx="25">
                  <c:v>-2.9846786361126334</c:v>
                </c:pt>
                <c:pt idx="26">
                  <c:v>7.1654347159455369</c:v>
                </c:pt>
                <c:pt idx="27">
                  <c:v>1.9310615546571057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B5-44BB-BCF6-70946D694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'3.TrenAdExpoSmoo'!$P$1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'3.TrenAdExpoSmoo'!$N$2:$N$3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'3.TrenAdExpoSmoo'!$P$2:$P$3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B5-44BB-BCF6-70946D6949D3}"/>
            </c:ext>
          </c:extLst>
        </c:ser>
        <c:ser>
          <c:idx val="2"/>
          <c:order val="2"/>
          <c:tx>
            <c:strRef>
              <c:f>'3.TrenAdExpoSmoo'!$Q$1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'3.TrenAdExpoSmoo'!$N$2:$N$3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'3.TrenAdExpoSmoo'!$Q$2:$Q$3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9B5-44BB-BCF6-70946D6949D3}"/>
            </c:ext>
          </c:extLst>
        </c:ser>
        <c:ser>
          <c:idx val="3"/>
          <c:order val="3"/>
          <c:tx>
            <c:strRef>
              <c:f>'3.TrenAdExpoSmoo'!$O$1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'3.TrenAdExpoSmoo'!$N$2:$N$3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'3.TrenAdExpoSmoo'!$O$2:$O$3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9B5-44BB-BCF6-70946D694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'3c.TrAdES'!$N$1</c:f>
          <c:strCache>
            <c:ptCount val="1"/>
            <c:pt idx="0">
              <c:v> F(next) ~ N ( 11080, 664)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'3c.TrAdES'!$B$1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'3c.TrAdES'!$A$3:$A$77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'3c.TrAdES'!$B$3:$B$77</c:f>
              <c:numCache>
                <c:formatCode>0</c:formatCode>
                <c:ptCount val="75"/>
                <c:pt idx="0">
                  <c:v>1113.3499253558266</c:v>
                </c:pt>
                <c:pt idx="1">
                  <c:v>1222.4509615075469</c:v>
                </c:pt>
                <c:pt idx="2">
                  <c:v>1815.9308993190284</c:v>
                </c:pt>
                <c:pt idx="3">
                  <c:v>1877.6018297269898</c:v>
                </c:pt>
                <c:pt idx="4">
                  <c:v>1437.7413264412648</c:v>
                </c:pt>
                <c:pt idx="5">
                  <c:v>1885.961866319813</c:v>
                </c:pt>
                <c:pt idx="6">
                  <c:v>1911.083953307721</c:v>
                </c:pt>
                <c:pt idx="7">
                  <c:v>1960.2999710554132</c:v>
                </c:pt>
                <c:pt idx="8">
                  <c:v>2414.1948755502854</c:v>
                </c:pt>
                <c:pt idx="9">
                  <c:v>2386.0381627363281</c:v>
                </c:pt>
                <c:pt idx="10">
                  <c:v>2360.0321962860157</c:v>
                </c:pt>
                <c:pt idx="11">
                  <c:v>2374.8996096579372</c:v>
                </c:pt>
                <c:pt idx="12">
                  <c:v>2837.1005129516102</c:v>
                </c:pt>
                <c:pt idx="13">
                  <c:v>2930.8445360245173</c:v>
                </c:pt>
                <c:pt idx="14">
                  <c:v>2610.1441965075874</c:v>
                </c:pt>
                <c:pt idx="15">
                  <c:v>3135.2317628620631</c:v>
                </c:pt>
                <c:pt idx="16">
                  <c:v>2997.405744195491</c:v>
                </c:pt>
                <c:pt idx="17">
                  <c:v>2897.6453125752814</c:v>
                </c:pt>
                <c:pt idx="18">
                  <c:v>2451.4955445656897</c:v>
                </c:pt>
                <c:pt idx="19">
                  <c:v>3606.7892415047718</c:v>
                </c:pt>
                <c:pt idx="20">
                  <c:v>3329.4002934339937</c:v>
                </c:pt>
                <c:pt idx="21">
                  <c:v>3271.7372704254626</c:v>
                </c:pt>
                <c:pt idx="22">
                  <c:v>3370.7908457036756</c:v>
                </c:pt>
                <c:pt idx="23">
                  <c:v>3326.6171341495628</c:v>
                </c:pt>
                <c:pt idx="24">
                  <c:v>3919.3323507327541</c:v>
                </c:pt>
                <c:pt idx="25">
                  <c:v>3932.7496928280202</c:v>
                </c:pt>
                <c:pt idx="26">
                  <c:v>3271.4587202821313</c:v>
                </c:pt>
                <c:pt idx="27">
                  <c:v>4226.8800578487453</c:v>
                </c:pt>
                <c:pt idx="28">
                  <c:v>3676.4065496322846</c:v>
                </c:pt>
                <c:pt idx="29">
                  <c:v>3709.9538102697975</c:v>
                </c:pt>
                <c:pt idx="30">
                  <c:v>4309.3917506051803</c:v>
                </c:pt>
                <c:pt idx="31">
                  <c:v>3396.6468613345064</c:v>
                </c:pt>
                <c:pt idx="32">
                  <c:v>3425.2650395092878</c:v>
                </c:pt>
                <c:pt idx="33">
                  <c:v>3382.8091450329844</c:v>
                </c:pt>
                <c:pt idx="34">
                  <c:v>3846.9349712677931</c:v>
                </c:pt>
                <c:pt idx="35">
                  <c:v>4335.4663999878339</c:v>
                </c:pt>
                <c:pt idx="36">
                  <c:v>3778.0879495342488</c:v>
                </c:pt>
                <c:pt idx="37">
                  <c:v>4091.3217573787838</c:v>
                </c:pt>
                <c:pt idx="38">
                  <c:v>5031.5420497583082</c:v>
                </c:pt>
                <c:pt idx="39">
                  <c:v>4204.3946084920954</c:v>
                </c:pt>
                <c:pt idx="40">
                  <c:v>5586.0237690188087</c:v>
                </c:pt>
                <c:pt idx="41">
                  <c:v>5777.5611763875086</c:v>
                </c:pt>
                <c:pt idx="42">
                  <c:v>5672.6454679130029</c:v>
                </c:pt>
                <c:pt idx="43">
                  <c:v>4442.4749424361789</c:v>
                </c:pt>
                <c:pt idx="44">
                  <c:v>6116.4376324786244</c:v>
                </c:pt>
                <c:pt idx="45">
                  <c:v>4831.7623955679137</c:v>
                </c:pt>
                <c:pt idx="46">
                  <c:v>6206.0910692130574</c:v>
                </c:pt>
                <c:pt idx="47">
                  <c:v>5086.0787376555791</c:v>
                </c:pt>
                <c:pt idx="48">
                  <c:v>5256.5559094460787</c:v>
                </c:pt>
                <c:pt idx="49">
                  <c:v>5988.37014518462</c:v>
                </c:pt>
                <c:pt idx="50">
                  <c:v>6526.7676661512296</c:v>
                </c:pt>
                <c:pt idx="51">
                  <c:v>5794.3331193675949</c:v>
                </c:pt>
                <c:pt idx="52">
                  <c:v>5545.614554778329</c:v>
                </c:pt>
                <c:pt idx="53">
                  <c:v>6272.3581433243171</c:v>
                </c:pt>
                <c:pt idx="54">
                  <c:v>5129.4309137141636</c:v>
                </c:pt>
                <c:pt idx="55">
                  <c:v>5666.7623903768372</c:v>
                </c:pt>
                <c:pt idx="56">
                  <c:v>6383.3602430207802</c:v>
                </c:pt>
                <c:pt idx="57">
                  <c:v>6421.0416971132518</c:v>
                </c:pt>
                <c:pt idx="58">
                  <c:v>6732.3029027761122</c:v>
                </c:pt>
                <c:pt idx="59">
                  <c:v>5383.813648815224</c:v>
                </c:pt>
                <c:pt idx="60">
                  <c:v>6306.029263075081</c:v>
                </c:pt>
                <c:pt idx="61">
                  <c:v>6344.73822659077</c:v>
                </c:pt>
                <c:pt idx="62">
                  <c:v>6433.484918596806</c:v>
                </c:pt>
                <c:pt idx="63">
                  <c:v>7126.6521295344728</c:v>
                </c:pt>
                <c:pt idx="64">
                  <c:v>7865.1338288516981</c:v>
                </c:pt>
                <c:pt idx="65">
                  <c:v>7010.35704845092</c:v>
                </c:pt>
                <c:pt idx="66">
                  <c:v>9422.7261880039478</c:v>
                </c:pt>
                <c:pt idx="67">
                  <c:v>7040.5275765927445</c:v>
                </c:pt>
                <c:pt idx="68">
                  <c:v>9903.7758241325882</c:v>
                </c:pt>
                <c:pt idx="69">
                  <c:v>7385.6932650971721</c:v>
                </c:pt>
                <c:pt idx="70">
                  <c:v>9011.9704290236768</c:v>
                </c:pt>
                <c:pt idx="71">
                  <c:v>10014.199326672129</c:v>
                </c:pt>
                <c:pt idx="72">
                  <c:v>10910.3731121908</c:v>
                </c:pt>
                <c:pt idx="73">
                  <c:v>8358.5918304447059</c:v>
                </c:pt>
                <c:pt idx="74">
                  <c:v>12058.374214587961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40-46CB-A65E-433752E86294}"/>
            </c:ext>
          </c:extLst>
        </c:ser>
        <c:ser>
          <c:idx val="1"/>
          <c:order val="1"/>
          <c:tx>
            <c:strRef>
              <c:f>'3c.TrAdES'!$E$1</c:f>
              <c:strCache>
                <c:ptCount val="1"/>
                <c:pt idx="0">
                  <c:v>ES-Forc</c:v>
                </c:pt>
              </c:strCache>
            </c:strRef>
          </c:tx>
          <c:xVal>
            <c:numRef>
              <c:f>'3c.TrAdES'!$A$3:$A$77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'3c.TrAdES'!$E$3:$E$78</c:f>
              <c:numCache>
                <c:formatCode>0</c:formatCode>
                <c:ptCount val="76"/>
                <c:pt idx="0">
                  <c:v>1072.6084578602367</c:v>
                </c:pt>
                <c:pt idx="1">
                  <c:v>1187.1340910817901</c:v>
                </c:pt>
                <c:pt idx="2">
                  <c:v>1304.8128293404677</c:v>
                </c:pt>
                <c:pt idx="3">
                  <c:v>1578.9859759071337</c:v>
                </c:pt>
                <c:pt idx="4">
                  <c:v>1846.4925817004416</c:v>
                </c:pt>
                <c:pt idx="5">
                  <c:v>1923.4756150468413</c:v>
                </c:pt>
                <c:pt idx="6">
                  <c:v>2070.2044998524275</c:v>
                </c:pt>
                <c:pt idx="7">
                  <c:v>2173.5175595091132</c:v>
                </c:pt>
                <c:pt idx="8">
                  <c:v>2240.4251001695566</c:v>
                </c:pt>
                <c:pt idx="9">
                  <c:v>2405.5824866425728</c:v>
                </c:pt>
                <c:pt idx="10">
                  <c:v>2529.7317343894456</c:v>
                </c:pt>
                <c:pt idx="11">
                  <c:v>2603.4859947244695</c:v>
                </c:pt>
                <c:pt idx="12">
                  <c:v>2638.0325194588891</c:v>
                </c:pt>
                <c:pt idx="13">
                  <c:v>2781.9980791242861</c:v>
                </c:pt>
                <c:pt idx="14">
                  <c:v>2933.7809062992133</c:v>
                </c:pt>
                <c:pt idx="15">
                  <c:v>2952.2306949607741</c:v>
                </c:pt>
                <c:pt idx="16">
                  <c:v>3093.9681673090722</c:v>
                </c:pt>
                <c:pt idx="17">
                  <c:v>3168.2054506807667</c:v>
                </c:pt>
                <c:pt idx="18">
                  <c:v>3175.1759744814226</c:v>
                </c:pt>
                <c:pt idx="19">
                  <c:v>3004.6807883301408</c:v>
                </c:pt>
                <c:pt idx="20">
                  <c:v>3171.5963931778879</c:v>
                </c:pt>
                <c:pt idx="21">
                  <c:v>3268.5875554726622</c:v>
                </c:pt>
                <c:pt idx="22">
                  <c:v>3335.025846501112</c:v>
                </c:pt>
                <c:pt idx="23">
                  <c:v>3412.2789942838217</c:v>
                </c:pt>
                <c:pt idx="24">
                  <c:v>3454.9673469830564</c:v>
                </c:pt>
                <c:pt idx="25">
                  <c:v>3663.3848729090464</c:v>
                </c:pt>
                <c:pt idx="26">
                  <c:v>3865.1261404591683</c:v>
                </c:pt>
                <c:pt idx="27">
                  <c:v>3823.0208695688434</c:v>
                </c:pt>
                <c:pt idx="28">
                  <c:v>4028.8840229634948</c:v>
                </c:pt>
                <c:pt idx="29">
                  <c:v>4041.1825472361793</c:v>
                </c:pt>
                <c:pt idx="30">
                  <c:v>4017.9833703458639</c:v>
                </c:pt>
                <c:pt idx="31">
                  <c:v>4154.2806225318063</c:v>
                </c:pt>
                <c:pt idx="32">
                  <c:v>3989.8533950827496</c:v>
                </c:pt>
                <c:pt idx="33">
                  <c:v>3796.2846460896453</c:v>
                </c:pt>
                <c:pt idx="34">
                  <c:v>3583.3214078731021</c:v>
                </c:pt>
                <c:pt idx="35">
                  <c:v>3537.4096101541918</c:v>
                </c:pt>
                <c:pt idx="36">
                  <c:v>3694.1532725031088</c:v>
                </c:pt>
                <c:pt idx="37">
                  <c:v>3718.1446735352624</c:v>
                </c:pt>
                <c:pt idx="38">
                  <c:v>3844.765805991115</c:v>
                </c:pt>
                <c:pt idx="39">
                  <c:v>4276.5199196837657</c:v>
                </c:pt>
                <c:pt idx="40">
                  <c:v>4447.8386850416437</c:v>
                </c:pt>
                <c:pt idx="41">
                  <c:v>4997.8017395105471</c:v>
                </c:pt>
                <c:pt idx="42">
                  <c:v>5569.6507969846452</c:v>
                </c:pt>
                <c:pt idx="43">
                  <c:v>6018.5062617804269</c:v>
                </c:pt>
                <c:pt idx="44">
                  <c:v>5942.4327702003775</c:v>
                </c:pt>
                <c:pt idx="45">
                  <c:v>6237.2470984182164</c:v>
                </c:pt>
                <c:pt idx="46">
                  <c:v>6047.5053492683101</c:v>
                </c:pt>
                <c:pt idx="47">
                  <c:v>6189.6079710707836</c:v>
                </c:pt>
                <c:pt idx="48">
                  <c:v>5946.8640941914427</c:v>
                </c:pt>
                <c:pt idx="49">
                  <c:v>5703.9274448766264</c:v>
                </c:pt>
                <c:pt idx="50">
                  <c:v>5690.0740966094409</c:v>
                </c:pt>
                <c:pt idx="51">
                  <c:v>5887.0741505340293</c:v>
                </c:pt>
                <c:pt idx="52">
                  <c:v>5887.0583605770025</c:v>
                </c:pt>
                <c:pt idx="53">
                  <c:v>5796.3287589976862</c:v>
                </c:pt>
                <c:pt idx="54">
                  <c:v>5926.2173215626271</c:v>
                </c:pt>
                <c:pt idx="55">
                  <c:v>5705.9283567507337</c:v>
                </c:pt>
                <c:pt idx="56">
                  <c:v>5632.4635642688863</c:v>
                </c:pt>
                <c:pt idx="57">
                  <c:v>5807.118902262423</c:v>
                </c:pt>
                <c:pt idx="58">
                  <c:v>6028.0501988578462</c:v>
                </c:pt>
                <c:pt idx="59">
                  <c:v>6351.5578017369498</c:v>
                </c:pt>
                <c:pt idx="60">
                  <c:v>6224.5367348974487</c:v>
                </c:pt>
                <c:pt idx="61">
                  <c:v>6317.1421076591341</c:v>
                </c:pt>
                <c:pt idx="62">
                  <c:v>6402.2797328434172</c:v>
                </c:pt>
                <c:pt idx="63">
                  <c:v>6491.8837936824566</c:v>
                </c:pt>
                <c:pt idx="64">
                  <c:v>6778.3726848434644</c:v>
                </c:pt>
                <c:pt idx="65">
                  <c:v>7285.6714749167049</c:v>
                </c:pt>
                <c:pt idx="66">
                  <c:v>7487.5174197192473</c:v>
                </c:pt>
                <c:pt idx="67">
                  <c:v>8363.69305566605</c:v>
                </c:pt>
                <c:pt idx="68">
                  <c:v>8429.4139846524558</c:v>
                </c:pt>
                <c:pt idx="69">
                  <c:v>9231.5637980871652</c:v>
                </c:pt>
                <c:pt idx="70">
                  <c:v>9148.1626730690496</c:v>
                </c:pt>
                <c:pt idx="71">
                  <c:v>9390.3541365544152</c:v>
                </c:pt>
                <c:pt idx="72">
                  <c:v>9859.4145096865232</c:v>
                </c:pt>
                <c:pt idx="73">
                  <c:v>10540.012597596457</c:v>
                </c:pt>
                <c:pt idx="74">
                  <c:v>10312.364319516975</c:v>
                </c:pt>
                <c:pt idx="75">
                  <c:v>11079.723361290558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40-46CB-A65E-433752E86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6776"/>
        <c:axId val="663237168"/>
      </c:scatterChart>
      <c:valAx>
        <c:axId val="66323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7168"/>
        <c:crosses val="autoZero"/>
        <c:crossBetween val="midCat"/>
      </c:valAx>
      <c:valAx>
        <c:axId val="663237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677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'3c.TrAdES'!$I$1:$I$2</c:f>
          <c:strCache>
            <c:ptCount val="2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'3c.TrAdES'!$I$3:$I$77</c:f>
              <c:numCache>
                <c:formatCode>0.0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1.8425066450212937</c:v>
                </c:pt>
                <c:pt idx="5">
                  <c:v>1.9797673976153696</c:v>
                </c:pt>
                <c:pt idx="6">
                  <c:v>1.3163064539965124</c:v>
                </c:pt>
                <c:pt idx="7">
                  <c:v>0.31536871177842701</c:v>
                </c:pt>
                <c:pt idx="8">
                  <c:v>1.154653547332442</c:v>
                </c:pt>
                <c:pt idx="9">
                  <c:v>1.1667464077649679</c:v>
                </c:pt>
                <c:pt idx="10">
                  <c:v>0.27515860997323727</c:v>
                </c:pt>
                <c:pt idx="11">
                  <c:v>-0.92441655854938398</c:v>
                </c:pt>
                <c:pt idx="12">
                  <c:v>0.11565091973016774</c:v>
                </c:pt>
                <c:pt idx="13">
                  <c:v>0.90570538882917773</c:v>
                </c:pt>
                <c:pt idx="14">
                  <c:v>-0.77131194442928419</c:v>
                </c:pt>
                <c:pt idx="15">
                  <c:v>0.15442374041987056</c:v>
                </c:pt>
                <c:pt idx="16">
                  <c:v>-0.34634932446303496</c:v>
                </c:pt>
                <c:pt idx="17">
                  <c:v>-1.7229789787294201</c:v>
                </c:pt>
                <c:pt idx="18">
                  <c:v>-4.7502592449990608</c:v>
                </c:pt>
                <c:pt idx="19">
                  <c:v>-1.8923957831637808</c:v>
                </c:pt>
                <c:pt idx="20">
                  <c:v>-1.2617106412281023</c:v>
                </c:pt>
                <c:pt idx="21">
                  <c:v>-1.3071136552198528</c:v>
                </c:pt>
                <c:pt idx="22">
                  <c:v>-1.1936235224899476</c:v>
                </c:pt>
                <c:pt idx="23">
                  <c:v>-1.6257878666322869</c:v>
                </c:pt>
                <c:pt idx="24">
                  <c:v>0.52383896716822487</c:v>
                </c:pt>
                <c:pt idx="25">
                  <c:v>1.7149702157995805</c:v>
                </c:pt>
                <c:pt idx="26">
                  <c:v>-0.86677957415634099</c:v>
                </c:pt>
                <c:pt idx="27">
                  <c:v>0.80316149750199028</c:v>
                </c:pt>
                <c:pt idx="28">
                  <c:v>-0.62663900723468613</c:v>
                </c:pt>
                <c:pt idx="29">
                  <c:v>-1.9375190952141987</c:v>
                </c:pt>
                <c:pt idx="30">
                  <c:v>-0.77421353304974849</c:v>
                </c:pt>
                <c:pt idx="31">
                  <c:v>-3.5511342346045494</c:v>
                </c:pt>
                <c:pt idx="32">
                  <c:v>-5.4714855635561284</c:v>
                </c:pt>
                <c:pt idx="33">
                  <c:v>-6.8629778508067609</c:v>
                </c:pt>
                <c:pt idx="34">
                  <c:v>-5.936941699475657</c:v>
                </c:pt>
                <c:pt idx="35">
                  <c:v>-2.9452548456372956</c:v>
                </c:pt>
                <c:pt idx="36">
                  <c:v>-2.7134766995184791</c:v>
                </c:pt>
                <c:pt idx="37">
                  <c:v>-1.413933108428582</c:v>
                </c:pt>
                <c:pt idx="38">
                  <c:v>2.4602595166813144</c:v>
                </c:pt>
                <c:pt idx="39">
                  <c:v>2.2749135830406861</c:v>
                </c:pt>
                <c:pt idx="40">
                  <c:v>5.5958261673013379</c:v>
                </c:pt>
                <c:pt idx="41">
                  <c:v>7.7149929145504617</c:v>
                </c:pt>
                <c:pt idx="42">
                  <c:v>8.1503270289348571</c:v>
                </c:pt>
                <c:pt idx="43">
                  <c:v>3.1657154774521339</c:v>
                </c:pt>
                <c:pt idx="44">
                  <c:v>3.6885566956480855</c:v>
                </c:pt>
                <c:pt idx="45">
                  <c:v>-0.22168537609156186</c:v>
                </c:pt>
                <c:pt idx="46">
                  <c:v>0.19709148062696222</c:v>
                </c:pt>
                <c:pt idx="47">
                  <c:v>-2.630436461000206</c:v>
                </c:pt>
                <c:pt idx="48">
                  <c:v>-4.3269482123912608</c:v>
                </c:pt>
                <c:pt idx="49">
                  <c:v>-3.6319096889225739</c:v>
                </c:pt>
                <c:pt idx="50">
                  <c:v>-1.4821839708237325</c:v>
                </c:pt>
                <c:pt idx="51">
                  <c:v>-1.7375756414597252</c:v>
                </c:pt>
                <c:pt idx="52">
                  <c:v>-2.602754583514054</c:v>
                </c:pt>
                <c:pt idx="53">
                  <c:v>-1.3978796092456376</c:v>
                </c:pt>
                <c:pt idx="54">
                  <c:v>-3.3378387026216267</c:v>
                </c:pt>
                <c:pt idx="55">
                  <c:v>-3.4907390150005657</c:v>
                </c:pt>
                <c:pt idx="56">
                  <c:v>-1.5840898565719927</c:v>
                </c:pt>
                <c:pt idx="57">
                  <c:v>-6.8129525411361885E-2</c:v>
                </c:pt>
                <c:pt idx="58">
                  <c:v>1.6348444725108937</c:v>
                </c:pt>
                <c:pt idx="59">
                  <c:v>-0.68878125161021431</c:v>
                </c:pt>
                <c:pt idx="60">
                  <c:v>-0.50277102918154692</c:v>
                </c:pt>
                <c:pt idx="61">
                  <c:v>-0.44333102035510163</c:v>
                </c:pt>
                <c:pt idx="62">
                  <c:v>-0.37289255785421366</c:v>
                </c:pt>
                <c:pt idx="63">
                  <c:v>1.1837092675152703</c:v>
                </c:pt>
                <c:pt idx="64">
                  <c:v>3.7474287368019708</c:v>
                </c:pt>
                <c:pt idx="65">
                  <c:v>3.1066321066731284</c:v>
                </c:pt>
                <c:pt idx="66">
                  <c:v>7.3490153023820293</c:v>
                </c:pt>
                <c:pt idx="67">
                  <c:v>4.2142748247334074</c:v>
                </c:pt>
                <c:pt idx="68">
                  <c:v>7.235342815763727</c:v>
                </c:pt>
                <c:pt idx="69">
                  <c:v>3.1529973812371912</c:v>
                </c:pt>
                <c:pt idx="70">
                  <c:v>2.9028301257776583</c:v>
                </c:pt>
                <c:pt idx="71">
                  <c:v>4.179727175271994</c:v>
                </c:pt>
                <c:pt idx="72">
                  <c:v>6.2504672616337391</c:v>
                </c:pt>
                <c:pt idx="73">
                  <c:v>1.734836641072375</c:v>
                </c:pt>
                <c:pt idx="74">
                  <c:v>4.9687219863444785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3C-4675-A789-DF4C2D05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7952"/>
        <c:axId val="663238344"/>
      </c:scatterChart>
      <c:valAx>
        <c:axId val="66323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344"/>
        <c:crosses val="autoZero"/>
        <c:crossBetween val="midCat"/>
      </c:valAx>
      <c:valAx>
        <c:axId val="66323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'3b.OPT.AlphaBeta6ways'!$O$1</c:f>
          <c:strCache>
            <c:ptCount val="1"/>
            <c:pt idx="0">
              <c:v>At vs. Ft=L(t-1)+G(t-1)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'3b.OPT.AlphaBeta6ways'!$B$7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'3b.OPT.AlphaBeta6ways'!$A$9:$A$58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'3b.OPT.AlphaBeta6ways'!$B$9:$B$58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7B-415D-9024-F0B72D54E880}"/>
            </c:ext>
          </c:extLst>
        </c:ser>
        <c:ser>
          <c:idx val="1"/>
          <c:order val="1"/>
          <c:tx>
            <c:strRef>
              <c:f>'3b.OPT.AlphaBeta6ways'!$E$7</c:f>
              <c:strCache>
                <c:ptCount val="1"/>
                <c:pt idx="0">
                  <c:v>Ft=L(t-1)+G(t-1)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'3b.OPT.AlphaBeta6ways'!$A$9:$A$58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'3b.OPT.AlphaBeta6ways'!$E$9:$E$58</c:f>
              <c:numCache>
                <c:formatCode>0.0</c:formatCode>
                <c:ptCount val="50"/>
                <c:pt idx="0">
                  <c:v>2.0612244897959182</c:v>
                </c:pt>
                <c:pt idx="1">
                  <c:v>2.0624489795918368</c:v>
                </c:pt>
                <c:pt idx="2">
                  <c:v>2.0453306122448978</c:v>
                </c:pt>
                <c:pt idx="3">
                  <c:v>1.0475025306122447</c:v>
                </c:pt>
                <c:pt idx="4">
                  <c:v>-0.24514660244897968</c:v>
                </c:pt>
                <c:pt idx="5">
                  <c:v>1.3956997063183674</c:v>
                </c:pt>
                <c:pt idx="6">
                  <c:v>1.0771576811794286</c:v>
                </c:pt>
                <c:pt idx="7">
                  <c:v>-2.0009077092493055E-2</c:v>
                </c:pt>
                <c:pt idx="8">
                  <c:v>1.6164434370118284</c:v>
                </c:pt>
                <c:pt idx="9">
                  <c:v>2.2147750288798127</c:v>
                </c:pt>
                <c:pt idx="10">
                  <c:v>3.3141374983538596</c:v>
                </c:pt>
                <c:pt idx="11">
                  <c:v>2.6198962488477013</c:v>
                </c:pt>
                <c:pt idx="12">
                  <c:v>2.7339273741933905</c:v>
                </c:pt>
                <c:pt idx="13">
                  <c:v>2.8137491619353732</c:v>
                </c:pt>
                <c:pt idx="14">
                  <c:v>2.5696244133547612</c:v>
                </c:pt>
                <c:pt idx="15">
                  <c:v>2.0987370893483326</c:v>
                </c:pt>
                <c:pt idx="16">
                  <c:v>3.2691159625438324</c:v>
                </c:pt>
                <c:pt idx="17">
                  <c:v>2.8883811737806826</c:v>
                </c:pt>
                <c:pt idx="18">
                  <c:v>2.3218668216464775</c:v>
                </c:pt>
                <c:pt idx="19">
                  <c:v>2.2253067751525339</c:v>
                </c:pt>
                <c:pt idx="20">
                  <c:v>2.1577147426067738</c:v>
                </c:pt>
                <c:pt idx="21">
                  <c:v>2.4104003198247415</c:v>
                </c:pt>
                <c:pt idx="22">
                  <c:v>2.887280223877319</c:v>
                </c:pt>
                <c:pt idx="23">
                  <c:v>3.2210961567141227</c:v>
                </c:pt>
                <c:pt idx="24">
                  <c:v>3.7547673096998859</c:v>
                </c:pt>
                <c:pt idx="25">
                  <c:v>3.8283371167899203</c:v>
                </c:pt>
                <c:pt idx="26">
                  <c:v>3.2798359817529441</c:v>
                </c:pt>
                <c:pt idx="27">
                  <c:v>2.5958851872270605</c:v>
                </c:pt>
                <c:pt idx="28">
                  <c:v>3.0171196310589421</c:v>
                </c:pt>
                <c:pt idx="29">
                  <c:v>3.0119837417412594</c:v>
                </c:pt>
                <c:pt idx="30">
                  <c:v>3.3083886192188814</c:v>
                </c:pt>
                <c:pt idx="31">
                  <c:v>3.2158720334532167</c:v>
                </c:pt>
                <c:pt idx="32">
                  <c:v>2.5511104234172515</c:v>
                </c:pt>
                <c:pt idx="33">
                  <c:v>3.2857772963920757</c:v>
                </c:pt>
                <c:pt idx="34">
                  <c:v>2.9000441074744527</c:v>
                </c:pt>
                <c:pt idx="35">
                  <c:v>2.030030875232117</c:v>
                </c:pt>
                <c:pt idx="36">
                  <c:v>3.5210216126624818</c:v>
                </c:pt>
                <c:pt idx="37">
                  <c:v>3.3647151288637369</c:v>
                </c:pt>
                <c:pt idx="38">
                  <c:v>3.8553005902046156</c:v>
                </c:pt>
                <c:pt idx="39">
                  <c:v>4.1987104131432309</c:v>
                </c:pt>
                <c:pt idx="40">
                  <c:v>4.7390972892002612</c:v>
                </c:pt>
                <c:pt idx="41">
                  <c:v>3.9173681024401827</c:v>
                </c:pt>
                <c:pt idx="42">
                  <c:v>3.6421576717081279</c:v>
                </c:pt>
                <c:pt idx="43">
                  <c:v>3.7495103701956891</c:v>
                </c:pt>
                <c:pt idx="44">
                  <c:v>3.2246572591369822</c:v>
                </c:pt>
                <c:pt idx="45">
                  <c:v>3.1572600813958873</c:v>
                </c:pt>
                <c:pt idx="46">
                  <c:v>3.110082056977121</c:v>
                </c:pt>
                <c:pt idx="47">
                  <c:v>3.9770574398839842</c:v>
                </c:pt>
                <c:pt idx="48">
                  <c:v>6.0839402079187881</c:v>
                </c:pt>
                <c:pt idx="49">
                  <c:v>5.7587581455431511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7B-415D-9024-F0B72D54E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'Prac1.TreAdj.ES'!$B$2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'Prac1.TreAdj.ES'!$B$2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'Prac1.TreAdj.ES'!$A$4:$A$31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'Prac1.TreAdj.ES'!$B$4:$B$31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12-4700-B1E7-1DC5B6445A96}"/>
            </c:ext>
          </c:extLst>
        </c:ser>
        <c:ser>
          <c:idx val="0"/>
          <c:order val="1"/>
          <c:tx>
            <c:strRef>
              <c:f>'Prac1.TreAdj.ES'!$E$2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'Prac1.TreAdj.ES'!$A$4:$A$32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'Prac1.TreAdj.ES'!$E$4:$E$32</c:f>
              <c:numCache>
                <c:formatCode>0.0000</c:formatCode>
                <c:ptCount val="29"/>
                <c:pt idx="0">
                  <c:v>49.925925925925924</c:v>
                </c:pt>
                <c:pt idx="1">
                  <c:v>49.949558903780854</c:v>
                </c:pt>
                <c:pt idx="2">
                  <c:v>16.989521867426888</c:v>
                </c:pt>
                <c:pt idx="3">
                  <c:v>30.097588082004506</c:v>
                </c:pt>
                <c:pt idx="4">
                  <c:v>82.466351516505895</c:v>
                </c:pt>
                <c:pt idx="5">
                  <c:v>72.531886287543472</c:v>
                </c:pt>
                <c:pt idx="6">
                  <c:v>28.557518081466764</c:v>
                </c:pt>
                <c:pt idx="7">
                  <c:v>39.846277427662173</c:v>
                </c:pt>
                <c:pt idx="8">
                  <c:v>43.171502680824389</c:v>
                </c:pt>
                <c:pt idx="9">
                  <c:v>52.669147181873761</c:v>
                </c:pt>
                <c:pt idx="10">
                  <c:v>36.30807137116674</c:v>
                </c:pt>
                <c:pt idx="11">
                  <c:v>46.400234689032892</c:v>
                </c:pt>
                <c:pt idx="12">
                  <c:v>39.677315726999012</c:v>
                </c:pt>
                <c:pt idx="13">
                  <c:v>77.03257742595558</c:v>
                </c:pt>
                <c:pt idx="14">
                  <c:v>20.388968903507767</c:v>
                </c:pt>
                <c:pt idx="15">
                  <c:v>94.045672706063371</c:v>
                </c:pt>
                <c:pt idx="16">
                  <c:v>67.778790218171238</c:v>
                </c:pt>
                <c:pt idx="17">
                  <c:v>43.149416915615262</c:v>
                </c:pt>
                <c:pt idx="18">
                  <c:v>52.292198176148972</c:v>
                </c:pt>
                <c:pt idx="19">
                  <c:v>101.32269138987326</c:v>
                </c:pt>
                <c:pt idx="20">
                  <c:v>52.862704203648448</c:v>
                </c:pt>
                <c:pt idx="21">
                  <c:v>47.268417366514548</c:v>
                </c:pt>
                <c:pt idx="22">
                  <c:v>33.949463686561252</c:v>
                </c:pt>
                <c:pt idx="23">
                  <c:v>63.579807482963211</c:v>
                </c:pt>
                <c:pt idx="24">
                  <c:v>77.266229497369494</c:v>
                </c:pt>
                <c:pt idx="25">
                  <c:v>32.057572614280367</c:v>
                </c:pt>
                <c:pt idx="26">
                  <c:v>23.720159146941285</c:v>
                </c:pt>
                <c:pt idx="27">
                  <c:v>66.933158667742731</c:v>
                </c:pt>
                <c:pt idx="28" formatCode="General">
                  <c:v>46.892625254241786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12-4700-B1E7-1DC5B6445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'Prac2.TreAdj.ES'!$Q$1</c:f>
          <c:strCache>
            <c:ptCount val="1"/>
            <c:pt idx="0">
              <c:v> F(next) ~ N ( 0, 0)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'Prac2.TreAdj.ES'!$B$1</c:f>
              <c:strCache>
                <c:ptCount val="1"/>
                <c:pt idx="0">
                  <c:v>At</c:v>
                </c:pt>
              </c:strCache>
            </c:strRef>
          </c:tx>
          <c:xVal>
            <c:numRef>
              <c:f>'Prac2.TreAdj.ES'!$A$3:$A$23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'Prac2.TreAdj.ES'!$B$3:$B$23</c:f>
              <c:numCache>
                <c:formatCode>0</c:formatCode>
                <c:ptCount val="21"/>
                <c:pt idx="0">
                  <c:v>109</c:v>
                </c:pt>
                <c:pt idx="1">
                  <c:v>144</c:v>
                </c:pt>
                <c:pt idx="2">
                  <c:v>125</c:v>
                </c:pt>
                <c:pt idx="3">
                  <c:v>159</c:v>
                </c:pt>
                <c:pt idx="4">
                  <c:v>211</c:v>
                </c:pt>
                <c:pt idx="5">
                  <c:v>237</c:v>
                </c:pt>
                <c:pt idx="6">
                  <c:v>259</c:v>
                </c:pt>
                <c:pt idx="7">
                  <c:v>263</c:v>
                </c:pt>
                <c:pt idx="8">
                  <c:v>268</c:v>
                </c:pt>
                <c:pt idx="9">
                  <c:v>226</c:v>
                </c:pt>
                <c:pt idx="10">
                  <c:v>288</c:v>
                </c:pt>
                <c:pt idx="11">
                  <c:v>331</c:v>
                </c:pt>
                <c:pt idx="12">
                  <c:v>250</c:v>
                </c:pt>
                <c:pt idx="13">
                  <c:v>258</c:v>
                </c:pt>
                <c:pt idx="14">
                  <c:v>283</c:v>
                </c:pt>
                <c:pt idx="15">
                  <c:v>265</c:v>
                </c:pt>
                <c:pt idx="16">
                  <c:v>395</c:v>
                </c:pt>
                <c:pt idx="17">
                  <c:v>447</c:v>
                </c:pt>
                <c:pt idx="18">
                  <c:v>436</c:v>
                </c:pt>
                <c:pt idx="19">
                  <c:v>465</c:v>
                </c:pt>
                <c:pt idx="20">
                  <c:v>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0E-421B-BE53-DD30D6D4E093}"/>
            </c:ext>
          </c:extLst>
        </c:ser>
        <c:ser>
          <c:idx val="1"/>
          <c:order val="1"/>
          <c:tx>
            <c:strRef>
              <c:f>'Prac2.TreAdj.ES'!$C$1</c:f>
              <c:strCache>
                <c:ptCount val="1"/>
                <c:pt idx="0">
                  <c:v>ES</c:v>
                </c:pt>
              </c:strCache>
            </c:strRef>
          </c:tx>
          <c:xVal>
            <c:numRef>
              <c:f>'Prac2.TreAdj.ES'!$A$3:$A$23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'Prac2.TreAdj.ES'!$C$4:$C$23</c:f>
              <c:numCache>
                <c:formatCode>0.0</c:formatCode>
                <c:ptCount val="20"/>
                <c:pt idx="0">
                  <c:v>109</c:v>
                </c:pt>
                <c:pt idx="1">
                  <c:v>126.5</c:v>
                </c:pt>
                <c:pt idx="2">
                  <c:v>125.75</c:v>
                </c:pt>
                <c:pt idx="3">
                  <c:v>142.375</c:v>
                </c:pt>
                <c:pt idx="4">
                  <c:v>176.6875</c:v>
                </c:pt>
                <c:pt idx="5">
                  <c:v>206.84375</c:v>
                </c:pt>
                <c:pt idx="6">
                  <c:v>232.921875</c:v>
                </c:pt>
                <c:pt idx="7">
                  <c:v>247.9609375</c:v>
                </c:pt>
                <c:pt idx="8">
                  <c:v>257.98046875</c:v>
                </c:pt>
                <c:pt idx="9">
                  <c:v>241.990234375</c:v>
                </c:pt>
                <c:pt idx="10">
                  <c:v>264.9951171875</c:v>
                </c:pt>
                <c:pt idx="11">
                  <c:v>297.99755859375</c:v>
                </c:pt>
                <c:pt idx="12">
                  <c:v>273.998779296875</c:v>
                </c:pt>
                <c:pt idx="13">
                  <c:v>265.9993896484375</c:v>
                </c:pt>
                <c:pt idx="14">
                  <c:v>274.49969482421875</c:v>
                </c:pt>
                <c:pt idx="15">
                  <c:v>269.74984741210938</c:v>
                </c:pt>
                <c:pt idx="16">
                  <c:v>332.37492370605469</c:v>
                </c:pt>
                <c:pt idx="17">
                  <c:v>389.68746185302734</c:v>
                </c:pt>
                <c:pt idx="18">
                  <c:v>412.84373092651367</c:v>
                </c:pt>
                <c:pt idx="19">
                  <c:v>438.92186546325684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0E-421B-BE53-DD30D6D4E093}"/>
            </c:ext>
          </c:extLst>
        </c:ser>
        <c:ser>
          <c:idx val="2"/>
          <c:order val="2"/>
          <c:xVal>
            <c:numRef>
              <c:f>'Prac2.TreAdj.ES'!$A$3:$A$23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'Prac2.TreAdj.ES'!$I$3:$I$23</c:f>
              <c:numCache>
                <c:formatCode>0</c:formatCode>
                <c:ptCount val="21"/>
                <c:pt idx="0">
                  <c:v>120.58008658008659</c:v>
                </c:pt>
                <c:pt idx="1">
                  <c:v>140.2491341991342</c:v>
                </c:pt>
                <c:pt idx="2">
                  <c:v>145.35411255411256</c:v>
                </c:pt>
                <c:pt idx="3">
                  <c:v>153.79182900432903</c:v>
                </c:pt>
                <c:pt idx="4">
                  <c:v>191.70330086580088</c:v>
                </c:pt>
                <c:pt idx="5">
                  <c:v>232.00534361471864</c:v>
                </c:pt>
                <c:pt idx="6">
                  <c:v>260.82951839826842</c:v>
                </c:pt>
                <c:pt idx="7">
                  <c:v>275.07818249458876</c:v>
                </c:pt>
                <c:pt idx="8">
                  <c:v>279.12080289502165</c:v>
                </c:pt>
                <c:pt idx="9">
                  <c:v>257.60125727137444</c:v>
                </c:pt>
                <c:pt idx="10">
                  <c:v>264.82105654761904</c:v>
                </c:pt>
                <c:pt idx="11">
                  <c:v>309.42074222977544</c:v>
                </c:pt>
                <c:pt idx="12">
                  <c:v>296.21547809287068</c:v>
                </c:pt>
                <c:pt idx="13">
                  <c:v>265.11029253542677</c:v>
                </c:pt>
                <c:pt idx="14">
                  <c:v>270.05642301220911</c:v>
                </c:pt>
                <c:pt idx="15">
                  <c:v>271.77884987835239</c:v>
                </c:pt>
                <c:pt idx="16">
                  <c:v>331.01474412530013</c:v>
                </c:pt>
                <c:pt idx="17">
                  <c:v>420.320031655712</c:v>
                </c:pt>
                <c:pt idx="18">
                  <c:v>456.816345624387</c:v>
                </c:pt>
                <c:pt idx="19">
                  <c:v>472.48633771045894</c:v>
                </c:pt>
                <c:pt idx="20">
                  <c:v>477.28225130436221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0E-421B-BE53-DD30D6D4E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9128"/>
        <c:axId val="663239520"/>
      </c:scatterChart>
      <c:valAx>
        <c:axId val="66323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9520"/>
        <c:crosses val="autoZero"/>
        <c:crossBetween val="midCat"/>
      </c:valAx>
      <c:valAx>
        <c:axId val="663239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912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'Prac2.TreAdj.ES'!$M$1:$M$2</c:f>
          <c:strCache>
            <c:ptCount val="2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'Prac2.TreAdj.ES'!$M$3:$M$77</c:f>
              <c:numCache>
                <c:formatCode>0.0</c:formatCode>
                <c:ptCount val="75"/>
                <c:pt idx="0">
                  <c:v>-1</c:v>
                </c:pt>
                <c:pt idx="1">
                  <c:v>-1.0213613068093592</c:v>
                </c:pt>
                <c:pt idx="2">
                  <c:v>-2.3693385497225012</c:v>
                </c:pt>
                <c:pt idx="3">
                  <c:v>-2.2473313069747984</c:v>
                </c:pt>
                <c:pt idx="4">
                  <c:v>-0.30557128857962801</c:v>
                </c:pt>
                <c:pt idx="5">
                  <c:v>0.12115070318328033</c:v>
                </c:pt>
                <c:pt idx="6">
                  <c:v>-5.361970073580747E-2</c:v>
                </c:pt>
                <c:pt idx="7">
                  <c:v>-1.2736014939530855</c:v>
                </c:pt>
                <c:pt idx="8">
                  <c:v>-2.3656298998643321</c:v>
                </c:pt>
                <c:pt idx="9">
                  <c:v>-4.5408087584043262</c:v>
                </c:pt>
                <c:pt idx="10">
                  <c:v>-2.4379118105474422</c:v>
                </c:pt>
                <c:pt idx="11">
                  <c:v>-0.76041578891616279</c:v>
                </c:pt>
                <c:pt idx="12">
                  <c:v>-3.4683387754027981</c:v>
                </c:pt>
                <c:pt idx="13">
                  <c:v>-4.0670429143340288</c:v>
                </c:pt>
                <c:pt idx="14">
                  <c:v>-3.2814686703986133</c:v>
                </c:pt>
                <c:pt idx="15">
                  <c:v>-3.8538505452979703</c:v>
                </c:pt>
                <c:pt idx="16">
                  <c:v>0.35101537658859083</c:v>
                </c:pt>
                <c:pt idx="17">
                  <c:v>1.795651940762599</c:v>
                </c:pt>
                <c:pt idx="18">
                  <c:v>0.65655191140546831</c:v>
                </c:pt>
                <c:pt idx="19">
                  <c:v>0.2591342808362091</c:v>
                </c:pt>
                <c:pt idx="20">
                  <c:v>-0.91967698288394517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86-4321-8DC1-3E5C62990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40304"/>
        <c:axId val="663240696"/>
      </c:scatterChart>
      <c:valAx>
        <c:axId val="66324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696"/>
        <c:crosses val="autoZero"/>
        <c:crossBetween val="midCat"/>
      </c:valAx>
      <c:valAx>
        <c:axId val="66324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'Prac3.TreAdj.ES'!$O$1</c:f>
          <c:strCache>
            <c:ptCount val="1"/>
            <c:pt idx="0">
              <c:v> F(next) ~ N ( 11080, 664)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'Prac3.TreAdj.ES'!$C$1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'Prac3.TreAdj.ES'!$A$3:$A$77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'Prac3.TreAdj.ES'!$C$3:$C$77</c:f>
              <c:numCache>
                <c:formatCode>0</c:formatCode>
                <c:ptCount val="75"/>
                <c:pt idx="0">
                  <c:v>1113.3499253558266</c:v>
                </c:pt>
                <c:pt idx="1">
                  <c:v>1222.4509615075469</c:v>
                </c:pt>
                <c:pt idx="2">
                  <c:v>1815.9308993190284</c:v>
                </c:pt>
                <c:pt idx="3">
                  <c:v>1877.6018297269898</c:v>
                </c:pt>
                <c:pt idx="4">
                  <c:v>1437.7413264412648</c:v>
                </c:pt>
                <c:pt idx="5">
                  <c:v>1885.961866319813</c:v>
                </c:pt>
                <c:pt idx="6">
                  <c:v>1911.083953307721</c:v>
                </c:pt>
                <c:pt idx="7">
                  <c:v>1960.2999710554132</c:v>
                </c:pt>
                <c:pt idx="8">
                  <c:v>2414.1948755502854</c:v>
                </c:pt>
                <c:pt idx="9">
                  <c:v>2386.0381627363281</c:v>
                </c:pt>
                <c:pt idx="10">
                  <c:v>2360.0321962860157</c:v>
                </c:pt>
                <c:pt idx="11">
                  <c:v>2374.8996096579372</c:v>
                </c:pt>
                <c:pt idx="12">
                  <c:v>2837.1005129516102</c:v>
                </c:pt>
                <c:pt idx="13">
                  <c:v>2930.8445360245173</c:v>
                </c:pt>
                <c:pt idx="14">
                  <c:v>2610.1441965075874</c:v>
                </c:pt>
                <c:pt idx="15">
                  <c:v>3135.2317628620631</c:v>
                </c:pt>
                <c:pt idx="16">
                  <c:v>2997.405744195491</c:v>
                </c:pt>
                <c:pt idx="17">
                  <c:v>2897.6453125752814</c:v>
                </c:pt>
                <c:pt idx="18">
                  <c:v>2451.4955445656897</c:v>
                </c:pt>
                <c:pt idx="19">
                  <c:v>3606.7892415047718</c:v>
                </c:pt>
                <c:pt idx="20">
                  <c:v>3329.4002934339937</c:v>
                </c:pt>
                <c:pt idx="21">
                  <c:v>3271.7372704254626</c:v>
                </c:pt>
                <c:pt idx="22">
                  <c:v>3370.7908457036756</c:v>
                </c:pt>
                <c:pt idx="23">
                  <c:v>3326.6171341495628</c:v>
                </c:pt>
                <c:pt idx="24">
                  <c:v>3919.3323507327541</c:v>
                </c:pt>
                <c:pt idx="25">
                  <c:v>3932.7496928280202</c:v>
                </c:pt>
                <c:pt idx="26">
                  <c:v>3271.4587202821313</c:v>
                </c:pt>
                <c:pt idx="27">
                  <c:v>4226.8800578487453</c:v>
                </c:pt>
                <c:pt idx="28">
                  <c:v>3676.4065496322846</c:v>
                </c:pt>
                <c:pt idx="29">
                  <c:v>3709.9538102697975</c:v>
                </c:pt>
                <c:pt idx="30">
                  <c:v>4309.3917506051803</c:v>
                </c:pt>
                <c:pt idx="31">
                  <c:v>3396.6468613345064</c:v>
                </c:pt>
                <c:pt idx="32">
                  <c:v>3425.2650395092878</c:v>
                </c:pt>
                <c:pt idx="33">
                  <c:v>3382.8091450329844</c:v>
                </c:pt>
                <c:pt idx="34">
                  <c:v>3846.9349712677931</c:v>
                </c:pt>
                <c:pt idx="35">
                  <c:v>4335.4663999878339</c:v>
                </c:pt>
                <c:pt idx="36">
                  <c:v>3778.0879495342488</c:v>
                </c:pt>
                <c:pt idx="37">
                  <c:v>4091.3217573787838</c:v>
                </c:pt>
                <c:pt idx="38">
                  <c:v>5031.5420497583082</c:v>
                </c:pt>
                <c:pt idx="39">
                  <c:v>4204.3946084920954</c:v>
                </c:pt>
                <c:pt idx="40">
                  <c:v>5586.0237690188087</c:v>
                </c:pt>
                <c:pt idx="41">
                  <c:v>5777.5611763875086</c:v>
                </c:pt>
                <c:pt idx="42">
                  <c:v>5672.6454679130029</c:v>
                </c:pt>
                <c:pt idx="43">
                  <c:v>4442.4749424361789</c:v>
                </c:pt>
                <c:pt idx="44">
                  <c:v>6116.4376324786244</c:v>
                </c:pt>
                <c:pt idx="45">
                  <c:v>4831.7623955679137</c:v>
                </c:pt>
                <c:pt idx="46">
                  <c:v>6206.0910692130574</c:v>
                </c:pt>
                <c:pt idx="47">
                  <c:v>5086.0787376555791</c:v>
                </c:pt>
                <c:pt idx="48">
                  <c:v>5256.5559094460787</c:v>
                </c:pt>
                <c:pt idx="49">
                  <c:v>5988.37014518462</c:v>
                </c:pt>
                <c:pt idx="50">
                  <c:v>6526.7676661512296</c:v>
                </c:pt>
                <c:pt idx="51">
                  <c:v>5794.3331193675949</c:v>
                </c:pt>
                <c:pt idx="52">
                  <c:v>5545.614554778329</c:v>
                </c:pt>
                <c:pt idx="53">
                  <c:v>6272.3581433243171</c:v>
                </c:pt>
                <c:pt idx="54">
                  <c:v>5129.4309137141636</c:v>
                </c:pt>
                <c:pt idx="55">
                  <c:v>5666.7623903768372</c:v>
                </c:pt>
                <c:pt idx="56">
                  <c:v>6383.3602430207802</c:v>
                </c:pt>
                <c:pt idx="57">
                  <c:v>6421.0416971132518</c:v>
                </c:pt>
                <c:pt idx="58">
                  <c:v>6732.3029027761122</c:v>
                </c:pt>
                <c:pt idx="59">
                  <c:v>5383.813648815224</c:v>
                </c:pt>
                <c:pt idx="60">
                  <c:v>6306.029263075081</c:v>
                </c:pt>
                <c:pt idx="61">
                  <c:v>6344.73822659077</c:v>
                </c:pt>
                <c:pt idx="62">
                  <c:v>6433.484918596806</c:v>
                </c:pt>
                <c:pt idx="63">
                  <c:v>7126.6521295344728</c:v>
                </c:pt>
                <c:pt idx="64">
                  <c:v>7865.1338288516981</c:v>
                </c:pt>
                <c:pt idx="65">
                  <c:v>7010.35704845092</c:v>
                </c:pt>
                <c:pt idx="66">
                  <c:v>9422.7261880039478</c:v>
                </c:pt>
                <c:pt idx="67">
                  <c:v>7040.5275765927445</c:v>
                </c:pt>
                <c:pt idx="68">
                  <c:v>9903.7758241325882</c:v>
                </c:pt>
                <c:pt idx="69">
                  <c:v>7385.6932650971721</c:v>
                </c:pt>
                <c:pt idx="70">
                  <c:v>9011.9704290236768</c:v>
                </c:pt>
                <c:pt idx="71">
                  <c:v>10014.199326672129</c:v>
                </c:pt>
                <c:pt idx="72">
                  <c:v>10910.3731121908</c:v>
                </c:pt>
                <c:pt idx="73">
                  <c:v>8358.5918304447059</c:v>
                </c:pt>
                <c:pt idx="74">
                  <c:v>12058.374214587961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6A-4DB4-B00E-90F9841879EC}"/>
            </c:ext>
          </c:extLst>
        </c:ser>
        <c:ser>
          <c:idx val="1"/>
          <c:order val="1"/>
          <c:tx>
            <c:strRef>
              <c:f>'Prac3.TreAdj.ES'!$F$1</c:f>
              <c:strCache>
                <c:ptCount val="1"/>
                <c:pt idx="0">
                  <c:v>ES-Forc</c:v>
                </c:pt>
              </c:strCache>
            </c:strRef>
          </c:tx>
          <c:xVal>
            <c:numRef>
              <c:f>'Prac3.TreAdj.ES'!$A$3:$A$77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'Prac3.TreAdj.ES'!$F$3:$F$78</c:f>
              <c:numCache>
                <c:formatCode>0</c:formatCode>
                <c:ptCount val="76"/>
                <c:pt idx="0">
                  <c:v>1072.6084578602367</c:v>
                </c:pt>
                <c:pt idx="1">
                  <c:v>1187.1340910817901</c:v>
                </c:pt>
                <c:pt idx="2">
                  <c:v>1304.8128293404677</c:v>
                </c:pt>
                <c:pt idx="3">
                  <c:v>1578.9859759071337</c:v>
                </c:pt>
                <c:pt idx="4">
                  <c:v>1846.4925817004416</c:v>
                </c:pt>
                <c:pt idx="5">
                  <c:v>1923.4756150468413</c:v>
                </c:pt>
                <c:pt idx="6">
                  <c:v>2070.2044998524275</c:v>
                </c:pt>
                <c:pt idx="7">
                  <c:v>2173.5175595091132</c:v>
                </c:pt>
                <c:pt idx="8">
                  <c:v>2240.4251001695566</c:v>
                </c:pt>
                <c:pt idx="9">
                  <c:v>2405.5824866425728</c:v>
                </c:pt>
                <c:pt idx="10">
                  <c:v>2529.7317343894456</c:v>
                </c:pt>
                <c:pt idx="11">
                  <c:v>2603.4859947244695</c:v>
                </c:pt>
                <c:pt idx="12">
                  <c:v>2638.0325194588891</c:v>
                </c:pt>
                <c:pt idx="13">
                  <c:v>2781.9980791242861</c:v>
                </c:pt>
                <c:pt idx="14">
                  <c:v>2933.7809062992133</c:v>
                </c:pt>
                <c:pt idx="15">
                  <c:v>2952.2306949607741</c:v>
                </c:pt>
                <c:pt idx="16">
                  <c:v>3093.9681673090722</c:v>
                </c:pt>
                <c:pt idx="17">
                  <c:v>3168.2054506807667</c:v>
                </c:pt>
                <c:pt idx="18">
                  <c:v>3175.1759744814226</c:v>
                </c:pt>
                <c:pt idx="19">
                  <c:v>3004.6807883301408</c:v>
                </c:pt>
                <c:pt idx="20">
                  <c:v>3171.5963931778879</c:v>
                </c:pt>
                <c:pt idx="21">
                  <c:v>3268.5875554726622</c:v>
                </c:pt>
                <c:pt idx="22">
                  <c:v>3335.025846501112</c:v>
                </c:pt>
                <c:pt idx="23">
                  <c:v>3412.2789942838217</c:v>
                </c:pt>
                <c:pt idx="24">
                  <c:v>3454.9673469830564</c:v>
                </c:pt>
                <c:pt idx="25">
                  <c:v>3663.3848729090464</c:v>
                </c:pt>
                <c:pt idx="26">
                  <c:v>3865.1261404591683</c:v>
                </c:pt>
                <c:pt idx="27">
                  <c:v>3823.0208695688434</c:v>
                </c:pt>
                <c:pt idx="28">
                  <c:v>4028.8840229634948</c:v>
                </c:pt>
                <c:pt idx="29">
                  <c:v>4041.1825472361793</c:v>
                </c:pt>
                <c:pt idx="30">
                  <c:v>4017.9833703458639</c:v>
                </c:pt>
                <c:pt idx="31">
                  <c:v>4154.2806225318063</c:v>
                </c:pt>
                <c:pt idx="32">
                  <c:v>3989.8533950827496</c:v>
                </c:pt>
                <c:pt idx="33">
                  <c:v>3796.2846460896453</c:v>
                </c:pt>
                <c:pt idx="34">
                  <c:v>3583.3214078731021</c:v>
                </c:pt>
                <c:pt idx="35">
                  <c:v>3537.4096101541918</c:v>
                </c:pt>
                <c:pt idx="36">
                  <c:v>3694.1532725031088</c:v>
                </c:pt>
                <c:pt idx="37">
                  <c:v>3718.1446735352624</c:v>
                </c:pt>
                <c:pt idx="38">
                  <c:v>3844.765805991115</c:v>
                </c:pt>
                <c:pt idx="39">
                  <c:v>4276.5199196837657</c:v>
                </c:pt>
                <c:pt idx="40">
                  <c:v>4447.8386850416437</c:v>
                </c:pt>
                <c:pt idx="41">
                  <c:v>4997.8017395105471</c:v>
                </c:pt>
                <c:pt idx="42">
                  <c:v>5569.6507969846452</c:v>
                </c:pt>
                <c:pt idx="43">
                  <c:v>6018.5062617804269</c:v>
                </c:pt>
                <c:pt idx="44">
                  <c:v>5942.4327702003775</c:v>
                </c:pt>
                <c:pt idx="45">
                  <c:v>6237.2470984182164</c:v>
                </c:pt>
                <c:pt idx="46">
                  <c:v>6047.5053492683101</c:v>
                </c:pt>
                <c:pt idx="47">
                  <c:v>6189.6079710707836</c:v>
                </c:pt>
                <c:pt idx="48">
                  <c:v>5946.8640941914427</c:v>
                </c:pt>
                <c:pt idx="49">
                  <c:v>5703.9274448766264</c:v>
                </c:pt>
                <c:pt idx="50">
                  <c:v>5690.0740966094409</c:v>
                </c:pt>
                <c:pt idx="51">
                  <c:v>5887.0741505340293</c:v>
                </c:pt>
                <c:pt idx="52">
                  <c:v>5887.0583605770025</c:v>
                </c:pt>
                <c:pt idx="53">
                  <c:v>5796.3287589976862</c:v>
                </c:pt>
                <c:pt idx="54">
                  <c:v>5926.2173215626271</c:v>
                </c:pt>
                <c:pt idx="55">
                  <c:v>5705.9283567507337</c:v>
                </c:pt>
                <c:pt idx="56">
                  <c:v>5632.4635642688863</c:v>
                </c:pt>
                <c:pt idx="57">
                  <c:v>5807.118902262423</c:v>
                </c:pt>
                <c:pt idx="58">
                  <c:v>6028.0501988578462</c:v>
                </c:pt>
                <c:pt idx="59">
                  <c:v>6351.5578017369498</c:v>
                </c:pt>
                <c:pt idx="60">
                  <c:v>6224.5367348974487</c:v>
                </c:pt>
                <c:pt idx="61">
                  <c:v>6317.1421076591341</c:v>
                </c:pt>
                <c:pt idx="62">
                  <c:v>6402.2797328434172</c:v>
                </c:pt>
                <c:pt idx="63">
                  <c:v>6491.8837936824566</c:v>
                </c:pt>
                <c:pt idx="64">
                  <c:v>6778.3726848434644</c:v>
                </c:pt>
                <c:pt idx="65">
                  <c:v>7285.6714749167049</c:v>
                </c:pt>
                <c:pt idx="66">
                  <c:v>7487.5174197192473</c:v>
                </c:pt>
                <c:pt idx="67">
                  <c:v>8363.69305566605</c:v>
                </c:pt>
                <c:pt idx="68">
                  <c:v>8429.4139846524558</c:v>
                </c:pt>
                <c:pt idx="69">
                  <c:v>9231.5637980871652</c:v>
                </c:pt>
                <c:pt idx="70">
                  <c:v>9148.1626730690496</c:v>
                </c:pt>
                <c:pt idx="71">
                  <c:v>9390.3541365544152</c:v>
                </c:pt>
                <c:pt idx="72">
                  <c:v>9859.4145096865232</c:v>
                </c:pt>
                <c:pt idx="73">
                  <c:v>10540.012597596457</c:v>
                </c:pt>
                <c:pt idx="74">
                  <c:v>10312.364319516975</c:v>
                </c:pt>
                <c:pt idx="75">
                  <c:v>11079.723361290558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6A-4DB4-B00E-90F984187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6776"/>
        <c:axId val="663237168"/>
      </c:scatterChart>
      <c:valAx>
        <c:axId val="66323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7168"/>
        <c:crosses val="autoZero"/>
        <c:crossBetween val="midCat"/>
      </c:valAx>
      <c:valAx>
        <c:axId val="663237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677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'Prac3.TreAdj.ES'!$J$1:$J$2</c:f>
          <c:strCache>
            <c:ptCount val="2"/>
            <c:pt idx="0">
              <c:v>Tracking Signal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'Prac3.TreAdj.ES'!$J$3:$J$77</c:f>
              <c:numCache>
                <c:formatCode>0.0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1.8425066450212937</c:v>
                </c:pt>
                <c:pt idx="5">
                  <c:v>1.9797673976153696</c:v>
                </c:pt>
                <c:pt idx="6">
                  <c:v>1.3163064539965124</c:v>
                </c:pt>
                <c:pt idx="7">
                  <c:v>0.31536871177842701</c:v>
                </c:pt>
                <c:pt idx="8">
                  <c:v>1.154653547332442</c:v>
                </c:pt>
                <c:pt idx="9">
                  <c:v>1.1667464077649679</c:v>
                </c:pt>
                <c:pt idx="10">
                  <c:v>0.27515860997323727</c:v>
                </c:pt>
                <c:pt idx="11">
                  <c:v>-0.92441655854938398</c:v>
                </c:pt>
                <c:pt idx="12">
                  <c:v>0.11565091973016774</c:v>
                </c:pt>
                <c:pt idx="13">
                  <c:v>0.90570538882917773</c:v>
                </c:pt>
                <c:pt idx="14">
                  <c:v>-0.77131194442928419</c:v>
                </c:pt>
                <c:pt idx="15">
                  <c:v>0.15442374041987056</c:v>
                </c:pt>
                <c:pt idx="16">
                  <c:v>-0.34634932446303496</c:v>
                </c:pt>
                <c:pt idx="17">
                  <c:v>-1.7229789787294201</c:v>
                </c:pt>
                <c:pt idx="18">
                  <c:v>-4.7502592449990608</c:v>
                </c:pt>
                <c:pt idx="19">
                  <c:v>-1.8923957831637808</c:v>
                </c:pt>
                <c:pt idx="20">
                  <c:v>-1.2617106412281023</c:v>
                </c:pt>
                <c:pt idx="21">
                  <c:v>-1.3071136552198528</c:v>
                </c:pt>
                <c:pt idx="22">
                  <c:v>-1.1936235224899476</c:v>
                </c:pt>
                <c:pt idx="23">
                  <c:v>-1.6257878666322869</c:v>
                </c:pt>
                <c:pt idx="24">
                  <c:v>0.52383896716822487</c:v>
                </c:pt>
                <c:pt idx="25">
                  <c:v>1.7149702157995805</c:v>
                </c:pt>
                <c:pt idx="26">
                  <c:v>-0.86677957415634099</c:v>
                </c:pt>
                <c:pt idx="27">
                  <c:v>0.80316149750199028</c:v>
                </c:pt>
                <c:pt idx="28">
                  <c:v>-0.62663900723468613</c:v>
                </c:pt>
                <c:pt idx="29">
                  <c:v>-1.9375190952141987</c:v>
                </c:pt>
                <c:pt idx="30">
                  <c:v>-0.77421353304974849</c:v>
                </c:pt>
                <c:pt idx="31">
                  <c:v>-3.5511342346045494</c:v>
                </c:pt>
                <c:pt idx="32">
                  <c:v>-5.4714855635561284</c:v>
                </c:pt>
                <c:pt idx="33">
                  <c:v>-6.8629778508067609</c:v>
                </c:pt>
                <c:pt idx="34">
                  <c:v>-5.936941699475657</c:v>
                </c:pt>
                <c:pt idx="35">
                  <c:v>-2.9452548456372956</c:v>
                </c:pt>
                <c:pt idx="36">
                  <c:v>-2.7134766995184791</c:v>
                </c:pt>
                <c:pt idx="37">
                  <c:v>-1.413933108428582</c:v>
                </c:pt>
                <c:pt idx="38">
                  <c:v>2.4602595166813144</c:v>
                </c:pt>
                <c:pt idx="39">
                  <c:v>2.2749135830406861</c:v>
                </c:pt>
                <c:pt idx="40">
                  <c:v>5.5958261673013379</c:v>
                </c:pt>
                <c:pt idx="41">
                  <c:v>7.7149929145504617</c:v>
                </c:pt>
                <c:pt idx="42">
                  <c:v>8.1503270289348571</c:v>
                </c:pt>
                <c:pt idx="43">
                  <c:v>3.1657154774521339</c:v>
                </c:pt>
                <c:pt idx="44">
                  <c:v>3.6885566956480855</c:v>
                </c:pt>
                <c:pt idx="45">
                  <c:v>-0.22168537609156186</c:v>
                </c:pt>
                <c:pt idx="46">
                  <c:v>0.19709148062696222</c:v>
                </c:pt>
                <c:pt idx="47">
                  <c:v>-2.630436461000206</c:v>
                </c:pt>
                <c:pt idx="48">
                  <c:v>-4.3269482123912608</c:v>
                </c:pt>
                <c:pt idx="49">
                  <c:v>-3.6319096889225739</c:v>
                </c:pt>
                <c:pt idx="50">
                  <c:v>-1.4821839708237325</c:v>
                </c:pt>
                <c:pt idx="51">
                  <c:v>-1.7375756414597252</c:v>
                </c:pt>
                <c:pt idx="52">
                  <c:v>-2.602754583514054</c:v>
                </c:pt>
                <c:pt idx="53">
                  <c:v>-1.3978796092456376</c:v>
                </c:pt>
                <c:pt idx="54">
                  <c:v>-3.3378387026216267</c:v>
                </c:pt>
                <c:pt idx="55">
                  <c:v>-3.4907390150005657</c:v>
                </c:pt>
                <c:pt idx="56">
                  <c:v>-1.5840898565719927</c:v>
                </c:pt>
                <c:pt idx="57">
                  <c:v>-6.8129525411361885E-2</c:v>
                </c:pt>
                <c:pt idx="58">
                  <c:v>1.6348444725108937</c:v>
                </c:pt>
                <c:pt idx="59">
                  <c:v>-0.68878125161021431</c:v>
                </c:pt>
                <c:pt idx="60">
                  <c:v>-0.50277102918154692</c:v>
                </c:pt>
                <c:pt idx="61">
                  <c:v>-0.44333102035510163</c:v>
                </c:pt>
                <c:pt idx="62">
                  <c:v>-0.37289255785421366</c:v>
                </c:pt>
                <c:pt idx="63">
                  <c:v>1.1837092675152703</c:v>
                </c:pt>
                <c:pt idx="64">
                  <c:v>3.7474287368019708</c:v>
                </c:pt>
                <c:pt idx="65">
                  <c:v>3.1066321066731284</c:v>
                </c:pt>
                <c:pt idx="66">
                  <c:v>7.3490153023820293</c:v>
                </c:pt>
                <c:pt idx="67">
                  <c:v>4.2142748247334074</c:v>
                </c:pt>
                <c:pt idx="68">
                  <c:v>7.235342815763727</c:v>
                </c:pt>
                <c:pt idx="69">
                  <c:v>3.1529973812371912</c:v>
                </c:pt>
                <c:pt idx="70">
                  <c:v>2.9028301257776583</c:v>
                </c:pt>
                <c:pt idx="71">
                  <c:v>4.179727175271994</c:v>
                </c:pt>
                <c:pt idx="72">
                  <c:v>6.2504672616337391</c:v>
                </c:pt>
                <c:pt idx="73">
                  <c:v>1.734836641072375</c:v>
                </c:pt>
                <c:pt idx="74">
                  <c:v>4.9687219863444785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B4-42E0-A5C9-AE100FE6C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7952"/>
        <c:axId val="663238344"/>
      </c:scatterChart>
      <c:valAx>
        <c:axId val="66323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344"/>
        <c:crosses val="autoZero"/>
        <c:crossBetween val="midCat"/>
      </c:valAx>
      <c:valAx>
        <c:axId val="66323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'4.Trend&amp;SeasIravaniMine'!$B$2</c:f>
          <c:strCache>
            <c:ptCount val="1"/>
            <c:pt idx="0">
              <c:v>TrenSeasAdjust-Ave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'4.Trend&amp;SeasIravaniMine'!$B$2</c:f>
              <c:strCache>
                <c:ptCount val="1"/>
                <c:pt idx="0">
                  <c:v>TrenSeasAdjust-Ave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'4.Trend&amp;SeasIravaniMine'!$A$4:$A$31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'4.Trend&amp;SeasIravaniMine'!$B$4:$B$31</c:f>
              <c:numCache>
                <c:formatCode>General</c:formatCode>
                <c:ptCount val="28"/>
                <c:pt idx="0">
                  <c:v>21</c:v>
                </c:pt>
                <c:pt idx="1">
                  <c:v>27</c:v>
                </c:pt>
                <c:pt idx="2">
                  <c:v>38</c:v>
                </c:pt>
                <c:pt idx="3">
                  <c:v>28</c:v>
                </c:pt>
                <c:pt idx="4">
                  <c:v>38</c:v>
                </c:pt>
                <c:pt idx="5">
                  <c:v>49</c:v>
                </c:pt>
                <c:pt idx="6">
                  <c:v>47</c:v>
                </c:pt>
                <c:pt idx="7">
                  <c:v>35</c:v>
                </c:pt>
                <c:pt idx="8">
                  <c:v>42</c:v>
                </c:pt>
                <c:pt idx="9">
                  <c:v>55</c:v>
                </c:pt>
                <c:pt idx="10">
                  <c:v>56</c:v>
                </c:pt>
                <c:pt idx="11">
                  <c:v>32</c:v>
                </c:pt>
                <c:pt idx="12">
                  <c:v>35</c:v>
                </c:pt>
                <c:pt idx="13">
                  <c:v>55</c:v>
                </c:pt>
                <c:pt idx="14">
                  <c:v>50</c:v>
                </c:pt>
                <c:pt idx="15">
                  <c:v>46</c:v>
                </c:pt>
                <c:pt idx="16">
                  <c:v>44</c:v>
                </c:pt>
                <c:pt idx="17">
                  <c:v>45</c:v>
                </c:pt>
                <c:pt idx="18">
                  <c:v>59</c:v>
                </c:pt>
                <c:pt idx="19">
                  <c:v>49</c:v>
                </c:pt>
                <c:pt idx="20">
                  <c:v>39</c:v>
                </c:pt>
                <c:pt idx="21">
                  <c:v>73</c:v>
                </c:pt>
                <c:pt idx="22">
                  <c:v>75</c:v>
                </c:pt>
                <c:pt idx="23">
                  <c:v>56</c:v>
                </c:pt>
                <c:pt idx="24">
                  <c:v>60</c:v>
                </c:pt>
                <c:pt idx="25">
                  <c:v>71</c:v>
                </c:pt>
                <c:pt idx="26">
                  <c:v>84</c:v>
                </c:pt>
                <c:pt idx="27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3D-4363-8027-8ED1CEE45354}"/>
            </c:ext>
          </c:extLst>
        </c:ser>
        <c:ser>
          <c:idx val="0"/>
          <c:order val="1"/>
          <c:tx>
            <c:strRef>
              <c:f>'4.Trend&amp;SeasIravaniMine'!$F$2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'4.Trend&amp;SeasIravaniMine'!$A$4:$A$35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'4.Trend&amp;SeasIravaniMine'!$F$4:$F$35</c:f>
              <c:numCache>
                <c:formatCode>0.00</c:formatCode>
                <c:ptCount val="32"/>
                <c:pt idx="0">
                  <c:v>22.145308924485125</c:v>
                </c:pt>
                <c:pt idx="1">
                  <c:v>28.943752860411891</c:v>
                </c:pt>
                <c:pt idx="2">
                  <c:v>40.367582608695642</c:v>
                </c:pt>
                <c:pt idx="3">
                  <c:v>29.093339386727688</c:v>
                </c:pt>
                <c:pt idx="4">
                  <c:v>20.746637910488889</c:v>
                </c:pt>
                <c:pt idx="5">
                  <c:v>41.185873717324462</c:v>
                </c:pt>
                <c:pt idx="6">
                  <c:v>74.100426844089469</c:v>
                </c:pt>
                <c:pt idx="7">
                  <c:v>50.003862417403113</c:v>
                </c:pt>
                <c:pt idx="8">
                  <c:v>45.000337106254221</c:v>
                </c:pt>
                <c:pt idx="9">
                  <c:v>41.006611518735305</c:v>
                </c:pt>
                <c:pt idx="10">
                  <c:v>50.984018933688489</c:v>
                </c:pt>
                <c:pt idx="11">
                  <c:v>43.550354629262529</c:v>
                </c:pt>
                <c:pt idx="12">
                  <c:v>45.788736755862736</c:v>
                </c:pt>
                <c:pt idx="13">
                  <c:v>44.872896422901682</c:v>
                </c:pt>
                <c:pt idx="14">
                  <c:v>44.529720974005947</c:v>
                </c:pt>
                <c:pt idx="15">
                  <c:v>29.795605656730746</c:v>
                </c:pt>
                <c:pt idx="16">
                  <c:v>49.612850055761463</c:v>
                </c:pt>
                <c:pt idx="17">
                  <c:v>77.107226373751786</c:v>
                </c:pt>
                <c:pt idx="18">
                  <c:v>55.022114800102464</c:v>
                </c:pt>
                <c:pt idx="19">
                  <c:v>42.053840307496372</c:v>
                </c:pt>
                <c:pt idx="20">
                  <c:v>41.042615665372374</c:v>
                </c:pt>
                <c:pt idx="21">
                  <c:v>50.77083020634602</c:v>
                </c:pt>
                <c:pt idx="22">
                  <c:v>77.642644794973521</c:v>
                </c:pt>
                <c:pt idx="23">
                  <c:v>66.621122126840518</c:v>
                </c:pt>
                <c:pt idx="24">
                  <c:v>52.630056650419398</c:v>
                </c:pt>
                <c:pt idx="25">
                  <c:v>93.991852580069931</c:v>
                </c:pt>
                <c:pt idx="26">
                  <c:v>80.415572720307594</c:v>
                </c:pt>
                <c:pt idx="27">
                  <c:v>61.988586276423433</c:v>
                </c:pt>
                <c:pt idx="28">
                  <c:v>46.350087490767137</c:v>
                </c:pt>
                <c:pt idx="29">
                  <c:v>53.88529400564466</c:v>
                </c:pt>
                <c:pt idx="30">
                  <c:v>52.844682645571375</c:v>
                </c:pt>
                <c:pt idx="31">
                  <c:v>28.308629850721452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3D-4363-8027-8ED1CEE45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'1.Trend&amp;Season'!$B$4:$B$78</c:f>
              <c:numCache>
                <c:formatCode>0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B-4B2B-8C2E-46AAA498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'1.Trend&amp;Season'!$C$3</c:f>
          <c:strCache>
            <c:ptCount val="1"/>
            <c:pt idx="0">
              <c:v>Centered-MA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'1.Trend&amp;Season'!$A$6:$A$29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</c:numCache>
            </c:numRef>
          </c:xVal>
          <c:yVal>
            <c:numRef>
              <c:f>'1.Trend&amp;Season'!$C$6:$C$29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30-476E-8EDD-D223B7303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'1.Trend&amp;Season'!$D$3</c:f>
          <c:strCache>
            <c:ptCount val="1"/>
            <c:pt idx="0">
              <c:v>Reg-Cen-MA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'1.Trend&amp;Season'!$C$3</c:f>
              <c:strCache>
                <c:ptCount val="1"/>
                <c:pt idx="0">
                  <c:v>Centered-MA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'1.Trend&amp;Season'!$C$4:$C$31</c:f>
              <c:numCache>
                <c:formatCode>General</c:formatCode>
                <c:ptCount val="28"/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20-4FA6-9237-F53EFA30D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'1.Trend&amp;Season'!$A$4:$A$31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'1.Trend&amp;Season'!$D$4:$D$31</c:f>
              <c:numCache>
                <c:formatCode>0.0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0E-48C3-8172-89A05CB1E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'1.Trend&amp;Season'!$G$3</c:f>
          <c:strCache>
            <c:ptCount val="1"/>
            <c:pt idx="0">
              <c:v>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'1.Trend&amp;Season'!$A$4:$A$31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'1.Trend&amp;Season'!$B$4:$B$31</c:f>
              <c:numCache>
                <c:formatCode>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79-4A19-9B27-DCA2BF4C70F0}"/>
            </c:ext>
          </c:extLst>
        </c:ser>
        <c:ser>
          <c:idx val="1"/>
          <c:order val="1"/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'1.Trend&amp;Season'!$G$4:$G$83</c:f>
              <c:numCache>
                <c:formatCode>0.00</c:formatCode>
                <c:ptCount val="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79-4A19-9B27-DCA2BF4C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TrendAndSeasSocic!$B$1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TrendAndSeasSocic!$B$1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TrendAndSeasSocic!$A$3:$A$14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TrendAndSeasSocic!$B$3:$B$14</c:f>
              <c:numCache>
                <c:formatCode>General</c:formatCode>
                <c:ptCount val="12"/>
                <c:pt idx="0">
                  <c:v>22</c:v>
                </c:pt>
                <c:pt idx="1">
                  <c:v>30</c:v>
                </c:pt>
                <c:pt idx="2">
                  <c:v>28</c:v>
                </c:pt>
                <c:pt idx="3">
                  <c:v>26</c:v>
                </c:pt>
                <c:pt idx="4">
                  <c:v>40</c:v>
                </c:pt>
                <c:pt idx="5">
                  <c:v>55</c:v>
                </c:pt>
                <c:pt idx="6">
                  <c:v>49</c:v>
                </c:pt>
                <c:pt idx="7">
                  <c:v>40</c:v>
                </c:pt>
                <c:pt idx="8">
                  <c:v>55</c:v>
                </c:pt>
                <c:pt idx="9">
                  <c:v>79</c:v>
                </c:pt>
                <c:pt idx="10">
                  <c:v>68</c:v>
                </c:pt>
                <c:pt idx="11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BA-46E6-893C-10A66599F343}"/>
            </c:ext>
          </c:extLst>
        </c:ser>
        <c:ser>
          <c:idx val="0"/>
          <c:order val="1"/>
          <c:tx>
            <c:strRef>
              <c:f>TrendAndSeasSocic!$F$1</c:f>
              <c:strCache>
                <c:ptCount val="1"/>
                <c:pt idx="0">
                  <c:v>Ft(TrSeasAdjExpSmoo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TrendAndSeasSocic!$A$3:$A$18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TrendAndSeasSocic!$F$3:$F$18</c:f>
              <c:numCache>
                <c:formatCode>0.0000</c:formatCode>
                <c:ptCount val="16"/>
                <c:pt idx="0">
                  <c:v>18.029995162070634</c:v>
                </c:pt>
                <c:pt idx="1">
                  <c:v>30.2511677002243</c:v>
                </c:pt>
                <c:pt idx="2">
                  <c:v>32.98817567840964</c:v>
                </c:pt>
                <c:pt idx="3">
                  <c:v>34.512018735277294</c:v>
                </c:pt>
                <c:pt idx="4">
                  <c:v>33.423099576715863</c:v>
                </c:pt>
                <c:pt idx="5">
                  <c:v>49.418235678771154</c:v>
                </c:pt>
                <c:pt idx="6">
                  <c:v>49.924147777575612</c:v>
                </c:pt>
                <c:pt idx="7">
                  <c:v>49.545742754159903</c:v>
                </c:pt>
                <c:pt idx="8">
                  <c:v>50.787329857385032</c:v>
                </c:pt>
                <c:pt idx="9">
                  <c:v>70.752230031370885</c:v>
                </c:pt>
                <c:pt idx="10">
                  <c:v>67.835779521626733</c:v>
                </c:pt>
                <c:pt idx="11">
                  <c:v>63.660339447988754</c:v>
                </c:pt>
                <c:pt idx="12">
                  <c:v>68.823834273375738</c:v>
                </c:pt>
                <c:pt idx="13">
                  <c:v>94.155504258440416</c:v>
                </c:pt>
                <c:pt idx="14">
                  <c:v>85.868856471611721</c:v>
                </c:pt>
                <c:pt idx="15">
                  <c:v>78.734157405677777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BA-46E6-893C-10A66599F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16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TrendAndSeasChopraBook!$B$1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TrendAndSeasChopraBook!$B$1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TrendAndSeasChopraBook!$A$3:$A$30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TrendAndSeasChopraBook!$B$3:$B$30</c:f>
              <c:numCache>
                <c:formatCode>General</c:formatCode>
                <c:ptCount val="28"/>
                <c:pt idx="0">
                  <c:v>8000</c:v>
                </c:pt>
                <c:pt idx="1">
                  <c:v>13000</c:v>
                </c:pt>
                <c:pt idx="2">
                  <c:v>23000</c:v>
                </c:pt>
                <c:pt idx="3">
                  <c:v>34000</c:v>
                </c:pt>
                <c:pt idx="4">
                  <c:v>10000</c:v>
                </c:pt>
                <c:pt idx="5">
                  <c:v>18000</c:v>
                </c:pt>
                <c:pt idx="6">
                  <c:v>23000</c:v>
                </c:pt>
                <c:pt idx="7">
                  <c:v>38000</c:v>
                </c:pt>
                <c:pt idx="8">
                  <c:v>12000</c:v>
                </c:pt>
                <c:pt idx="9">
                  <c:v>13000</c:v>
                </c:pt>
                <c:pt idx="10">
                  <c:v>32000</c:v>
                </c:pt>
                <c:pt idx="11">
                  <c:v>41000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BC-47D6-82EF-98DAB2F8C61E}"/>
            </c:ext>
          </c:extLst>
        </c:ser>
        <c:ser>
          <c:idx val="0"/>
          <c:order val="1"/>
          <c:tx>
            <c:strRef>
              <c:f>TrendAndSeasChopraBook!$M$1</c:f>
              <c:strCache>
                <c:ptCount val="1"/>
                <c:pt idx="0">
                  <c:v>Ft(TrSeasAdjExpSmoo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TrendAndSeasChopraBook!$A$3:$A$34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TrendAndSeasChopraBook!$M$3:$M$18</c:f>
              <c:numCache>
                <c:formatCode>0.0000</c:formatCode>
                <c:ptCount val="16"/>
                <c:pt idx="0">
                  <c:v>8966.3233717127368</c:v>
                </c:pt>
                <c:pt idx="1">
                  <c:v>13609.735442881156</c:v>
                </c:pt>
                <c:pt idx="2">
                  <c:v>23897.321943273386</c:v>
                </c:pt>
                <c:pt idx="3">
                  <c:v>34828.043037682626</c:v>
                </c:pt>
                <c:pt idx="4">
                  <c:v>10015.272708869217</c:v>
                </c:pt>
                <c:pt idx="5">
                  <c:v>15174.266436441609</c:v>
                </c:pt>
                <c:pt idx="6">
                  <c:v>26476.956904982584</c:v>
                </c:pt>
                <c:pt idx="7">
                  <c:v>38588.416503408538</c:v>
                </c:pt>
                <c:pt idx="8">
                  <c:v>11153.162711683479</c:v>
                </c:pt>
                <c:pt idx="9">
                  <c:v>16812.154065218456</c:v>
                </c:pt>
                <c:pt idx="10">
                  <c:v>28668.678237399676</c:v>
                </c:pt>
                <c:pt idx="11">
                  <c:v>42194.989557426314</c:v>
                </c:pt>
                <c:pt idx="12">
                  <c:v>11973.423559735484</c:v>
                </c:pt>
                <c:pt idx="13">
                  <c:v>17646.463281136883</c:v>
                </c:pt>
                <c:pt idx="14">
                  <c:v>30949.702417485096</c:v>
                </c:pt>
                <c:pt idx="15">
                  <c:v>44808.514306899138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BC-47D6-82EF-98DAB2F8C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wmf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chart" Target="../charts/chart2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59532</xdr:colOff>
      <xdr:row>19</xdr:row>
      <xdr:rowOff>42859</xdr:rowOff>
    </xdr:from>
    <xdr:to>
      <xdr:col>17</xdr:col>
      <xdr:colOff>314326</xdr:colOff>
      <xdr:row>52</xdr:row>
      <xdr:rowOff>54768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9910AC-5BD9-4F61-BB38-521FDC552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583224</xdr:colOff>
      <xdr:row>3</xdr:row>
      <xdr:rowOff>160697</xdr:rowOff>
    </xdr:from>
    <xdr:to>
      <xdr:col>20</xdr:col>
      <xdr:colOff>241079</xdr:colOff>
      <xdr:row>19</xdr:row>
      <xdr:rowOff>12816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BF11A3-D03F-4F83-9B60-FFD470448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344349</xdr:colOff>
      <xdr:row>8</xdr:row>
      <xdr:rowOff>148906</xdr:rowOff>
    </xdr:from>
    <xdr:to>
      <xdr:col>22</xdr:col>
      <xdr:colOff>181548</xdr:colOff>
      <xdr:row>24</xdr:row>
      <xdr:rowOff>6641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1610A1-562F-4722-8907-CBCF19E2A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449293</xdr:colOff>
      <xdr:row>8</xdr:row>
      <xdr:rowOff>161746</xdr:rowOff>
    </xdr:from>
    <xdr:to>
      <xdr:col>29</xdr:col>
      <xdr:colOff>286492</xdr:colOff>
      <xdr:row>24</xdr:row>
      <xdr:rowOff>19481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340A042-748B-472C-A54B-90519C777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123199</xdr:colOff>
      <xdr:row>4</xdr:row>
      <xdr:rowOff>159920</xdr:rowOff>
    </xdr:from>
    <xdr:to>
      <xdr:col>23</xdr:col>
      <xdr:colOff>444668</xdr:colOff>
      <xdr:row>18</xdr:row>
      <xdr:rowOff>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56907D-CC4A-4991-BB5F-3AA61487F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80211</xdr:colOff>
      <xdr:row>7</xdr:row>
      <xdr:rowOff>60158</xdr:rowOff>
    </xdr:from>
    <xdr:to>
      <xdr:col>11</xdr:col>
      <xdr:colOff>103640</xdr:colOff>
      <xdr:row>25</xdr:row>
      <xdr:rowOff>40104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A46A24-E881-4894-A09F-BF7AC7CBB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157321</xdr:colOff>
      <xdr:row>15</xdr:row>
      <xdr:rowOff>88612</xdr:rowOff>
    </xdr:from>
    <xdr:to>
      <xdr:col>20</xdr:col>
      <xdr:colOff>79177</xdr:colOff>
      <xdr:row>32</xdr:row>
      <xdr:rowOff>74593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B13D5BB-984B-4A90-814A-F6887E251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781661</xdr:colOff>
      <xdr:row>5</xdr:row>
      <xdr:rowOff>200382</xdr:rowOff>
    </xdr:from>
    <xdr:to>
      <xdr:col>10</xdr:col>
      <xdr:colOff>667720</xdr:colOff>
      <xdr:row>21</xdr:row>
      <xdr:rowOff>52502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223EA-0220-4D8C-9C6B-F2A70E094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0</xdr:row>
      <xdr:rowOff>104775</xdr:rowOff>
    </xdr:from>
    <xdr:to>
      <xdr:col>12</xdr:col>
      <xdr:colOff>76200</xdr:colOff>
      <xdr:row>14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5D9CF4-11DF-4AB7-8164-A02ACD6FB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314325</xdr:colOff>
      <xdr:row>0</xdr:row>
      <xdr:rowOff>57150</xdr:rowOff>
    </xdr:from>
    <xdr:ext cx="7075488" cy="4614862"/>
    <xdr:pic>
      <xdr:nvPicPr>
        <xdr:cNvPr id="3" name="Picture 2">
          <a:extLst>
            <a:ext uri="{FF2B5EF4-FFF2-40B4-BE49-F238E27FC236}">
              <a16:creationId xmlns:a16="http://schemas.microsoft.com/office/drawing/2014/main" id="{C25C42FE-7B14-4F65-A255-24F931905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57150"/>
          <a:ext cx="7075488" cy="46148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123825</xdr:colOff>
      <xdr:row>22</xdr:row>
      <xdr:rowOff>66675</xdr:rowOff>
    </xdr:from>
    <xdr:ext cx="7075487" cy="4614863"/>
    <xdr:pic>
      <xdr:nvPicPr>
        <xdr:cNvPr id="4" name="Picture 3">
          <a:extLst>
            <a:ext uri="{FF2B5EF4-FFF2-40B4-BE49-F238E27FC236}">
              <a16:creationId xmlns:a16="http://schemas.microsoft.com/office/drawing/2014/main" id="{72ACE876-4148-4EBA-903A-E944B858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39025" y="4257675"/>
          <a:ext cx="7075487" cy="4614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15</xdr:col>
      <xdr:colOff>0</xdr:colOff>
      <xdr:row>25</xdr:row>
      <xdr:rowOff>85725</xdr:rowOff>
    </xdr:from>
    <xdr:to>
      <xdr:col>17</xdr:col>
      <xdr:colOff>304800</xdr:colOff>
      <xdr:row>31</xdr:row>
      <xdr:rowOff>9525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47FCD91D-1B21-4A4E-AEB4-032F249ECCCC}"/>
            </a:ext>
          </a:extLst>
        </xdr:cNvPr>
        <xdr:cNvSpPr>
          <a:spLocks noChangeArrowheads="1"/>
        </xdr:cNvSpPr>
      </xdr:nvSpPr>
      <xdr:spPr bwMode="auto">
        <a:xfrm>
          <a:off x="9144000" y="4848225"/>
          <a:ext cx="1524000" cy="10668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224893</xdr:colOff>
      <xdr:row>11</xdr:row>
      <xdr:rowOff>29969</xdr:rowOff>
    </xdr:from>
    <xdr:to>
      <xdr:col>25</xdr:col>
      <xdr:colOff>535923</xdr:colOff>
      <xdr:row>24</xdr:row>
      <xdr:rowOff>114356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8B911B-A446-49BE-B7C8-DEDFD2C5E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177804</xdr:colOff>
      <xdr:row>23</xdr:row>
      <xdr:rowOff>148381</xdr:rowOff>
    </xdr:from>
    <xdr:to>
      <xdr:col>30</xdr:col>
      <xdr:colOff>501361</xdr:colOff>
      <xdr:row>36</xdr:row>
      <xdr:rowOff>154035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CB8EB6-D061-47AE-BACF-C5145543C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854033</xdr:colOff>
      <xdr:row>22</xdr:row>
      <xdr:rowOff>187673</xdr:rowOff>
    </xdr:from>
    <xdr:to>
      <xdr:col>21</xdr:col>
      <xdr:colOff>531143</xdr:colOff>
      <xdr:row>37</xdr:row>
      <xdr:rowOff>81082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545B8F-BDC7-4204-8573-6EDE9EB6B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1610</xdr:colOff>
      <xdr:row>19</xdr:row>
      <xdr:rowOff>9496</xdr:rowOff>
    </xdr:from>
    <xdr:to>
      <xdr:col>30</xdr:col>
      <xdr:colOff>97194</xdr:colOff>
      <xdr:row>54</xdr:row>
      <xdr:rowOff>106913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153566</xdr:colOff>
      <xdr:row>2</xdr:row>
      <xdr:rowOff>3693</xdr:rowOff>
    </xdr:from>
    <xdr:to>
      <xdr:col>29</xdr:col>
      <xdr:colOff>439316</xdr:colOff>
      <xdr:row>18</xdr:row>
      <xdr:rowOff>103219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411957</xdr:colOff>
      <xdr:row>20</xdr:row>
      <xdr:rowOff>176209</xdr:rowOff>
    </xdr:from>
    <xdr:to>
      <xdr:col>19</xdr:col>
      <xdr:colOff>9526</xdr:colOff>
      <xdr:row>53</xdr:row>
      <xdr:rowOff>188118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A5BDF5-6FCE-4596-8271-347AD9C99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384788</xdr:colOff>
      <xdr:row>18</xdr:row>
      <xdr:rowOff>160697</xdr:rowOff>
    </xdr:from>
    <xdr:to>
      <xdr:col>18</xdr:col>
      <xdr:colOff>260924</xdr:colOff>
      <xdr:row>34</xdr:row>
      <xdr:rowOff>52504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82232B-0DA5-4579-A249-63AD265E8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50208</xdr:colOff>
      <xdr:row>12</xdr:row>
      <xdr:rowOff>116409</xdr:rowOff>
    </xdr:from>
    <xdr:to>
      <xdr:col>38</xdr:col>
      <xdr:colOff>58316</xdr:colOff>
      <xdr:row>48</xdr:row>
      <xdr:rowOff>48597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BBE12B-75C2-46C5-B9BB-D02DAC430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532622</xdr:colOff>
      <xdr:row>1</xdr:row>
      <xdr:rowOff>13412</xdr:rowOff>
    </xdr:from>
    <xdr:to>
      <xdr:col>35</xdr:col>
      <xdr:colOff>206050</xdr:colOff>
      <xdr:row>17</xdr:row>
      <xdr:rowOff>112939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21B04F-9EE4-4C0F-9164-DBD05224B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380667</xdr:colOff>
      <xdr:row>15</xdr:row>
      <xdr:rowOff>87251</xdr:rowOff>
    </xdr:from>
    <xdr:to>
      <xdr:col>30</xdr:col>
      <xdr:colOff>48597</xdr:colOff>
      <xdr:row>51</xdr:row>
      <xdr:rowOff>19439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5FE5BE-4B71-49F1-9E2C-602AB6631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561780</xdr:colOff>
      <xdr:row>10</xdr:row>
      <xdr:rowOff>71728</xdr:rowOff>
    </xdr:from>
    <xdr:to>
      <xdr:col>38</xdr:col>
      <xdr:colOff>235209</xdr:colOff>
      <xdr:row>27</xdr:row>
      <xdr:rowOff>6025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582CC1-A43C-479D-8B57-D31806683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1148771</xdr:colOff>
      <xdr:row>9</xdr:row>
      <xdr:rowOff>71399</xdr:rowOff>
    </xdr:from>
    <xdr:to>
      <xdr:col>12</xdr:col>
      <xdr:colOff>102173</xdr:colOff>
      <xdr:row>24</xdr:row>
      <xdr:rowOff>131878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1A4095-3EA3-43C8-B4F6-16EAD540A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16065</xdr:colOff>
      <xdr:row>9</xdr:row>
      <xdr:rowOff>39057</xdr:rowOff>
    </xdr:from>
    <xdr:to>
      <xdr:col>14</xdr:col>
      <xdr:colOff>480425</xdr:colOff>
      <xdr:row>24</xdr:row>
      <xdr:rowOff>160512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598488</xdr:colOff>
      <xdr:row>9</xdr:row>
      <xdr:rowOff>8316</xdr:rowOff>
    </xdr:from>
    <xdr:to>
      <xdr:col>23</xdr:col>
      <xdr:colOff>198627</xdr:colOff>
      <xdr:row>24</xdr:row>
      <xdr:rowOff>153656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134714</xdr:colOff>
      <xdr:row>26</xdr:row>
      <xdr:rowOff>130668</xdr:rowOff>
    </xdr:from>
    <xdr:to>
      <xdr:col>14</xdr:col>
      <xdr:colOff>602560</xdr:colOff>
      <xdr:row>42</xdr:row>
      <xdr:rowOff>41997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22558</xdr:colOff>
      <xdr:row>26</xdr:row>
      <xdr:rowOff>14006</xdr:rowOff>
    </xdr:from>
    <xdr:to>
      <xdr:col>23</xdr:col>
      <xdr:colOff>272143</xdr:colOff>
      <xdr:row>41</xdr:row>
      <xdr:rowOff>113394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87453</xdr:colOff>
      <xdr:row>5</xdr:row>
      <xdr:rowOff>101600</xdr:rowOff>
    </xdr:from>
    <xdr:to>
      <xdr:col>22</xdr:col>
      <xdr:colOff>573660</xdr:colOff>
      <xdr:row>18</xdr:row>
      <xdr:rowOff>150091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62494F-AFAF-42CD-842C-5B25D8CBB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275645</xdr:colOff>
      <xdr:row>5</xdr:row>
      <xdr:rowOff>71400</xdr:rowOff>
    </xdr:from>
    <xdr:to>
      <xdr:col>30</xdr:col>
      <xdr:colOff>141860</xdr:colOff>
      <xdr:row>20</xdr:row>
      <xdr:rowOff>131880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4689A6-729E-4A0E-B5DE-833AF1747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_html/CourseBase/Forecasting/TreAdj-2021/TrendAdjustedES-Pract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Forecasting/Slides/Base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Desktop\Forecasting\ES-Adv-2020\NameItShor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public_html/CourseBase/Probability/S-Regression/BaseStatRegSe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ESLag"/>
      <sheetName val="1.RegLineDataAnalyFormula"/>
    </sheetNames>
    <sheetDataSet>
      <sheetData sheetId="0" refreshError="1"/>
      <sheetData sheetId="1">
        <row r="2">
          <cell r="B2">
            <v>21</v>
          </cell>
        </row>
        <row r="3">
          <cell r="B3">
            <v>28</v>
          </cell>
        </row>
        <row r="4">
          <cell r="B4">
            <v>32</v>
          </cell>
        </row>
        <row r="5">
          <cell r="B5">
            <v>34</v>
          </cell>
        </row>
        <row r="6">
          <cell r="B6">
            <v>36</v>
          </cell>
        </row>
        <row r="7">
          <cell r="B7">
            <v>37</v>
          </cell>
        </row>
        <row r="8">
          <cell r="B8">
            <v>39</v>
          </cell>
        </row>
        <row r="9">
          <cell r="B9">
            <v>40</v>
          </cell>
        </row>
        <row r="10">
          <cell r="B10">
            <v>40</v>
          </cell>
        </row>
        <row r="11">
          <cell r="B11">
            <v>40</v>
          </cell>
        </row>
        <row r="12">
          <cell r="B12">
            <v>41</v>
          </cell>
        </row>
        <row r="13">
          <cell r="B13">
            <v>43</v>
          </cell>
        </row>
        <row r="14">
          <cell r="B14">
            <v>44</v>
          </cell>
        </row>
        <row r="15">
          <cell r="B15">
            <v>44</v>
          </cell>
        </row>
        <row r="16">
          <cell r="B16">
            <v>45</v>
          </cell>
        </row>
        <row r="17">
          <cell r="B17">
            <v>46</v>
          </cell>
        </row>
        <row r="18">
          <cell r="B18">
            <v>48</v>
          </cell>
        </row>
        <row r="19">
          <cell r="B19">
            <v>50</v>
          </cell>
        </row>
        <row r="20">
          <cell r="B20">
            <v>54</v>
          </cell>
        </row>
        <row r="21">
          <cell r="B21">
            <v>54</v>
          </cell>
        </row>
        <row r="22">
          <cell r="B22">
            <v>55</v>
          </cell>
        </row>
        <row r="23">
          <cell r="B23">
            <v>58</v>
          </cell>
        </row>
        <row r="24">
          <cell r="B24">
            <v>60</v>
          </cell>
        </row>
        <row r="25">
          <cell r="B25">
            <v>63</v>
          </cell>
        </row>
        <row r="26">
          <cell r="B26">
            <v>70</v>
          </cell>
        </row>
        <row r="27">
          <cell r="B27">
            <v>70</v>
          </cell>
        </row>
        <row r="28">
          <cell r="B28">
            <v>82</v>
          </cell>
        </row>
        <row r="29">
          <cell r="B29">
            <v>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Set2ESTR"/>
      <sheetName val="ESTAES"/>
    </sheetNames>
    <sheetDataSet>
      <sheetData sheetId="0">
        <row r="2">
          <cell r="A2" t="str">
            <v>Per.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ArdiData28Fixed"/>
      <sheetName val="1.StatFitPoissNorm"/>
      <sheetName val="Stationary"/>
      <sheetName val="0.Regression"/>
      <sheetName val="Trend"/>
      <sheetName val="TrendAdj"/>
      <sheetName val="TrendAndSeas"/>
      <sheetName val="TrendAndSeas (2)"/>
      <sheetName val="TrAdES"/>
      <sheetName val="TrAdES2"/>
      <sheetName val="Sheet1"/>
      <sheetName val="3b.ArdiData28Fixed"/>
      <sheetName val="3c.ArdiData28Fixed"/>
      <sheetName val="3d.ArdiData28Fixed"/>
      <sheetName val="3e.ArdiData28Fixed"/>
      <sheetName val="3f.ArdiData28Fixed)"/>
      <sheetName val="3g.ArdiData28Fixed"/>
      <sheetName val="3h.ArdiData28Fixed"/>
    </sheetNames>
    <sheetDataSet>
      <sheetData sheetId="0"/>
      <sheetData sheetId="1">
        <row r="2">
          <cell r="B2">
            <v>50</v>
          </cell>
        </row>
        <row r="3">
          <cell r="B3">
            <v>25</v>
          </cell>
        </row>
        <row r="4">
          <cell r="B4">
            <v>33</v>
          </cell>
        </row>
        <row r="5">
          <cell r="B5">
            <v>72</v>
          </cell>
        </row>
        <row r="6">
          <cell r="B6">
            <v>67</v>
          </cell>
        </row>
        <row r="7">
          <cell r="B7">
            <v>35</v>
          </cell>
        </row>
        <row r="8">
          <cell r="B8">
            <v>42</v>
          </cell>
        </row>
        <row r="9">
          <cell r="B9">
            <v>44</v>
          </cell>
        </row>
        <row r="10">
          <cell r="B10">
            <v>51</v>
          </cell>
        </row>
        <row r="11">
          <cell r="B11">
            <v>39</v>
          </cell>
        </row>
        <row r="12">
          <cell r="B12">
            <v>46</v>
          </cell>
        </row>
        <row r="13">
          <cell r="B13">
            <v>41</v>
          </cell>
        </row>
        <row r="14">
          <cell r="B14">
            <v>69</v>
          </cell>
        </row>
        <row r="15">
          <cell r="B15">
            <v>28</v>
          </cell>
        </row>
        <row r="16">
          <cell r="B16">
            <v>82</v>
          </cell>
        </row>
        <row r="17">
          <cell r="B17">
            <v>65</v>
          </cell>
        </row>
        <row r="18">
          <cell r="B18">
            <v>47</v>
          </cell>
        </row>
        <row r="19">
          <cell r="B19">
            <v>53</v>
          </cell>
        </row>
        <row r="20">
          <cell r="B20">
            <v>90</v>
          </cell>
        </row>
        <row r="21">
          <cell r="B21">
            <v>56</v>
          </cell>
        </row>
        <row r="22">
          <cell r="B22">
            <v>51</v>
          </cell>
        </row>
        <row r="23">
          <cell r="B23">
            <v>40</v>
          </cell>
        </row>
        <row r="24">
          <cell r="B24">
            <v>61</v>
          </cell>
        </row>
        <row r="25">
          <cell r="B25">
            <v>72</v>
          </cell>
        </row>
        <row r="26">
          <cell r="B26">
            <v>39</v>
          </cell>
        </row>
        <row r="27">
          <cell r="B27">
            <v>31</v>
          </cell>
        </row>
        <row r="28">
          <cell r="B28">
            <v>62</v>
          </cell>
        </row>
        <row r="29">
          <cell r="B29">
            <v>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Trend&amp;Season"/>
    </sheetNames>
    <sheetDataSet>
      <sheetData sheetId="0" refreshError="1">
        <row r="2">
          <cell r="A2" t="str">
            <v>Per.</v>
          </cell>
          <cell r="D2" t="str">
            <v>Trend&amp;S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youtube.com/watch?v=VxYX8t5OZNc&amp;t=2s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BC111-FD8B-4587-B31C-2DDEBD96CCF2}">
  <sheetPr>
    <tabColor rgb="FFFFFF00"/>
  </sheetPr>
  <dimension ref="A1:Z64"/>
  <sheetViews>
    <sheetView zoomScaleNormal="100" workbookViewId="0">
      <selection activeCell="R32" sqref="R32"/>
    </sheetView>
  </sheetViews>
  <sheetFormatPr defaultColWidth="9.140625" defaultRowHeight="15.75" x14ac:dyDescent="0.25"/>
  <cols>
    <col min="1" max="1" width="9.140625" style="173"/>
    <col min="2" max="2" width="4.85546875" style="173" customWidth="1"/>
    <col min="3" max="4" width="11.5703125" style="173" customWidth="1"/>
    <col min="5" max="5" width="20" style="173" bestFit="1" customWidth="1"/>
    <col min="6" max="6" width="9.28515625" style="173" bestFit="1" customWidth="1"/>
    <col min="7" max="7" width="8" style="174" bestFit="1" customWidth="1"/>
    <col min="8" max="8" width="12.42578125" style="174" bestFit="1" customWidth="1"/>
    <col min="9" max="12" width="8.42578125" style="174" bestFit="1" customWidth="1"/>
    <col min="13" max="14" width="11.42578125" style="174" customWidth="1"/>
    <col min="15" max="15" width="15.42578125" style="173" bestFit="1" customWidth="1"/>
    <col min="16" max="16384" width="9.140625" style="173"/>
  </cols>
  <sheetData>
    <row r="1" spans="1:26" x14ac:dyDescent="0.25">
      <c r="A1" s="173" t="s">
        <v>117</v>
      </c>
      <c r="G1" s="173"/>
      <c r="H1" s="173"/>
      <c r="I1" s="173"/>
      <c r="J1" s="173"/>
      <c r="K1" s="173" t="s">
        <v>43</v>
      </c>
      <c r="L1" s="188">
        <v>2.3987962986543061E-2</v>
      </c>
      <c r="M1" t="s">
        <v>140</v>
      </c>
      <c r="N1">
        <v>0</v>
      </c>
      <c r="O1" t="str">
        <f>B7&amp;" vs. "&amp;E7</f>
        <v>At vs. Ft=L(t-1)+G(t-1)</v>
      </c>
      <c r="P1"/>
      <c r="Q1"/>
      <c r="R1"/>
      <c r="S1"/>
      <c r="T1"/>
      <c r="U1"/>
      <c r="V1"/>
      <c r="W1"/>
      <c r="X1"/>
    </row>
    <row r="2" spans="1:26" x14ac:dyDescent="0.25">
      <c r="A2" s="173" t="s">
        <v>116</v>
      </c>
      <c r="G2" s="173"/>
      <c r="H2" s="173"/>
      <c r="I2" s="173"/>
      <c r="J2" s="173"/>
      <c r="K2" s="173"/>
      <c r="L2" s="173"/>
      <c r="M2"/>
      <c r="N2"/>
      <c r="O2"/>
      <c r="P2"/>
      <c r="Q2"/>
      <c r="R2"/>
      <c r="S2"/>
      <c r="T2"/>
      <c r="U2"/>
      <c r="V2"/>
      <c r="W2"/>
      <c r="X2"/>
    </row>
    <row r="3" spans="1:26" x14ac:dyDescent="0.25">
      <c r="A3" s="173" t="s">
        <v>115</v>
      </c>
      <c r="G3" s="173"/>
      <c r="H3" s="173"/>
      <c r="I3" s="173"/>
      <c r="J3" s="173"/>
      <c r="K3" s="173"/>
      <c r="L3" s="173"/>
      <c r="M3"/>
      <c r="O3">
        <v>0</v>
      </c>
      <c r="P3"/>
      <c r="Q3"/>
      <c r="R3"/>
      <c r="S3"/>
      <c r="T3"/>
      <c r="U3"/>
      <c r="V3"/>
      <c r="W3"/>
      <c r="X3"/>
    </row>
    <row r="4" spans="1:26" x14ac:dyDescent="0.25">
      <c r="A4" s="173" t="s">
        <v>114</v>
      </c>
      <c r="G4" s="173"/>
      <c r="H4" s="173"/>
      <c r="I4" s="173"/>
      <c r="J4" s="173"/>
      <c r="K4" s="173"/>
      <c r="L4" s="173"/>
      <c r="M4"/>
      <c r="O4">
        <v>0.1</v>
      </c>
      <c r="P4"/>
      <c r="Q4"/>
      <c r="R4"/>
      <c r="S4"/>
      <c r="T4"/>
      <c r="U4"/>
    </row>
    <row r="5" spans="1:26" x14ac:dyDescent="0.25">
      <c r="G5" s="173"/>
      <c r="H5" s="173"/>
      <c r="I5" s="188">
        <v>0.14951773249266317</v>
      </c>
      <c r="J5" s="188">
        <v>0.15487165456799762</v>
      </c>
      <c r="K5" s="188">
        <v>4.7996478069290013E-2</v>
      </c>
      <c r="L5" s="173"/>
      <c r="M5"/>
      <c r="O5"/>
      <c r="P5"/>
      <c r="Q5"/>
      <c r="R5"/>
      <c r="S5"/>
      <c r="T5"/>
      <c r="U5"/>
    </row>
    <row r="6" spans="1:26" ht="16.5" x14ac:dyDescent="0.3">
      <c r="G6" s="173"/>
      <c r="H6" s="173"/>
      <c r="I6" s="180">
        <f>I58</f>
        <v>66.54628314728545</v>
      </c>
      <c r="J6" s="180">
        <f>J58</f>
        <v>155.13853390111083</v>
      </c>
      <c r="K6" s="180">
        <f>K58</f>
        <v>25.507404204498343</v>
      </c>
      <c r="L6" s="173"/>
      <c r="M6">
        <v>0</v>
      </c>
      <c r="N6" s="174">
        <v>0.1</v>
      </c>
      <c r="O6" s="187">
        <f>I6</f>
        <v>66.54628314728545</v>
      </c>
      <c r="P6" s="47">
        <f>M6</f>
        <v>0</v>
      </c>
      <c r="Q6" s="47">
        <f t="shared" ref="Q6:Z6" si="0">P6+$N$6</f>
        <v>0.1</v>
      </c>
      <c r="R6" s="47">
        <f t="shared" si="0"/>
        <v>0.2</v>
      </c>
      <c r="S6" s="47">
        <f t="shared" si="0"/>
        <v>0.30000000000000004</v>
      </c>
      <c r="T6" s="47">
        <f t="shared" si="0"/>
        <v>0.4</v>
      </c>
      <c r="U6" s="47">
        <f t="shared" si="0"/>
        <v>0.5</v>
      </c>
      <c r="V6" s="47">
        <f t="shared" si="0"/>
        <v>0.6</v>
      </c>
      <c r="W6" s="47">
        <f t="shared" si="0"/>
        <v>0.7</v>
      </c>
      <c r="X6" s="47">
        <f t="shared" si="0"/>
        <v>0.79999999999999993</v>
      </c>
      <c r="Y6" s="47">
        <f t="shared" si="0"/>
        <v>0.89999999999999991</v>
      </c>
      <c r="Z6" s="47">
        <f t="shared" si="0"/>
        <v>0.99999999999999989</v>
      </c>
    </row>
    <row r="7" spans="1:26" ht="16.5" x14ac:dyDescent="0.3">
      <c r="A7" s="174" t="s">
        <v>69</v>
      </c>
      <c r="B7" s="183" t="s">
        <v>0</v>
      </c>
      <c r="C7" s="173" t="s">
        <v>139</v>
      </c>
      <c r="D7" s="173" t="s">
        <v>138</v>
      </c>
      <c r="E7" s="175" t="s">
        <v>137</v>
      </c>
      <c r="F7" s="175" t="s">
        <v>106</v>
      </c>
      <c r="G7" s="175" t="s">
        <v>39</v>
      </c>
      <c r="H7" s="175" t="s">
        <v>105</v>
      </c>
      <c r="I7" s="175" t="s">
        <v>1</v>
      </c>
      <c r="J7" s="175" t="s">
        <v>41</v>
      </c>
      <c r="K7" s="175" t="s">
        <v>42</v>
      </c>
      <c r="L7" s="173"/>
      <c r="M7" s="173"/>
      <c r="O7">
        <f>O3</f>
        <v>0</v>
      </c>
      <c r="P7">
        <f t="dataTable" ref="P7:Z17" dt2D="1" dtr="1" r1="N1" r2="L1"/>
        <v>67.795918367346914</v>
      </c>
      <c r="Q7">
        <v>67.795918367346914</v>
      </c>
      <c r="R7" s="173">
        <v>67.795918367346914</v>
      </c>
      <c r="S7" s="173">
        <v>67.795918367346914</v>
      </c>
      <c r="T7" s="173">
        <v>67.795918367346914</v>
      </c>
      <c r="U7" s="173">
        <v>67.795918367346914</v>
      </c>
      <c r="V7" s="173">
        <v>67.795918367346914</v>
      </c>
      <c r="W7" s="173">
        <v>67.795918367346914</v>
      </c>
      <c r="X7" s="173">
        <v>67.795918367346914</v>
      </c>
      <c r="Y7" s="173">
        <v>67.795918367346914</v>
      </c>
      <c r="Z7" s="173">
        <v>67.795918367346914</v>
      </c>
    </row>
    <row r="8" spans="1:26" x14ac:dyDescent="0.25">
      <c r="A8" s="173">
        <v>0</v>
      </c>
      <c r="C8" s="173">
        <f>B9</f>
        <v>2</v>
      </c>
      <c r="D8" s="173">
        <f>(B58-B9)/(A58-1)</f>
        <v>6.1224489795918366E-2</v>
      </c>
      <c r="L8" s="173"/>
      <c r="M8" s="173"/>
      <c r="O8">
        <f t="shared" ref="O8:O17" si="1">O7+$O$4</f>
        <v>0.1</v>
      </c>
      <c r="P8">
        <v>65.837185956894402</v>
      </c>
      <c r="Q8">
        <v>66.476613796106165</v>
      </c>
      <c r="R8" s="173">
        <v>67.589706727023483</v>
      </c>
      <c r="S8" s="173">
        <v>68.386336606452957</v>
      </c>
      <c r="T8" s="173">
        <v>69.062561880085042</v>
      </c>
      <c r="U8" s="173">
        <v>70.56368248236825</v>
      </c>
      <c r="V8" s="173">
        <v>72.875440227820604</v>
      </c>
      <c r="W8" s="173">
        <v>74.881418677311046</v>
      </c>
      <c r="X8" s="173">
        <v>76.358472462595913</v>
      </c>
      <c r="Y8" s="173">
        <v>77.921873814845839</v>
      </c>
      <c r="Z8" s="173">
        <v>79.57372522264636</v>
      </c>
    </row>
    <row r="9" spans="1:26" ht="16.5" x14ac:dyDescent="0.3">
      <c r="A9" s="182">
        <v>1</v>
      </c>
      <c r="B9" s="181">
        <v>2</v>
      </c>
      <c r="C9" s="181">
        <f t="shared" ref="C9:C40" si="2">(1-$L$1)*E9+$L$1*B9</f>
        <v>2.0597558390008239</v>
      </c>
      <c r="D9" s="181">
        <f t="shared" ref="D9:D40" si="3">(1-$N$1)*D8+$N$1*(C9-C8)</f>
        <v>6.1224489795918366E-2</v>
      </c>
      <c r="E9" s="178">
        <f t="shared" ref="E9:E40" si="4">C8+D8</f>
        <v>2.0612244897959182</v>
      </c>
      <c r="F9" s="178">
        <f t="shared" ref="F9:F40" si="5">ABS(B9-E9)</f>
        <v>6.1224489795918213E-2</v>
      </c>
      <c r="G9" s="177">
        <f t="shared" ref="G9:G40" si="6">F9^2</f>
        <v>3.7484381507704935E-3</v>
      </c>
      <c r="H9" s="177">
        <f t="shared" ref="H9:H40" si="7">IFERROR(F9/B9,"")</f>
        <v>3.0612244897959107E-2</v>
      </c>
      <c r="I9" s="177">
        <f>SUM(F$9:F9)</f>
        <v>6.1224489795918213E-2</v>
      </c>
      <c r="J9" s="177">
        <f>SUM(G$9:G9)</f>
        <v>3.7484381507704935E-3</v>
      </c>
      <c r="K9" s="177">
        <f>SUM(H$9:H9)</f>
        <v>3.0612244897959107E-2</v>
      </c>
      <c r="M9" s="173"/>
      <c r="O9">
        <f t="shared" si="1"/>
        <v>0.2</v>
      </c>
      <c r="P9">
        <v>68.663300848460906</v>
      </c>
      <c r="Q9">
        <v>70.008002926707562</v>
      </c>
      <c r="R9" s="173">
        <v>71.651071412436011</v>
      </c>
      <c r="S9" s="173">
        <v>73.790046950414279</v>
      </c>
      <c r="T9" s="173">
        <v>76.082431522630614</v>
      </c>
      <c r="U9" s="173">
        <v>78.122843215589228</v>
      </c>
      <c r="V9" s="173">
        <v>79.820467496730686</v>
      </c>
      <c r="W9" s="173">
        <v>81.52155256153641</v>
      </c>
      <c r="X9" s="173">
        <v>82.81014438294298</v>
      </c>
      <c r="Y9" s="173">
        <v>84.407092369339537</v>
      </c>
      <c r="Z9" s="173">
        <v>86.609944930638136</v>
      </c>
    </row>
    <row r="10" spans="1:26" ht="16.5" x14ac:dyDescent="0.3">
      <c r="A10" s="182">
        <v>2</v>
      </c>
      <c r="B10" s="181">
        <v>2</v>
      </c>
      <c r="C10" s="181">
        <f t="shared" si="2"/>
        <v>2.1180782571474661</v>
      </c>
      <c r="D10" s="181">
        <f t="shared" si="3"/>
        <v>6.1224489795918366E-2</v>
      </c>
      <c r="E10" s="178">
        <f t="shared" si="4"/>
        <v>2.1209803287967421</v>
      </c>
      <c r="F10" s="178">
        <f t="shared" si="5"/>
        <v>0.12098032879674214</v>
      </c>
      <c r="G10" s="177">
        <f t="shared" si="6"/>
        <v>1.4636239955767837E-2</v>
      </c>
      <c r="H10" s="177">
        <f t="shared" si="7"/>
        <v>6.0490164398371071E-2</v>
      </c>
      <c r="I10" s="177">
        <f>SUM(F$9:F10)</f>
        <v>0.18220481859266036</v>
      </c>
      <c r="J10" s="177">
        <f>SUM(G$9:G10)</f>
        <v>1.8384678106538332E-2</v>
      </c>
      <c r="K10" s="177">
        <f>SUM(H$9:H10)</f>
        <v>9.1102409296330178E-2</v>
      </c>
      <c r="L10" s="173"/>
      <c r="M10" s="173"/>
      <c r="O10">
        <f t="shared" si="1"/>
        <v>0.30000000000000004</v>
      </c>
      <c r="P10">
        <v>71.049467535504419</v>
      </c>
      <c r="Q10" s="173">
        <v>72.95259826444213</v>
      </c>
      <c r="R10" s="173">
        <v>75.080531214937935</v>
      </c>
      <c r="S10" s="173">
        <v>77.23064449312983</v>
      </c>
      <c r="T10" s="173">
        <v>79.268840052059176</v>
      </c>
      <c r="U10" s="173">
        <v>81.487205450061865</v>
      </c>
      <c r="V10" s="173">
        <v>83.789693062587816</v>
      </c>
      <c r="W10" s="173">
        <v>86.590973067574325</v>
      </c>
      <c r="X10" s="173">
        <v>89.280540921432177</v>
      </c>
      <c r="Y10" s="173">
        <v>91.471277166906418</v>
      </c>
      <c r="Z10" s="173">
        <v>93.149582092220228</v>
      </c>
    </row>
    <row r="11" spans="1:26" ht="16.5" x14ac:dyDescent="0.3">
      <c r="A11" s="182">
        <v>3</v>
      </c>
      <c r="B11" s="181">
        <v>1</v>
      </c>
      <c r="C11" s="181">
        <f t="shared" si="2"/>
        <v>2.1510136762997778</v>
      </c>
      <c r="D11" s="181">
        <f t="shared" si="3"/>
        <v>6.1224489795918366E-2</v>
      </c>
      <c r="E11" s="178">
        <f t="shared" si="4"/>
        <v>2.1793027469433843</v>
      </c>
      <c r="F11" s="178">
        <f t="shared" si="5"/>
        <v>1.1793027469433843</v>
      </c>
      <c r="G11" s="177">
        <f t="shared" si="6"/>
        <v>1.3907549689482119</v>
      </c>
      <c r="H11" s="177">
        <f t="shared" si="7"/>
        <v>1.1793027469433843</v>
      </c>
      <c r="I11" s="177">
        <f>SUM(F$9:F11)</f>
        <v>1.3615075655360447</v>
      </c>
      <c r="J11" s="177">
        <f>SUM(G$9:G11)</f>
        <v>1.4091396470547504</v>
      </c>
      <c r="K11" s="177">
        <f>SUM(H$9:H11)</f>
        <v>1.2704051562397145</v>
      </c>
      <c r="M11" s="173"/>
      <c r="O11">
        <f t="shared" si="1"/>
        <v>0.4</v>
      </c>
      <c r="P11">
        <v>73.260440366943513</v>
      </c>
      <c r="Q11" s="173">
        <v>75.417777378356803</v>
      </c>
      <c r="R11" s="173">
        <v>77.878906245517413</v>
      </c>
      <c r="S11" s="173">
        <v>80.505329657163429</v>
      </c>
      <c r="T11" s="173">
        <v>83.225412772433003</v>
      </c>
      <c r="U11" s="173">
        <v>85.854527683748728</v>
      </c>
      <c r="V11" s="173">
        <v>88.340440599945893</v>
      </c>
      <c r="W11" s="173">
        <v>90.518720999669569</v>
      </c>
      <c r="X11" s="173">
        <v>92.203006155959102</v>
      </c>
      <c r="Y11" s="173">
        <v>93.460649994663058</v>
      </c>
      <c r="Z11" s="173">
        <v>94.649529918814423</v>
      </c>
    </row>
    <row r="12" spans="1:26" ht="16.5" x14ac:dyDescent="0.3">
      <c r="A12" s="182">
        <v>4</v>
      </c>
      <c r="B12" s="181">
        <v>0</v>
      </c>
      <c r="C12" s="181">
        <f t="shared" si="2"/>
        <v>2.1591710788499747</v>
      </c>
      <c r="D12" s="181">
        <f t="shared" si="3"/>
        <v>6.1224489795918366E-2</v>
      </c>
      <c r="E12" s="178">
        <f t="shared" si="4"/>
        <v>2.212238166095696</v>
      </c>
      <c r="F12" s="178">
        <f t="shared" si="5"/>
        <v>2.212238166095696</v>
      </c>
      <c r="G12" s="177">
        <f t="shared" si="6"/>
        <v>4.8939977035304487</v>
      </c>
      <c r="H12" s="177" t="str">
        <f t="shared" si="7"/>
        <v/>
      </c>
      <c r="I12" s="177">
        <f>SUM(F$9:F12)</f>
        <v>3.5737457316317407</v>
      </c>
      <c r="J12" s="177">
        <f>SUM(G$9:G12)</f>
        <v>6.3031373505851995</v>
      </c>
      <c r="K12" s="177">
        <f>SUM(H$9:H12)</f>
        <v>1.2704051562397145</v>
      </c>
      <c r="L12" s="173"/>
      <c r="O12">
        <f t="shared" si="1"/>
        <v>0.5</v>
      </c>
      <c r="P12">
        <v>75.217855636195452</v>
      </c>
      <c r="Q12" s="173">
        <v>77.959423838078706</v>
      </c>
      <c r="R12" s="173">
        <v>80.723770925000835</v>
      </c>
      <c r="S12" s="173">
        <v>83.565862069780195</v>
      </c>
      <c r="T12" s="173">
        <v>86.302646337022651</v>
      </c>
      <c r="U12" s="173">
        <v>88.855125635092378</v>
      </c>
      <c r="V12" s="173">
        <v>90.79626493002371</v>
      </c>
      <c r="W12" s="173">
        <v>92.319428852225656</v>
      </c>
      <c r="X12" s="173">
        <v>93.61849020770191</v>
      </c>
      <c r="Y12" s="173">
        <v>95.219334620642428</v>
      </c>
      <c r="Z12" s="173">
        <v>96.741001029403833</v>
      </c>
    </row>
    <row r="13" spans="1:26" ht="16.5" x14ac:dyDescent="0.3">
      <c r="A13" s="182">
        <v>5</v>
      </c>
      <c r="B13" s="181">
        <v>2</v>
      </c>
      <c r="C13" s="181">
        <f t="shared" si="2"/>
        <v>2.2151087279028174</v>
      </c>
      <c r="D13" s="181">
        <f t="shared" si="3"/>
        <v>6.1224489795918366E-2</v>
      </c>
      <c r="E13" s="178">
        <f t="shared" si="4"/>
        <v>2.2203955686458929</v>
      </c>
      <c r="F13" s="178">
        <f t="shared" si="5"/>
        <v>0.22039556864589294</v>
      </c>
      <c r="G13" s="177">
        <f t="shared" si="6"/>
        <v>4.8574206678746505E-2</v>
      </c>
      <c r="H13" s="177">
        <f t="shared" si="7"/>
        <v>0.11019778432294647</v>
      </c>
      <c r="I13" s="177">
        <f>SUM(F$9:F13)</f>
        <v>3.7941413002776336</v>
      </c>
      <c r="J13" s="177">
        <f>SUM(G$9:G13)</f>
        <v>6.351711557263946</v>
      </c>
      <c r="K13" s="177">
        <f>SUM(H$9:H13)</f>
        <v>1.380602940562661</v>
      </c>
      <c r="L13" s="186"/>
      <c r="O13">
        <f t="shared" si="1"/>
        <v>0.6</v>
      </c>
      <c r="P13">
        <v>77.537611248240253</v>
      </c>
      <c r="Q13" s="173">
        <v>80.614665186327059</v>
      </c>
      <c r="R13">
        <v>83.369216745822541</v>
      </c>
      <c r="S13">
        <v>86.142922364530193</v>
      </c>
      <c r="T13" s="173">
        <v>88.697876912862853</v>
      </c>
      <c r="U13" s="173">
        <v>90.842324103248018</v>
      </c>
      <c r="V13" s="173">
        <v>93.033220054439056</v>
      </c>
      <c r="W13" s="173">
        <v>94.934632761438564</v>
      </c>
      <c r="X13" s="173">
        <v>96.627099699665379</v>
      </c>
      <c r="Y13" s="173">
        <v>98.123840114949729</v>
      </c>
      <c r="Z13" s="173">
        <v>99.818769291295325</v>
      </c>
    </row>
    <row r="14" spans="1:26" ht="16.5" x14ac:dyDescent="0.3">
      <c r="A14" s="182">
        <v>6</v>
      </c>
      <c r="B14" s="181">
        <v>1</v>
      </c>
      <c r="C14" s="181">
        <f t="shared" si="2"/>
        <v>2.2457165837140827</v>
      </c>
      <c r="D14" s="181">
        <f t="shared" si="3"/>
        <v>6.1224489795918366E-2</v>
      </c>
      <c r="E14" s="178">
        <f t="shared" si="4"/>
        <v>2.2763332176987356</v>
      </c>
      <c r="F14" s="178">
        <f t="shared" si="5"/>
        <v>1.2763332176987356</v>
      </c>
      <c r="G14" s="177">
        <f t="shared" si="6"/>
        <v>1.6290264826012082</v>
      </c>
      <c r="H14" s="177">
        <f t="shared" si="7"/>
        <v>1.2763332176987356</v>
      </c>
      <c r="I14" s="177">
        <f>SUM(F$9:F14)</f>
        <v>5.0704745179763693</v>
      </c>
      <c r="J14" s="177">
        <f>SUM(G$9:G14)</f>
        <v>7.9807380398651544</v>
      </c>
      <c r="K14" s="177">
        <f>SUM(H$9:H14)</f>
        <v>2.6569361582613968</v>
      </c>
      <c r="L14" s="186"/>
      <c r="O14">
        <f t="shared" si="1"/>
        <v>0.7</v>
      </c>
      <c r="P14">
        <v>79.911227378264329</v>
      </c>
      <c r="Q14" s="173">
        <v>83.037865773034881</v>
      </c>
      <c r="R14">
        <v>85.718819731242036</v>
      </c>
      <c r="S14">
        <v>88.501963487546092</v>
      </c>
      <c r="T14" s="173">
        <v>91.403683122448726</v>
      </c>
      <c r="U14" s="173">
        <v>93.971957345690896</v>
      </c>
      <c r="V14" s="173">
        <v>96.286469810180279</v>
      </c>
      <c r="W14" s="173">
        <v>98.446394192195811</v>
      </c>
      <c r="X14" s="173">
        <v>100.53153325748168</v>
      </c>
      <c r="Y14" s="173">
        <v>102.76742793451972</v>
      </c>
      <c r="Z14" s="173">
        <v>105.6892202064772</v>
      </c>
    </row>
    <row r="15" spans="1:26" ht="16.5" x14ac:dyDescent="0.3">
      <c r="A15" s="182">
        <v>7</v>
      </c>
      <c r="B15" s="181">
        <v>0</v>
      </c>
      <c r="C15" s="181">
        <f t="shared" si="2"/>
        <v>2.2516022564265072</v>
      </c>
      <c r="D15" s="181">
        <f t="shared" si="3"/>
        <v>6.1224489795918366E-2</v>
      </c>
      <c r="E15" s="178">
        <f t="shared" si="4"/>
        <v>2.3069410735100009</v>
      </c>
      <c r="F15" s="178">
        <f t="shared" si="5"/>
        <v>2.3069410735100009</v>
      </c>
      <c r="G15" s="177">
        <f t="shared" si="6"/>
        <v>5.3219771166474752</v>
      </c>
      <c r="H15" s="177" t="str">
        <f t="shared" si="7"/>
        <v/>
      </c>
      <c r="I15" s="177">
        <f>SUM(F$9:F15)</f>
        <v>7.3774155914863702</v>
      </c>
      <c r="J15" s="177">
        <f>SUM(G$9:G15)</f>
        <v>13.30271515651263</v>
      </c>
      <c r="K15" s="177">
        <f>SUM(H$9:H15)</f>
        <v>2.6569361582613968</v>
      </c>
      <c r="L15" s="186"/>
      <c r="O15">
        <f t="shared" si="1"/>
        <v>0.79999999999999993</v>
      </c>
      <c r="P15">
        <v>82.294434154279173</v>
      </c>
      <c r="Q15" s="173">
        <v>85.621168590185974</v>
      </c>
      <c r="R15">
        <v>88.840938457921823</v>
      </c>
      <c r="S15">
        <v>92.106864484574444</v>
      </c>
      <c r="T15" s="173">
        <v>95.044386615851863</v>
      </c>
      <c r="U15" s="173">
        <v>97.710006099177392</v>
      </c>
      <c r="V15" s="173">
        <v>100.34864769959418</v>
      </c>
      <c r="W15" s="173">
        <v>102.91845424962781</v>
      </c>
      <c r="X15" s="173">
        <v>105.8733045187615</v>
      </c>
      <c r="Y15" s="173">
        <v>109.90650353917377</v>
      </c>
      <c r="Z15" s="173">
        <v>114.18681770011999</v>
      </c>
    </row>
    <row r="16" spans="1:26" ht="16.5" x14ac:dyDescent="0.3">
      <c r="A16" s="182">
        <v>8</v>
      </c>
      <c r="B16" s="181">
        <v>2</v>
      </c>
      <c r="C16" s="181">
        <f t="shared" si="2"/>
        <v>2.3053226698128415</v>
      </c>
      <c r="D16" s="181">
        <f t="shared" si="3"/>
        <v>6.1224489795918366E-2</v>
      </c>
      <c r="E16" s="178">
        <f t="shared" si="4"/>
        <v>2.3128267462224255</v>
      </c>
      <c r="F16" s="178">
        <f t="shared" si="5"/>
        <v>0.31282674622242546</v>
      </c>
      <c r="G16" s="177">
        <f t="shared" si="6"/>
        <v>9.7860573152109775E-2</v>
      </c>
      <c r="H16" s="177">
        <f t="shared" si="7"/>
        <v>0.15641337311121273</v>
      </c>
      <c r="I16" s="177">
        <f>SUM(F$9:F16)</f>
        <v>7.6902423377087956</v>
      </c>
      <c r="J16" s="177">
        <f>SUM(G$9:G16)</f>
        <v>13.400575729664739</v>
      </c>
      <c r="K16" s="177">
        <f>SUM(H$9:H16)</f>
        <v>2.8133495313726096</v>
      </c>
      <c r="L16" s="186"/>
      <c r="O16">
        <f t="shared" si="1"/>
        <v>0.89999999999999991</v>
      </c>
      <c r="P16">
        <v>84.760172977448903</v>
      </c>
      <c r="Q16" s="173">
        <v>88.390960427418676</v>
      </c>
      <c r="R16">
        <v>92.098319186317994</v>
      </c>
      <c r="S16">
        <v>95.615958237121973</v>
      </c>
      <c r="T16" s="173">
        <v>98.97456355353421</v>
      </c>
      <c r="U16" s="173">
        <v>102.06042433379784</v>
      </c>
      <c r="V16" s="173">
        <v>105.98870567921392</v>
      </c>
      <c r="W16" s="173">
        <v>110.57088947415255</v>
      </c>
      <c r="X16" s="173">
        <v>115.31474969262032</v>
      </c>
      <c r="Y16" s="173">
        <v>121.23517637717994</v>
      </c>
      <c r="Z16" s="173">
        <v>127.79930579538988</v>
      </c>
    </row>
    <row r="17" spans="1:26" ht="16.5" x14ac:dyDescent="0.3">
      <c r="A17" s="182">
        <v>9</v>
      </c>
      <c r="B17" s="181">
        <v>2</v>
      </c>
      <c r="C17" s="181">
        <f t="shared" si="2"/>
        <v>2.3577544399112425</v>
      </c>
      <c r="D17" s="181">
        <f t="shared" si="3"/>
        <v>6.1224489795918366E-2</v>
      </c>
      <c r="E17" s="178">
        <f t="shared" si="4"/>
        <v>2.3665471596087597</v>
      </c>
      <c r="F17" s="178">
        <f t="shared" si="5"/>
        <v>0.36654715960875972</v>
      </c>
      <c r="G17" s="177">
        <f t="shared" si="6"/>
        <v>0.13435682021724957</v>
      </c>
      <c r="H17" s="177">
        <f t="shared" si="7"/>
        <v>0.18327357980437986</v>
      </c>
      <c r="I17" s="177">
        <f>SUM(F$9:F17)</f>
        <v>8.0567894973175562</v>
      </c>
      <c r="J17" s="177">
        <f>SUM(G$9:G17)</f>
        <v>13.534932549881988</v>
      </c>
      <c r="K17" s="177">
        <f>SUM(H$9:H17)</f>
        <v>2.9966231111769894</v>
      </c>
      <c r="L17" s="186"/>
      <c r="O17">
        <f t="shared" si="1"/>
        <v>0.99999999999999989</v>
      </c>
      <c r="P17">
        <v>87.612244897959187</v>
      </c>
      <c r="Q17" s="173">
        <v>91.568847964768068</v>
      </c>
      <c r="R17">
        <v>95.752767756720885</v>
      </c>
      <c r="S17">
        <v>100.11880926941322</v>
      </c>
      <c r="T17" s="173">
        <v>104.50199436628419</v>
      </c>
      <c r="U17" s="173">
        <v>109.30578620920164</v>
      </c>
      <c r="V17" s="173">
        <v>115.45998722877471</v>
      </c>
      <c r="W17" s="173">
        <v>122.15056514335326</v>
      </c>
      <c r="X17" s="173">
        <v>129.18960774750602</v>
      </c>
      <c r="Y17" s="173">
        <v>137.2421377822393</v>
      </c>
      <c r="Z17" s="173">
        <v>146.0612244897959</v>
      </c>
    </row>
    <row r="18" spans="1:26" ht="16.5" x14ac:dyDescent="0.3">
      <c r="A18" s="182">
        <v>10</v>
      </c>
      <c r="B18" s="181">
        <v>3</v>
      </c>
      <c r="C18" s="181">
        <f t="shared" si="2"/>
        <v>2.4329164416357472</v>
      </c>
      <c r="D18" s="181">
        <f t="shared" si="3"/>
        <v>6.1224489795918366E-2</v>
      </c>
      <c r="E18" s="178">
        <f t="shared" si="4"/>
        <v>2.4189789297071607</v>
      </c>
      <c r="F18" s="178">
        <f t="shared" si="5"/>
        <v>0.58102107029283934</v>
      </c>
      <c r="G18" s="177">
        <f t="shared" si="6"/>
        <v>0.33758548412423656</v>
      </c>
      <c r="H18" s="177">
        <f t="shared" si="7"/>
        <v>0.19367369009761312</v>
      </c>
      <c r="I18" s="177">
        <f>SUM(F$9:F18)</f>
        <v>8.637810567610396</v>
      </c>
      <c r="J18" s="177">
        <f>SUM(G$9:G18)</f>
        <v>13.872518034006225</v>
      </c>
      <c r="K18" s="177">
        <f>SUM(H$9:H18)</f>
        <v>3.1902968012746027</v>
      </c>
      <c r="L18" s="186"/>
      <c r="O18" s="177"/>
      <c r="P18" s="177">
        <f>MIN(P7:Z17)</f>
        <v>65.837185956894402</v>
      </c>
      <c r="R18"/>
      <c r="S18"/>
    </row>
    <row r="19" spans="1:26" ht="16.5" x14ac:dyDescent="0.3">
      <c r="A19" s="182">
        <v>11</v>
      </c>
      <c r="B19" s="181">
        <v>1</v>
      </c>
      <c r="C19" s="181">
        <f t="shared" si="2"/>
        <v>2.4582995340718035</v>
      </c>
      <c r="D19" s="181">
        <f t="shared" si="3"/>
        <v>6.1224489795918366E-2</v>
      </c>
      <c r="E19" s="178">
        <f t="shared" si="4"/>
        <v>2.4941409314316654</v>
      </c>
      <c r="F19" s="178">
        <f t="shared" si="5"/>
        <v>1.4941409314316654</v>
      </c>
      <c r="G19" s="177">
        <f t="shared" si="6"/>
        <v>2.2324571229794845</v>
      </c>
      <c r="H19" s="177">
        <f t="shared" si="7"/>
        <v>1.4941409314316654</v>
      </c>
      <c r="I19" s="177">
        <f>SUM(F$9:F19)</f>
        <v>10.131951499042062</v>
      </c>
      <c r="J19" s="177">
        <f>SUM(G$9:G19)</f>
        <v>16.104975156985709</v>
      </c>
      <c r="K19" s="177">
        <f>SUM(H$9:H19)</f>
        <v>4.6844377327062681</v>
      </c>
      <c r="L19" s="186"/>
      <c r="N19" s="177"/>
      <c r="O19" s="177"/>
      <c r="Q19"/>
      <c r="R19"/>
      <c r="S19"/>
    </row>
    <row r="20" spans="1:26" ht="16.5" x14ac:dyDescent="0.3">
      <c r="A20" s="182">
        <v>12</v>
      </c>
      <c r="B20" s="181">
        <v>3</v>
      </c>
      <c r="C20" s="181">
        <f t="shared" si="2"/>
        <v>2.5310496637991062</v>
      </c>
      <c r="D20" s="181">
        <f t="shared" si="3"/>
        <v>6.1224489795918366E-2</v>
      </c>
      <c r="E20" s="178">
        <f t="shared" si="4"/>
        <v>2.5195240238677217</v>
      </c>
      <c r="F20" s="178">
        <f t="shared" si="5"/>
        <v>0.48047597613227833</v>
      </c>
      <c r="G20" s="177">
        <f t="shared" si="6"/>
        <v>0.23085716364026571</v>
      </c>
      <c r="H20" s="177">
        <f t="shared" si="7"/>
        <v>0.16015865871075943</v>
      </c>
      <c r="I20" s="177">
        <f>SUM(F$9:F20)</f>
        <v>10.612427475174339</v>
      </c>
      <c r="J20" s="177">
        <f>SUM(G$9:G20)</f>
        <v>16.335832320625975</v>
      </c>
      <c r="K20" s="177">
        <f>SUM(H$9:H20)</f>
        <v>4.8445963914170278</v>
      </c>
      <c r="L20" s="186"/>
      <c r="N20" s="177"/>
      <c r="O20" s="177"/>
      <c r="Q20"/>
      <c r="R20"/>
      <c r="S20"/>
    </row>
    <row r="21" spans="1:26" ht="16.5" x14ac:dyDescent="0.3">
      <c r="A21" s="182">
        <v>13</v>
      </c>
      <c r="B21" s="181">
        <v>3</v>
      </c>
      <c r="C21" s="181">
        <f t="shared" si="2"/>
        <v>2.6020546661072439</v>
      </c>
      <c r="D21" s="181">
        <f t="shared" si="3"/>
        <v>6.1224489795918366E-2</v>
      </c>
      <c r="E21" s="178">
        <f t="shared" si="4"/>
        <v>2.5922741535950244</v>
      </c>
      <c r="F21" s="178">
        <f t="shared" si="5"/>
        <v>0.40772584640497556</v>
      </c>
      <c r="G21" s="177">
        <f t="shared" si="6"/>
        <v>0.16624036582665372</v>
      </c>
      <c r="H21" s="177">
        <f t="shared" si="7"/>
        <v>0.13590861546832519</v>
      </c>
      <c r="I21" s="177">
        <f>SUM(F$9:F21)</f>
        <v>11.020153321579315</v>
      </c>
      <c r="J21" s="177">
        <f>SUM(G$9:G21)</f>
        <v>16.502072686452628</v>
      </c>
      <c r="K21" s="177">
        <f>SUM(H$9:H21)</f>
        <v>4.9805050068853527</v>
      </c>
      <c r="L21" s="186"/>
      <c r="N21" s="177"/>
      <c r="O21" s="177"/>
      <c r="Q21"/>
      <c r="R21"/>
      <c r="S21"/>
    </row>
    <row r="22" spans="1:26" ht="16.5" x14ac:dyDescent="0.3">
      <c r="A22" s="182">
        <v>14</v>
      </c>
      <c r="B22" s="181">
        <v>2</v>
      </c>
      <c r="C22" s="181">
        <f t="shared" si="2"/>
        <v>2.6473684400616118</v>
      </c>
      <c r="D22" s="181">
        <f t="shared" si="3"/>
        <v>6.1224489795918366E-2</v>
      </c>
      <c r="E22" s="178">
        <f t="shared" si="4"/>
        <v>2.6632791559031621</v>
      </c>
      <c r="F22" s="178">
        <f t="shared" si="5"/>
        <v>0.66327915590316211</v>
      </c>
      <c r="G22" s="177">
        <f t="shared" si="6"/>
        <v>0.43993923865561124</v>
      </c>
      <c r="H22" s="177">
        <f t="shared" si="7"/>
        <v>0.33163957795158105</v>
      </c>
      <c r="I22" s="177">
        <f>SUM(F$9:F22)</f>
        <v>11.683432477482476</v>
      </c>
      <c r="J22" s="177">
        <f>SUM(G$9:G22)</f>
        <v>16.94201192510824</v>
      </c>
      <c r="K22" s="177">
        <f>SUM(H$9:H22)</f>
        <v>5.3121445848369335</v>
      </c>
      <c r="L22" s="186"/>
      <c r="N22" s="177"/>
      <c r="O22" s="177"/>
      <c r="Q22"/>
      <c r="R22"/>
      <c r="S22"/>
    </row>
    <row r="23" spans="1:26" ht="16.5" x14ac:dyDescent="0.3">
      <c r="A23" s="182">
        <v>15</v>
      </c>
      <c r="B23" s="181">
        <v>1</v>
      </c>
      <c r="C23" s="181">
        <f t="shared" si="2"/>
        <v>2.6676072658970384</v>
      </c>
      <c r="D23" s="181">
        <f t="shared" si="3"/>
        <v>6.1224489795918366E-2</v>
      </c>
      <c r="E23" s="178">
        <f t="shared" si="4"/>
        <v>2.70859292985753</v>
      </c>
      <c r="F23" s="178">
        <f t="shared" si="5"/>
        <v>1.70859292985753</v>
      </c>
      <c r="G23" s="177">
        <f t="shared" si="6"/>
        <v>2.9192897999591385</v>
      </c>
      <c r="H23" s="177">
        <f t="shared" si="7"/>
        <v>1.70859292985753</v>
      </c>
      <c r="I23" s="177">
        <f>SUM(F$9:F23)</f>
        <v>13.392025407340007</v>
      </c>
      <c r="J23" s="177">
        <f>SUM(G$9:G23)</f>
        <v>19.861301725067378</v>
      </c>
      <c r="K23" s="177">
        <f>SUM(H$9:H23)</f>
        <v>7.0207375146944635</v>
      </c>
      <c r="L23" s="186"/>
      <c r="N23" s="177"/>
      <c r="O23" s="177"/>
      <c r="Q23"/>
      <c r="R23"/>
      <c r="S23"/>
    </row>
    <row r="24" spans="1:26" ht="16.5" x14ac:dyDescent="0.3">
      <c r="A24" s="182">
        <v>16</v>
      </c>
      <c r="B24" s="181">
        <v>6</v>
      </c>
      <c r="C24" s="181">
        <f t="shared" si="2"/>
        <v>2.8073004184601493</v>
      </c>
      <c r="D24" s="181">
        <f t="shared" si="3"/>
        <v>6.1224489795918366E-2</v>
      </c>
      <c r="E24" s="178">
        <f t="shared" si="4"/>
        <v>2.7288317556929567</v>
      </c>
      <c r="F24" s="178">
        <f t="shared" si="5"/>
        <v>3.2711682443070433</v>
      </c>
      <c r="G24" s="177">
        <f t="shared" si="6"/>
        <v>10.700541682562825</v>
      </c>
      <c r="H24" s="177">
        <f t="shared" si="7"/>
        <v>0.54519470738450726</v>
      </c>
      <c r="I24" s="177">
        <f>SUM(F$9:F24)</f>
        <v>16.663193651647049</v>
      </c>
      <c r="J24" s="177">
        <f>SUM(G$9:G24)</f>
        <v>30.561843407630203</v>
      </c>
      <c r="K24" s="177">
        <f>SUM(H$9:H24)</f>
        <v>7.5659322220789704</v>
      </c>
      <c r="L24" s="186"/>
      <c r="N24" s="177"/>
      <c r="O24" s="177"/>
      <c r="Q24"/>
      <c r="R24"/>
      <c r="S24"/>
    </row>
    <row r="25" spans="1:26" ht="16.5" x14ac:dyDescent="0.3">
      <c r="A25" s="182">
        <v>17</v>
      </c>
      <c r="B25" s="181">
        <v>2</v>
      </c>
      <c r="C25" s="181">
        <f t="shared" si="2"/>
        <v>2.8476907649039305</v>
      </c>
      <c r="D25" s="181">
        <f t="shared" si="3"/>
        <v>6.1224489795918366E-2</v>
      </c>
      <c r="E25" s="178">
        <f t="shared" si="4"/>
        <v>2.8685249082560675</v>
      </c>
      <c r="F25" s="178">
        <f t="shared" si="5"/>
        <v>0.86852490825606754</v>
      </c>
      <c r="G25" s="177">
        <f t="shared" si="6"/>
        <v>0.75433551626121054</v>
      </c>
      <c r="H25" s="177">
        <f t="shared" si="7"/>
        <v>0.43426245412803377</v>
      </c>
      <c r="I25" s="177">
        <f>SUM(F$9:F25)</f>
        <v>17.531718559903116</v>
      </c>
      <c r="J25" s="177">
        <f>SUM(G$9:G25)</f>
        <v>31.316178923891414</v>
      </c>
      <c r="K25" s="177">
        <f>SUM(H$9:H25)</f>
        <v>8.0001946762070038</v>
      </c>
      <c r="L25" s="186"/>
      <c r="N25" s="177"/>
      <c r="O25" s="177"/>
      <c r="Q25"/>
      <c r="R25"/>
      <c r="S25"/>
    </row>
    <row r="26" spans="1:26" ht="16.5" x14ac:dyDescent="0.3">
      <c r="A26" s="182">
        <v>18</v>
      </c>
      <c r="B26" s="181">
        <v>1</v>
      </c>
      <c r="C26" s="181">
        <f t="shared" si="2"/>
        <v>2.8631242662256611</v>
      </c>
      <c r="D26" s="181">
        <f t="shared" si="3"/>
        <v>6.1224489795918366E-2</v>
      </c>
      <c r="E26" s="178">
        <f t="shared" si="4"/>
        <v>2.9089152546998487</v>
      </c>
      <c r="F26" s="178">
        <f t="shared" si="5"/>
        <v>1.9089152546998487</v>
      </c>
      <c r="G26" s="177">
        <f t="shared" si="6"/>
        <v>3.643957449625788</v>
      </c>
      <c r="H26" s="177">
        <f t="shared" si="7"/>
        <v>1.9089152546998487</v>
      </c>
      <c r="I26" s="177">
        <f>SUM(F$9:F26)</f>
        <v>19.440633814602965</v>
      </c>
      <c r="J26" s="177">
        <f>SUM(G$9:G26)</f>
        <v>34.960136373517201</v>
      </c>
      <c r="K26" s="177">
        <f>SUM(H$9:H26)</f>
        <v>9.9091099309068529</v>
      </c>
      <c r="L26" s="186"/>
      <c r="N26" s="177"/>
      <c r="O26" s="177"/>
      <c r="Q26"/>
      <c r="R26"/>
      <c r="S26"/>
    </row>
    <row r="27" spans="1:26" ht="16.5" x14ac:dyDescent="0.3">
      <c r="A27" s="182">
        <v>19</v>
      </c>
      <c r="B27" s="181">
        <v>2</v>
      </c>
      <c r="C27" s="181">
        <f t="shared" si="2"/>
        <v>2.9021755122754769</v>
      </c>
      <c r="D27" s="181">
        <f t="shared" si="3"/>
        <v>6.1224489795918366E-2</v>
      </c>
      <c r="E27" s="178">
        <f t="shared" si="4"/>
        <v>2.9243487560215793</v>
      </c>
      <c r="F27" s="178">
        <f t="shared" si="5"/>
        <v>0.92434875602157929</v>
      </c>
      <c r="G27" s="177">
        <f t="shared" si="6"/>
        <v>0.85442062275864106</v>
      </c>
      <c r="H27" s="177">
        <f t="shared" si="7"/>
        <v>0.46217437801078964</v>
      </c>
      <c r="I27" s="177">
        <f>SUM(F$9:F27)</f>
        <v>20.364982570624544</v>
      </c>
      <c r="J27" s="177">
        <f>SUM(G$9:G27)</f>
        <v>35.81455699627584</v>
      </c>
      <c r="K27" s="177">
        <f>SUM(H$9:H27)</f>
        <v>10.371284308917643</v>
      </c>
      <c r="L27" s="186"/>
      <c r="N27" s="177"/>
      <c r="O27" s="177"/>
      <c r="Q27"/>
      <c r="R27"/>
      <c r="S27"/>
    </row>
    <row r="28" spans="1:26" ht="16.5" x14ac:dyDescent="0.3">
      <c r="A28" s="182">
        <v>20</v>
      </c>
      <c r="B28" s="181">
        <v>2</v>
      </c>
      <c r="C28" s="181">
        <f t="shared" si="2"/>
        <v>2.9402899984804711</v>
      </c>
      <c r="D28" s="181">
        <f t="shared" si="3"/>
        <v>6.1224489795918366E-2</v>
      </c>
      <c r="E28" s="178">
        <f t="shared" si="4"/>
        <v>2.9634000020713951</v>
      </c>
      <c r="F28" s="178">
        <f t="shared" si="5"/>
        <v>0.96340000207139509</v>
      </c>
      <c r="G28" s="177">
        <f t="shared" si="6"/>
        <v>0.92813956399116404</v>
      </c>
      <c r="H28" s="177">
        <f t="shared" si="7"/>
        <v>0.48170000103569754</v>
      </c>
      <c r="I28" s="177">
        <f>SUM(F$9:F28)</f>
        <v>21.32838257269594</v>
      </c>
      <c r="J28" s="177">
        <f>SUM(G$9:G28)</f>
        <v>36.742696560267007</v>
      </c>
      <c r="K28" s="177">
        <f>SUM(H$9:H28)</f>
        <v>10.852984309953341</v>
      </c>
      <c r="L28" s="186"/>
      <c r="N28" s="177"/>
      <c r="O28" s="177"/>
      <c r="Q28"/>
      <c r="R28"/>
      <c r="S28"/>
    </row>
    <row r="29" spans="1:26" ht="16.5" x14ac:dyDescent="0.3">
      <c r="A29" s="182">
        <v>21</v>
      </c>
      <c r="B29" s="181">
        <v>3</v>
      </c>
      <c r="C29" s="181">
        <f t="shared" si="2"/>
        <v>3.001478158787672</v>
      </c>
      <c r="D29" s="181">
        <f t="shared" si="3"/>
        <v>6.1224489795918366E-2</v>
      </c>
      <c r="E29" s="178">
        <f t="shared" si="4"/>
        <v>3.0015144882763893</v>
      </c>
      <c r="F29" s="178">
        <f t="shared" si="5"/>
        <v>1.5144882763893364E-3</v>
      </c>
      <c r="G29" s="177">
        <f t="shared" si="6"/>
        <v>2.2936747393207427E-6</v>
      </c>
      <c r="H29" s="177">
        <f t="shared" si="7"/>
        <v>5.0482942546311216E-4</v>
      </c>
      <c r="I29" s="177">
        <f>SUM(F$9:F29)</f>
        <v>21.329897060972328</v>
      </c>
      <c r="J29" s="177">
        <f>SUM(G$9:G29)</f>
        <v>36.742698853941747</v>
      </c>
      <c r="K29" s="177">
        <f>SUM(H$9:H29)</f>
        <v>10.853489139378803</v>
      </c>
      <c r="L29" s="186"/>
      <c r="N29" s="177"/>
      <c r="O29" s="177"/>
      <c r="Q29"/>
      <c r="R29"/>
      <c r="S29"/>
    </row>
    <row r="30" spans="1:26" ht="16.5" x14ac:dyDescent="0.3">
      <c r="A30" s="182">
        <v>22</v>
      </c>
      <c r="B30" s="181">
        <v>4</v>
      </c>
      <c r="C30" s="181">
        <f t="shared" si="2"/>
        <v>3.085186502756752</v>
      </c>
      <c r="D30" s="181">
        <f t="shared" si="3"/>
        <v>6.1224489795918366E-2</v>
      </c>
      <c r="E30" s="178">
        <f t="shared" si="4"/>
        <v>3.0627026485835902</v>
      </c>
      <c r="F30" s="178">
        <f t="shared" si="5"/>
        <v>0.9372973514164098</v>
      </c>
      <c r="G30" s="177">
        <f t="shared" si="6"/>
        <v>0.87852632497221683</v>
      </c>
      <c r="H30" s="177">
        <f t="shared" si="7"/>
        <v>0.23432433785410245</v>
      </c>
      <c r="I30" s="177">
        <f>SUM(F$9:F30)</f>
        <v>22.26719441238874</v>
      </c>
      <c r="J30" s="177">
        <f>SUM(G$9:G30)</f>
        <v>37.62122517891396</v>
      </c>
      <c r="K30" s="177">
        <f>SUM(H$9:H30)</f>
        <v>11.087813477232906</v>
      </c>
      <c r="L30" s="186"/>
      <c r="N30" s="177"/>
      <c r="O30" s="177"/>
    </row>
    <row r="31" spans="1:26" ht="16.5" x14ac:dyDescent="0.3">
      <c r="A31" s="182">
        <v>23</v>
      </c>
      <c r="B31" s="181">
        <v>4</v>
      </c>
      <c r="C31" s="181">
        <f t="shared" si="2"/>
        <v>3.1668868540690367</v>
      </c>
      <c r="D31" s="181">
        <f t="shared" si="3"/>
        <v>6.1224489795918366E-2</v>
      </c>
      <c r="E31" s="178">
        <f t="shared" si="4"/>
        <v>3.1464109925526702</v>
      </c>
      <c r="F31" s="178">
        <f t="shared" si="5"/>
        <v>0.8535890074473298</v>
      </c>
      <c r="G31" s="177">
        <f t="shared" si="6"/>
        <v>0.72861419363491764</v>
      </c>
      <c r="H31" s="177">
        <f t="shared" si="7"/>
        <v>0.21339725186183245</v>
      </c>
      <c r="I31" s="177">
        <f>SUM(F$9:F31)</f>
        <v>23.120783419836069</v>
      </c>
      <c r="J31" s="177">
        <f>SUM(G$9:G31)</f>
        <v>38.349839372548878</v>
      </c>
      <c r="K31" s="177">
        <f>SUM(H$9:H31)</f>
        <v>11.301210729094739</v>
      </c>
      <c r="L31" s="186"/>
      <c r="N31" s="177"/>
      <c r="O31" s="177"/>
    </row>
    <row r="32" spans="1:26" ht="16.5" x14ac:dyDescent="0.3">
      <c r="A32" s="182">
        <v>24</v>
      </c>
      <c r="B32" s="181">
        <v>5</v>
      </c>
      <c r="C32" s="181">
        <f t="shared" si="2"/>
        <v>3.2706153433645979</v>
      </c>
      <c r="D32" s="181">
        <f t="shared" si="3"/>
        <v>6.1224489795918366E-2</v>
      </c>
      <c r="E32" s="178">
        <f t="shared" si="4"/>
        <v>3.2281113438649549</v>
      </c>
      <c r="F32" s="178">
        <f t="shared" si="5"/>
        <v>1.7718886561350451</v>
      </c>
      <c r="G32" s="177">
        <f t="shared" si="6"/>
        <v>3.1395894097400561</v>
      </c>
      <c r="H32" s="177">
        <f t="shared" si="7"/>
        <v>0.354377731227009</v>
      </c>
      <c r="I32" s="177">
        <f>SUM(F$9:F32)</f>
        <v>24.892672075971113</v>
      </c>
      <c r="J32" s="177">
        <f>SUM(G$9:G32)</f>
        <v>41.489428782288932</v>
      </c>
      <c r="K32" s="177">
        <f>SUM(H$9:H32)</f>
        <v>11.655588460321749</v>
      </c>
      <c r="L32" s="186"/>
      <c r="N32" s="177"/>
      <c r="O32" s="177"/>
    </row>
    <row r="33" spans="1:15" ht="16.5" hidden="1" x14ac:dyDescent="0.3">
      <c r="A33" s="182">
        <v>25</v>
      </c>
      <c r="B33" s="181">
        <v>4</v>
      </c>
      <c r="C33" s="181">
        <f t="shared" si="2"/>
        <v>3.347867634511744</v>
      </c>
      <c r="D33" s="181">
        <f t="shared" si="3"/>
        <v>6.1224489795918366E-2</v>
      </c>
      <c r="E33" s="178">
        <f t="shared" si="4"/>
        <v>3.3318398331605161</v>
      </c>
      <c r="F33" s="178">
        <f t="shared" si="5"/>
        <v>0.66816016683948387</v>
      </c>
      <c r="G33" s="177">
        <f t="shared" si="6"/>
        <v>0.44643800855096694</v>
      </c>
      <c r="H33" s="177">
        <f t="shared" si="7"/>
        <v>0.16704004170987097</v>
      </c>
      <c r="I33" s="177">
        <f>SUM(F$9:F33)</f>
        <v>25.560832242810598</v>
      </c>
      <c r="J33" s="177">
        <f>SUM(G$9:G33)</f>
        <v>41.935866790839903</v>
      </c>
      <c r="K33" s="177">
        <f>SUM(H$9:H33)</f>
        <v>11.82262850203162</v>
      </c>
      <c r="L33" s="186"/>
      <c r="N33" s="177"/>
      <c r="O33" s="177"/>
    </row>
    <row r="34" spans="1:15" ht="16.5" hidden="1" x14ac:dyDescent="0.3">
      <c r="A34" s="182">
        <v>26</v>
      </c>
      <c r="B34" s="181">
        <v>2</v>
      </c>
      <c r="C34" s="181">
        <f t="shared" si="2"/>
        <v>3.3752908745851409</v>
      </c>
      <c r="D34" s="181">
        <f t="shared" si="3"/>
        <v>6.1224489795918366E-2</v>
      </c>
      <c r="E34" s="178">
        <f t="shared" si="4"/>
        <v>3.4090921243076622</v>
      </c>
      <c r="F34" s="178">
        <f t="shared" si="5"/>
        <v>1.4090921243076622</v>
      </c>
      <c r="G34" s="177">
        <f t="shared" si="6"/>
        <v>1.9855406147858801</v>
      </c>
      <c r="H34" s="177">
        <f t="shared" si="7"/>
        <v>0.70454606215383109</v>
      </c>
      <c r="I34" s="177">
        <f>SUM(F$9:F34)</f>
        <v>26.96992436711826</v>
      </c>
      <c r="J34" s="177">
        <f>SUM(G$9:G34)</f>
        <v>43.921407405625786</v>
      </c>
      <c r="K34" s="177">
        <f>SUM(H$9:H34)</f>
        <v>12.527174564185451</v>
      </c>
      <c r="L34" s="186"/>
      <c r="N34" s="177"/>
      <c r="O34" s="177"/>
    </row>
    <row r="35" spans="1:15" ht="16.5" hidden="1" x14ac:dyDescent="0.3">
      <c r="A35" s="182">
        <v>27</v>
      </c>
      <c r="B35" s="181">
        <v>1</v>
      </c>
      <c r="C35" s="181">
        <f t="shared" si="2"/>
        <v>3.3780683240041429</v>
      </c>
      <c r="D35" s="181">
        <f t="shared" si="3"/>
        <v>6.1224489795918366E-2</v>
      </c>
      <c r="E35" s="178">
        <f t="shared" si="4"/>
        <v>3.4365153643810591</v>
      </c>
      <c r="F35" s="178">
        <f t="shared" si="5"/>
        <v>2.4365153643810591</v>
      </c>
      <c r="G35" s="177">
        <f t="shared" si="6"/>
        <v>5.9366071208649656</v>
      </c>
      <c r="H35" s="177">
        <f t="shared" si="7"/>
        <v>2.4365153643810591</v>
      </c>
      <c r="I35" s="177">
        <f>SUM(F$9:F35)</f>
        <v>29.406439731499319</v>
      </c>
      <c r="J35" s="177">
        <f>SUM(G$9:G35)</f>
        <v>49.858014526490749</v>
      </c>
      <c r="K35" s="177">
        <f>SUM(H$9:H35)</f>
        <v>14.963689928566509</v>
      </c>
      <c r="L35" s="186"/>
      <c r="N35" s="177"/>
      <c r="O35" s="177"/>
    </row>
    <row r="36" spans="1:15" ht="16.5" hidden="1" x14ac:dyDescent="0.3">
      <c r="A36" s="182">
        <v>28</v>
      </c>
      <c r="B36" s="181">
        <v>4</v>
      </c>
      <c r="C36" s="181">
        <f t="shared" si="2"/>
        <v>3.4527430370289141</v>
      </c>
      <c r="D36" s="181">
        <f t="shared" si="3"/>
        <v>6.1224489795918366E-2</v>
      </c>
      <c r="E36" s="178">
        <f t="shared" si="4"/>
        <v>3.4392928138000611</v>
      </c>
      <c r="F36" s="178">
        <f t="shared" si="5"/>
        <v>0.56070718619993887</v>
      </c>
      <c r="G36" s="177">
        <f t="shared" si="6"/>
        <v>0.31439254865625293</v>
      </c>
      <c r="H36" s="177">
        <f t="shared" si="7"/>
        <v>0.14017679654998472</v>
      </c>
      <c r="I36" s="177">
        <f>SUM(F$9:F36)</f>
        <v>29.967146917699257</v>
      </c>
      <c r="J36" s="177">
        <f>SUM(G$9:G36)</f>
        <v>50.172407075146999</v>
      </c>
      <c r="K36" s="177">
        <f>SUM(H$9:H36)</f>
        <v>15.103866725116495</v>
      </c>
      <c r="L36" s="186"/>
      <c r="N36" s="177"/>
      <c r="O36" s="177"/>
    </row>
    <row r="37" spans="1:15" ht="16.5" hidden="1" x14ac:dyDescent="0.3">
      <c r="A37" s="182">
        <v>29</v>
      </c>
      <c r="B37" s="181">
        <v>3</v>
      </c>
      <c r="C37" s="181">
        <f t="shared" si="2"/>
        <v>3.5016384928150734</v>
      </c>
      <c r="D37" s="181">
        <f t="shared" si="3"/>
        <v>6.1224489795918366E-2</v>
      </c>
      <c r="E37" s="178">
        <f t="shared" si="4"/>
        <v>3.5139675268248323</v>
      </c>
      <c r="F37" s="178">
        <f t="shared" si="5"/>
        <v>0.51396752682483227</v>
      </c>
      <c r="G37" s="177">
        <f t="shared" si="6"/>
        <v>0.26416261863043466</v>
      </c>
      <c r="H37" s="177">
        <f t="shared" si="7"/>
        <v>0.17132250894161075</v>
      </c>
      <c r="I37" s="177">
        <f>SUM(F$9:F37)</f>
        <v>30.481114444524088</v>
      </c>
      <c r="J37" s="177">
        <f>SUM(G$9:G37)</f>
        <v>50.436569693777436</v>
      </c>
      <c r="K37" s="177">
        <f>SUM(H$9:H37)</f>
        <v>15.275189234058105</v>
      </c>
      <c r="L37" s="186"/>
      <c r="N37" s="177"/>
      <c r="O37" s="177"/>
    </row>
    <row r="38" spans="1:15" ht="16.5" hidden="1" x14ac:dyDescent="0.3">
      <c r="A38" s="182">
        <v>30</v>
      </c>
      <c r="B38" s="181">
        <v>4</v>
      </c>
      <c r="C38" s="181">
        <f t="shared" si="2"/>
        <v>3.5733490092041671</v>
      </c>
      <c r="D38" s="181">
        <f t="shared" si="3"/>
        <v>6.1224489795918366E-2</v>
      </c>
      <c r="E38" s="178">
        <f t="shared" si="4"/>
        <v>3.5628629826109917</v>
      </c>
      <c r="F38" s="178">
        <f t="shared" si="5"/>
        <v>0.43713701738900834</v>
      </c>
      <c r="G38" s="177">
        <f t="shared" si="6"/>
        <v>0.19108877197175819</v>
      </c>
      <c r="H38" s="177">
        <f t="shared" si="7"/>
        <v>0.10928425434725209</v>
      </c>
      <c r="I38" s="177">
        <f>SUM(F$9:F38)</f>
        <v>30.918251461913098</v>
      </c>
      <c r="J38" s="177">
        <f>SUM(G$9:G38)</f>
        <v>50.627658465749192</v>
      </c>
      <c r="K38" s="177">
        <f>SUM(H$9:H38)</f>
        <v>15.384473488405357</v>
      </c>
      <c r="L38" s="186"/>
      <c r="N38" s="177"/>
      <c r="O38" s="177"/>
    </row>
    <row r="39" spans="1:15" ht="16.5" hidden="1" x14ac:dyDescent="0.3">
      <c r="A39" s="182">
        <v>31</v>
      </c>
      <c r="B39" s="181">
        <v>3</v>
      </c>
      <c r="C39" s="181">
        <f t="shared" si="2"/>
        <v>3.6193513733938301</v>
      </c>
      <c r="D39" s="181">
        <f t="shared" si="3"/>
        <v>6.1224489795918366E-2</v>
      </c>
      <c r="E39" s="178">
        <f t="shared" si="4"/>
        <v>3.6345734990000853</v>
      </c>
      <c r="F39" s="178">
        <f t="shared" si="5"/>
        <v>0.63457349900008531</v>
      </c>
      <c r="G39" s="177">
        <f t="shared" si="6"/>
        <v>0.40268352563321125</v>
      </c>
      <c r="H39" s="177">
        <f t="shared" si="7"/>
        <v>0.21152449966669509</v>
      </c>
      <c r="I39" s="177">
        <f>SUM(F$9:F39)</f>
        <v>31.552824960913185</v>
      </c>
      <c r="J39" s="177">
        <f>SUM(G$9:G39)</f>
        <v>51.0303419913824</v>
      </c>
      <c r="K39" s="177">
        <f>SUM(H$9:H39)</f>
        <v>15.595997988072051</v>
      </c>
      <c r="L39" s="186"/>
      <c r="N39" s="177"/>
      <c r="O39" s="177"/>
    </row>
    <row r="40" spans="1:15" ht="16.5" hidden="1" x14ac:dyDescent="0.3">
      <c r="A40" s="182">
        <v>32</v>
      </c>
      <c r="B40" s="181">
        <v>1</v>
      </c>
      <c r="C40" s="181">
        <f t="shared" si="2"/>
        <v>3.6162743086009317</v>
      </c>
      <c r="D40" s="181">
        <f t="shared" si="3"/>
        <v>6.1224489795918366E-2</v>
      </c>
      <c r="E40" s="178">
        <f t="shared" si="4"/>
        <v>3.6805758631897483</v>
      </c>
      <c r="F40" s="178">
        <f t="shared" si="5"/>
        <v>2.6805758631897483</v>
      </c>
      <c r="G40" s="177">
        <f t="shared" si="6"/>
        <v>7.1854869583154644</v>
      </c>
      <c r="H40" s="177">
        <f t="shared" si="7"/>
        <v>2.6805758631897483</v>
      </c>
      <c r="I40" s="177">
        <f>SUM(F$9:F40)</f>
        <v>34.23340082410293</v>
      </c>
      <c r="J40" s="177">
        <f>SUM(G$9:G40)</f>
        <v>58.215828949697865</v>
      </c>
      <c r="K40" s="177">
        <f>SUM(H$9:H40)</f>
        <v>18.276573851261801</v>
      </c>
      <c r="L40" s="186"/>
      <c r="N40" s="177"/>
      <c r="O40" s="177"/>
    </row>
    <row r="41" spans="1:15" ht="16.5" hidden="1" x14ac:dyDescent="0.3">
      <c r="A41" s="182">
        <v>33</v>
      </c>
      <c r="B41" s="181">
        <v>5</v>
      </c>
      <c r="C41" s="181">
        <f t="shared" ref="C41:C58" si="8">(1-$L$1)*E41+$L$1*B41</f>
        <v>3.709222908270565</v>
      </c>
      <c r="D41" s="181">
        <f t="shared" ref="D41:D58" si="9">(1-$N$1)*D40+$N$1*(C41-C40)</f>
        <v>6.1224489795918366E-2</v>
      </c>
      <c r="E41" s="178">
        <f t="shared" ref="E41:E59" si="10">C40+D40</f>
        <v>3.6774987983968499</v>
      </c>
      <c r="F41" s="178">
        <f t="shared" ref="F41:F58" si="11">ABS(B41-E41)</f>
        <v>1.3225012016031501</v>
      </c>
      <c r="G41" s="177">
        <f t="shared" ref="G41:G58" si="12">F41^2</f>
        <v>1.7490094282417759</v>
      </c>
      <c r="H41" s="177">
        <f t="shared" ref="H41:H58" si="13">IFERROR(F41/B41,"")</f>
        <v>0.26450024032063002</v>
      </c>
      <c r="I41" s="177">
        <f>SUM(F$9:F41)</f>
        <v>35.555902025706082</v>
      </c>
      <c r="J41" s="177">
        <f>SUM(G$9:G41)</f>
        <v>59.964838377939643</v>
      </c>
      <c r="K41" s="177">
        <f>SUM(H$9:H41)</f>
        <v>18.541074091582431</v>
      </c>
      <c r="L41" s="186"/>
      <c r="N41" s="177"/>
      <c r="O41" s="177"/>
    </row>
    <row r="42" spans="1:15" ht="16.5" hidden="1" x14ac:dyDescent="0.3">
      <c r="A42" s="182">
        <v>34</v>
      </c>
      <c r="B42" s="181">
        <v>2</v>
      </c>
      <c r="C42" s="181">
        <f t="shared" si="8"/>
        <v>3.7279779714120433</v>
      </c>
      <c r="D42" s="181">
        <f t="shared" si="9"/>
        <v>6.1224489795918366E-2</v>
      </c>
      <c r="E42" s="178">
        <f t="shared" si="10"/>
        <v>3.7704473980664832</v>
      </c>
      <c r="F42" s="178">
        <f t="shared" si="11"/>
        <v>1.7704473980664832</v>
      </c>
      <c r="G42" s="177">
        <f t="shared" si="12"/>
        <v>3.1344839893203806</v>
      </c>
      <c r="H42" s="177">
        <f t="shared" si="13"/>
        <v>0.88522369903324161</v>
      </c>
      <c r="I42" s="177">
        <f>SUM(F$9:F42)</f>
        <v>37.326349423772562</v>
      </c>
      <c r="J42" s="177">
        <f>SUM(G$9:G42)</f>
        <v>63.099322367260022</v>
      </c>
      <c r="K42" s="177">
        <f>SUM(H$9:H42)</f>
        <v>19.426297790615671</v>
      </c>
      <c r="L42" s="186"/>
      <c r="N42" s="177"/>
      <c r="O42" s="177"/>
    </row>
    <row r="43" spans="1:15" ht="16.5" hidden="1" x14ac:dyDescent="0.3">
      <c r="A43" s="182">
        <v>35</v>
      </c>
      <c r="B43" s="181">
        <v>0</v>
      </c>
      <c r="C43" s="181">
        <f t="shared" si="8"/>
        <v>3.6983072128199872</v>
      </c>
      <c r="D43" s="181">
        <f t="shared" si="9"/>
        <v>6.1224489795918366E-2</v>
      </c>
      <c r="E43" s="178">
        <f t="shared" si="10"/>
        <v>3.7892024612079616</v>
      </c>
      <c r="F43" s="178">
        <f t="shared" si="11"/>
        <v>3.7892024612079616</v>
      </c>
      <c r="G43" s="177">
        <f t="shared" si="12"/>
        <v>14.358055292024474</v>
      </c>
      <c r="H43" s="177" t="str">
        <f t="shared" si="13"/>
        <v/>
      </c>
      <c r="I43" s="177">
        <f>SUM(F$9:F43)</f>
        <v>41.115551884980526</v>
      </c>
      <c r="J43" s="177">
        <f>SUM(G$9:G43)</f>
        <v>77.457377659284504</v>
      </c>
      <c r="K43" s="177">
        <f>SUM(H$9:H43)</f>
        <v>19.426297790615671</v>
      </c>
      <c r="L43" s="186"/>
      <c r="N43" s="177"/>
      <c r="O43" s="177"/>
    </row>
    <row r="44" spans="1:15" ht="16.5" hidden="1" x14ac:dyDescent="0.3">
      <c r="A44" s="182">
        <v>36</v>
      </c>
      <c r="B44" s="181">
        <v>7</v>
      </c>
      <c r="C44" s="181">
        <f t="shared" si="8"/>
        <v>3.8372639361926213</v>
      </c>
      <c r="D44" s="181">
        <f t="shared" si="9"/>
        <v>6.1224489795918366E-2</v>
      </c>
      <c r="E44" s="178">
        <f t="shared" si="10"/>
        <v>3.7595317026159054</v>
      </c>
      <c r="F44" s="178">
        <f t="shared" si="11"/>
        <v>3.2404682973840946</v>
      </c>
      <c r="G44" s="177">
        <f t="shared" si="12"/>
        <v>10.500634786351373</v>
      </c>
      <c r="H44" s="177">
        <f t="shared" si="13"/>
        <v>0.4629240424834421</v>
      </c>
      <c r="I44" s="177">
        <f>SUM(F$9:F44)</f>
        <v>44.356020182364624</v>
      </c>
      <c r="J44" s="177">
        <f>SUM(G$9:G44)</f>
        <v>87.958012445635873</v>
      </c>
      <c r="K44" s="177">
        <f>SUM(H$9:H44)</f>
        <v>19.889221833099114</v>
      </c>
      <c r="L44" s="186"/>
      <c r="N44" s="177"/>
      <c r="O44" s="177"/>
    </row>
    <row r="45" spans="1:15" ht="16.5" hidden="1" x14ac:dyDescent="0.3">
      <c r="A45" s="182">
        <v>37</v>
      </c>
      <c r="B45" s="181">
        <v>3</v>
      </c>
      <c r="C45" s="181">
        <f t="shared" si="8"/>
        <v>3.8769355188820893</v>
      </c>
      <c r="D45" s="181">
        <f t="shared" si="9"/>
        <v>6.1224489795918366E-2</v>
      </c>
      <c r="E45" s="178">
        <f t="shared" si="10"/>
        <v>3.8984884259885395</v>
      </c>
      <c r="F45" s="178">
        <f t="shared" si="11"/>
        <v>0.89848842598853951</v>
      </c>
      <c r="G45" s="177">
        <f t="shared" si="12"/>
        <v>0.80728145163536325</v>
      </c>
      <c r="H45" s="177">
        <f t="shared" si="13"/>
        <v>0.29949614199617985</v>
      </c>
      <c r="I45" s="177">
        <f>SUM(F$9:F45)</f>
        <v>45.254508608353163</v>
      </c>
      <c r="J45" s="177">
        <f>SUM(G$9:G45)</f>
        <v>88.765293897271235</v>
      </c>
      <c r="K45" s="177">
        <f>SUM(H$9:H45)</f>
        <v>20.188717975095294</v>
      </c>
      <c r="L45" s="186"/>
      <c r="N45" s="177"/>
      <c r="O45" s="177"/>
    </row>
    <row r="46" spans="1:15" ht="16.5" hidden="1" x14ac:dyDescent="0.3">
      <c r="A46" s="182">
        <v>38</v>
      </c>
      <c r="B46" s="181">
        <v>5</v>
      </c>
      <c r="C46" s="181">
        <f t="shared" si="8"/>
        <v>3.9636313870874704</v>
      </c>
      <c r="D46" s="181">
        <f t="shared" si="9"/>
        <v>6.1224489795918366E-2</v>
      </c>
      <c r="E46" s="178">
        <f t="shared" si="10"/>
        <v>3.9381600086780075</v>
      </c>
      <c r="F46" s="178">
        <f t="shared" si="11"/>
        <v>1.0618399913219925</v>
      </c>
      <c r="G46" s="177">
        <f t="shared" si="12"/>
        <v>1.1275041671706891</v>
      </c>
      <c r="H46" s="177">
        <f t="shared" si="13"/>
        <v>0.21236799826439851</v>
      </c>
      <c r="I46" s="177">
        <f>SUM(F$9:F46)</f>
        <v>46.316348599675152</v>
      </c>
      <c r="J46" s="177">
        <f>SUM(G$9:G46)</f>
        <v>89.892798064441919</v>
      </c>
      <c r="K46" s="177">
        <f>SUM(H$9:H46)</f>
        <v>20.401085973359692</v>
      </c>
      <c r="L46" s="186"/>
      <c r="N46" s="177"/>
      <c r="O46" s="177"/>
    </row>
    <row r="47" spans="1:15" ht="16.5" hidden="1" x14ac:dyDescent="0.3">
      <c r="A47" s="182">
        <v>39</v>
      </c>
      <c r="B47" s="181">
        <v>5</v>
      </c>
      <c r="C47" s="181">
        <f t="shared" si="8"/>
        <v>4.048247598015255</v>
      </c>
      <c r="D47" s="181">
        <f t="shared" si="9"/>
        <v>6.1224489795918366E-2</v>
      </c>
      <c r="E47" s="178">
        <f t="shared" si="10"/>
        <v>4.0248558768833886</v>
      </c>
      <c r="F47" s="178">
        <f t="shared" si="11"/>
        <v>0.97514412311661136</v>
      </c>
      <c r="G47" s="177">
        <f t="shared" si="12"/>
        <v>0.95090606084886486</v>
      </c>
      <c r="H47" s="177">
        <f t="shared" si="13"/>
        <v>0.19502882462332227</v>
      </c>
      <c r="I47" s="177">
        <f>SUM(F$9:F47)</f>
        <v>47.291492722791766</v>
      </c>
      <c r="J47" s="177">
        <f>SUM(G$9:G47)</f>
        <v>90.843704125290785</v>
      </c>
      <c r="K47" s="177">
        <f>SUM(H$9:H47)</f>
        <v>20.596114797983013</v>
      </c>
      <c r="L47" s="186"/>
      <c r="N47" s="177"/>
      <c r="O47" s="177"/>
    </row>
    <row r="48" spans="1:15" ht="16.5" hidden="1" x14ac:dyDescent="0.3">
      <c r="A48" s="182">
        <v>40</v>
      </c>
      <c r="B48" s="181">
        <v>6</v>
      </c>
      <c r="C48" s="181">
        <f t="shared" si="8"/>
        <v>4.1548220013937858</v>
      </c>
      <c r="D48" s="181">
        <f t="shared" si="9"/>
        <v>6.1224489795918366E-2</v>
      </c>
      <c r="E48" s="178">
        <f t="shared" si="10"/>
        <v>4.1094720878111737</v>
      </c>
      <c r="F48" s="178">
        <f t="shared" si="11"/>
        <v>1.8905279121888263</v>
      </c>
      <c r="G48" s="177">
        <f t="shared" si="12"/>
        <v>3.5740957867650427</v>
      </c>
      <c r="H48" s="177">
        <f t="shared" si="13"/>
        <v>0.31508798536480437</v>
      </c>
      <c r="I48" s="177">
        <f>SUM(F$9:F48)</f>
        <v>49.182020634980589</v>
      </c>
      <c r="J48" s="177">
        <f>SUM(G$9:G48)</f>
        <v>94.417799912055827</v>
      </c>
      <c r="K48" s="177">
        <f>SUM(H$9:H48)</f>
        <v>20.911202783347818</v>
      </c>
      <c r="L48" s="186"/>
      <c r="N48" s="177"/>
      <c r="O48" s="177"/>
    </row>
    <row r="49" spans="1:15" ht="16.5" hidden="1" x14ac:dyDescent="0.3">
      <c r="A49" s="182">
        <v>41</v>
      </c>
      <c r="B49" s="181">
        <v>2</v>
      </c>
      <c r="C49" s="181">
        <f t="shared" si="8"/>
        <v>4.1628880499825867</v>
      </c>
      <c r="D49" s="181">
        <f t="shared" si="9"/>
        <v>6.1224489795918366E-2</v>
      </c>
      <c r="E49" s="178">
        <f t="shared" si="10"/>
        <v>4.2160464911897044</v>
      </c>
      <c r="F49" s="178">
        <f t="shared" si="11"/>
        <v>2.2160464911897044</v>
      </c>
      <c r="G49" s="177">
        <f t="shared" si="12"/>
        <v>4.9108620511142007</v>
      </c>
      <c r="H49" s="177">
        <f t="shared" si="13"/>
        <v>1.1080232455948522</v>
      </c>
      <c r="I49" s="177">
        <f>SUM(F$9:F49)</f>
        <v>51.398067126170289</v>
      </c>
      <c r="J49" s="177">
        <f>SUM(G$9:G49)</f>
        <v>99.32866196317002</v>
      </c>
      <c r="K49" s="177">
        <f>SUM(H$9:H49)</f>
        <v>22.019226028942668</v>
      </c>
      <c r="L49" s="186"/>
      <c r="N49" s="177"/>
      <c r="O49" s="177"/>
    </row>
    <row r="50" spans="1:15" ht="16.5" hidden="1" x14ac:dyDescent="0.3">
      <c r="A50" s="182">
        <v>42</v>
      </c>
      <c r="B50" s="181">
        <v>3</v>
      </c>
      <c r="C50" s="181">
        <f t="shared" si="8"/>
        <v>4.1947485734829346</v>
      </c>
      <c r="D50" s="181">
        <f t="shared" si="9"/>
        <v>6.1224489795918366E-2</v>
      </c>
      <c r="E50" s="178">
        <f t="shared" si="10"/>
        <v>4.2241125397785053</v>
      </c>
      <c r="F50" s="178">
        <f t="shared" si="11"/>
        <v>1.2241125397785053</v>
      </c>
      <c r="G50" s="177">
        <f t="shared" si="12"/>
        <v>1.4984515100429827</v>
      </c>
      <c r="H50" s="177">
        <f t="shared" si="13"/>
        <v>0.40803751325950177</v>
      </c>
      <c r="I50" s="177">
        <f>SUM(F$9:F50)</f>
        <v>52.622179665948792</v>
      </c>
      <c r="J50" s="177">
        <f>SUM(G$9:G50)</f>
        <v>100.827113473213</v>
      </c>
      <c r="K50" s="177">
        <f>SUM(H$9:H50)</f>
        <v>22.427263542202169</v>
      </c>
      <c r="L50" s="186"/>
      <c r="N50" s="177"/>
      <c r="O50" s="177"/>
    </row>
    <row r="51" spans="1:15" ht="16.5" hidden="1" x14ac:dyDescent="0.3">
      <c r="A51" s="182">
        <v>43</v>
      </c>
      <c r="B51" s="181">
        <v>4</v>
      </c>
      <c r="C51" s="181">
        <f t="shared" si="8"/>
        <v>4.2498327909113689</v>
      </c>
      <c r="D51" s="181">
        <f t="shared" si="9"/>
        <v>6.1224489795918366E-2</v>
      </c>
      <c r="E51" s="178">
        <f t="shared" si="10"/>
        <v>4.2559730632788533</v>
      </c>
      <c r="F51" s="178">
        <f t="shared" si="11"/>
        <v>0.25597306327885327</v>
      </c>
      <c r="G51" s="177">
        <f t="shared" si="12"/>
        <v>6.5522209124359826E-2</v>
      </c>
      <c r="H51" s="177">
        <f t="shared" si="13"/>
        <v>6.3993265819713319E-2</v>
      </c>
      <c r="I51" s="177">
        <f>SUM(F$9:F51)</f>
        <v>52.878152729227644</v>
      </c>
      <c r="J51" s="177">
        <f>SUM(G$9:G51)</f>
        <v>100.89263568233736</v>
      </c>
      <c r="K51" s="177">
        <f>SUM(H$9:H51)</f>
        <v>22.491256808021884</v>
      </c>
      <c r="L51" s="186"/>
      <c r="N51" s="177"/>
      <c r="O51" s="177"/>
    </row>
    <row r="52" spans="1:15" ht="16.5" hidden="1" x14ac:dyDescent="0.3">
      <c r="A52" s="182">
        <v>44</v>
      </c>
      <c r="B52" s="181">
        <v>2</v>
      </c>
      <c r="C52" s="181">
        <f t="shared" si="8"/>
        <v>4.2556197241979001</v>
      </c>
      <c r="D52" s="181">
        <f t="shared" si="9"/>
        <v>6.1224489795918366E-2</v>
      </c>
      <c r="E52" s="178">
        <f t="shared" si="10"/>
        <v>4.3110572807072876</v>
      </c>
      <c r="F52" s="178">
        <f t="shared" si="11"/>
        <v>2.3110572807072876</v>
      </c>
      <c r="G52" s="177">
        <f t="shared" si="12"/>
        <v>5.3409857547101627</v>
      </c>
      <c r="H52" s="177">
        <f t="shared" si="13"/>
        <v>1.1555286403536438</v>
      </c>
      <c r="I52" s="177">
        <f>SUM(F$9:F52)</f>
        <v>55.189210009934932</v>
      </c>
      <c r="J52" s="177">
        <f>SUM(G$9:G52)</f>
        <v>106.23362143704752</v>
      </c>
      <c r="K52" s="177">
        <f>SUM(H$9:H52)</f>
        <v>23.646785448375528</v>
      </c>
      <c r="L52" s="186"/>
      <c r="N52" s="177"/>
      <c r="O52" s="177"/>
    </row>
    <row r="53" spans="1:15" ht="16.5" x14ac:dyDescent="0.3">
      <c r="A53" s="182">
        <v>45</v>
      </c>
      <c r="B53" s="181">
        <v>3</v>
      </c>
      <c r="C53" s="181">
        <f t="shared" si="8"/>
        <v>4.2852558037294912</v>
      </c>
      <c r="D53" s="181">
        <f t="shared" si="9"/>
        <v>6.1224489795918366E-2</v>
      </c>
      <c r="E53" s="178">
        <f t="shared" si="10"/>
        <v>4.3168442139938188</v>
      </c>
      <c r="F53" s="178">
        <f t="shared" si="11"/>
        <v>1.3168442139938188</v>
      </c>
      <c r="G53" s="177">
        <f t="shared" si="12"/>
        <v>1.7340786839289983</v>
      </c>
      <c r="H53" s="177">
        <f t="shared" si="13"/>
        <v>0.43894807133127295</v>
      </c>
      <c r="I53" s="177">
        <f>SUM(F$9:F53)</f>
        <v>56.50605422392875</v>
      </c>
      <c r="J53" s="177">
        <f>SUM(G$9:G53)</f>
        <v>107.96770012097652</v>
      </c>
      <c r="K53" s="177">
        <f>SUM(H$9:H53)</f>
        <v>24.0857335197068</v>
      </c>
      <c r="L53" s="186"/>
      <c r="N53" s="177"/>
      <c r="O53" s="177"/>
    </row>
    <row r="54" spans="1:15" ht="16.5" x14ac:dyDescent="0.3">
      <c r="A54" s="182">
        <v>46</v>
      </c>
      <c r="B54" s="181">
        <v>3</v>
      </c>
      <c r="C54" s="181">
        <f t="shared" si="8"/>
        <v>4.3141809740822126</v>
      </c>
      <c r="D54" s="181">
        <f t="shared" si="9"/>
        <v>6.1224489795918366E-2</v>
      </c>
      <c r="E54" s="178">
        <f t="shared" si="10"/>
        <v>4.3464802935254099</v>
      </c>
      <c r="F54" s="178">
        <f t="shared" si="11"/>
        <v>1.3464802935254099</v>
      </c>
      <c r="G54" s="177">
        <f t="shared" si="12"/>
        <v>1.8130091808522739</v>
      </c>
      <c r="H54" s="177">
        <f t="shared" si="13"/>
        <v>0.44882676450846998</v>
      </c>
      <c r="I54" s="177">
        <f>SUM(F$9:F54)</f>
        <v>57.85253451745416</v>
      </c>
      <c r="J54" s="177">
        <f>SUM(G$9:G54)</f>
        <v>109.78070930182879</v>
      </c>
      <c r="K54" s="177">
        <f>SUM(H$9:H54)</f>
        <v>24.534560284215271</v>
      </c>
      <c r="L54" s="186"/>
      <c r="N54" s="177"/>
      <c r="O54" s="177"/>
    </row>
    <row r="55" spans="1:15" ht="15.75" customHeight="1" x14ac:dyDescent="0.3">
      <c r="A55" s="182">
        <v>47</v>
      </c>
      <c r="B55" s="181">
        <v>6</v>
      </c>
      <c r="C55" s="181">
        <f t="shared" si="8"/>
        <v>4.4143761774787631</v>
      </c>
      <c r="D55" s="181">
        <f t="shared" si="9"/>
        <v>6.1224489795918366E-2</v>
      </c>
      <c r="E55" s="178">
        <f t="shared" si="10"/>
        <v>4.3754054638781312</v>
      </c>
      <c r="F55" s="178">
        <f t="shared" si="11"/>
        <v>1.6245945361218688</v>
      </c>
      <c r="G55" s="177">
        <f t="shared" si="12"/>
        <v>2.6393074067970299</v>
      </c>
      <c r="H55" s="177">
        <f t="shared" si="13"/>
        <v>0.27076575602031144</v>
      </c>
      <c r="I55" s="177">
        <f>SUM(F$9:F55)</f>
        <v>59.477129053576029</v>
      </c>
      <c r="J55" s="177">
        <f>SUM(G$9:G55)</f>
        <v>112.42001670862582</v>
      </c>
      <c r="K55" s="177">
        <f>SUM(H$9:H55)</f>
        <v>24.805326040235581</v>
      </c>
      <c r="L55" s="186"/>
      <c r="N55" s="177"/>
      <c r="O55" s="177"/>
    </row>
    <row r="56" spans="1:15" ht="16.5" x14ac:dyDescent="0.3">
      <c r="A56" s="182">
        <v>48</v>
      </c>
      <c r="B56" s="181">
        <v>11</v>
      </c>
      <c r="C56" s="181">
        <f t="shared" si="8"/>
        <v>4.6321077169775231</v>
      </c>
      <c r="D56" s="181">
        <f t="shared" si="9"/>
        <v>6.1224489795918366E-2</v>
      </c>
      <c r="E56" s="178">
        <f t="shared" si="10"/>
        <v>4.4756006672746818</v>
      </c>
      <c r="F56" s="178">
        <f t="shared" si="11"/>
        <v>6.5243993327253182</v>
      </c>
      <c r="G56" s="177">
        <f t="shared" si="12"/>
        <v>42.56778665286658</v>
      </c>
      <c r="H56" s="177">
        <f t="shared" si="13"/>
        <v>0.59312721206593799</v>
      </c>
      <c r="I56" s="177">
        <f>SUM(F$9:F56)</f>
        <v>66.001528386301345</v>
      </c>
      <c r="J56" s="177">
        <f>SUM(G$9:G56)</f>
        <v>154.98780336149241</v>
      </c>
      <c r="K56" s="177">
        <f>SUM(H$9:H56)</f>
        <v>25.398453252301518</v>
      </c>
      <c r="L56" s="186"/>
      <c r="N56" s="177"/>
      <c r="O56" s="177"/>
    </row>
    <row r="57" spans="1:15" ht="16.5" x14ac:dyDescent="0.3">
      <c r="A57" s="182">
        <v>49</v>
      </c>
      <c r="B57" s="181">
        <v>5</v>
      </c>
      <c r="C57" s="181">
        <f t="shared" si="8"/>
        <v>4.7006885424465255</v>
      </c>
      <c r="D57" s="181">
        <f t="shared" si="9"/>
        <v>6.1224489795918366E-2</v>
      </c>
      <c r="E57" s="178">
        <f t="shared" si="10"/>
        <v>4.6933322067734418</v>
      </c>
      <c r="F57" s="178">
        <f t="shared" si="11"/>
        <v>0.30666779322655824</v>
      </c>
      <c r="G57" s="177">
        <f t="shared" si="12"/>
        <v>9.4045135402447078E-2</v>
      </c>
      <c r="H57" s="177">
        <f t="shared" si="13"/>
        <v>6.1333558645311648E-2</v>
      </c>
      <c r="I57" s="177">
        <f>SUM(F$9:F57)</f>
        <v>66.308196179527897</v>
      </c>
      <c r="J57" s="177">
        <f>SUM(G$9:G57)</f>
        <v>155.08184849689485</v>
      </c>
      <c r="K57" s="177">
        <f>SUM(H$9:H57)</f>
        <v>25.459786810946831</v>
      </c>
      <c r="L57" s="186"/>
      <c r="N57" s="177"/>
      <c r="O57" s="177"/>
    </row>
    <row r="58" spans="1:15" ht="16.5" x14ac:dyDescent="0.3">
      <c r="A58" s="182">
        <v>50</v>
      </c>
      <c r="B58" s="181">
        <v>5</v>
      </c>
      <c r="C58" s="181">
        <f t="shared" si="8"/>
        <v>4.767624253612591</v>
      </c>
      <c r="D58" s="181">
        <f t="shared" si="9"/>
        <v>6.1224489795918366E-2</v>
      </c>
      <c r="E58" s="178">
        <f t="shared" si="10"/>
        <v>4.7619130322424441</v>
      </c>
      <c r="F58" s="178">
        <f t="shared" si="11"/>
        <v>0.23808696775755589</v>
      </c>
      <c r="G58" s="177">
        <f t="shared" si="12"/>
        <v>5.6685404215987459E-2</v>
      </c>
      <c r="H58" s="177">
        <f t="shared" si="13"/>
        <v>4.7617393551511178E-2</v>
      </c>
      <c r="I58" s="177">
        <f>SUM(F$9:F58)</f>
        <v>66.54628314728545</v>
      </c>
      <c r="J58" s="177">
        <f>SUM(G$9:G58)</f>
        <v>155.13853390111083</v>
      </c>
      <c r="K58" s="177">
        <f>SUM(H$9:H58)</f>
        <v>25.507404204498343</v>
      </c>
      <c r="L58" s="186"/>
      <c r="N58" s="177"/>
      <c r="O58" s="177"/>
    </row>
    <row r="59" spans="1:15" ht="16.5" x14ac:dyDescent="0.3">
      <c r="E59" s="178">
        <f t="shared" si="10"/>
        <v>4.8288487434085097</v>
      </c>
      <c r="L59" s="186"/>
      <c r="N59" s="177"/>
      <c r="O59" s="177"/>
    </row>
    <row r="60" spans="1:15" x14ac:dyDescent="0.25">
      <c r="L60" s="186"/>
      <c r="N60" s="177"/>
      <c r="O60" s="177"/>
    </row>
    <row r="61" spans="1:15" x14ac:dyDescent="0.25">
      <c r="L61" s="186"/>
      <c r="N61" s="177"/>
      <c r="O61" s="177"/>
    </row>
    <row r="62" spans="1:15" x14ac:dyDescent="0.25">
      <c r="L62" s="186"/>
      <c r="N62" s="177"/>
      <c r="O62" s="177"/>
    </row>
    <row r="63" spans="1:15" x14ac:dyDescent="0.25">
      <c r="L63" s="177"/>
      <c r="M63" s="173"/>
      <c r="N63" s="177"/>
      <c r="O63" s="177"/>
    </row>
    <row r="64" spans="1:15" x14ac:dyDescent="0.25">
      <c r="E64" s="176"/>
      <c r="F64" s="175"/>
    </row>
  </sheetData>
  <conditionalFormatting sqref="P7:Z17">
    <cfRule type="cellIs" dxfId="16" priority="1" operator="equal">
      <formula>$P$18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D9130-46C0-481B-AC68-C7B014E6BB06}">
  <dimension ref="A1:BH299"/>
  <sheetViews>
    <sheetView zoomScale="96" zoomScaleNormal="96" workbookViewId="0">
      <selection activeCell="N23" sqref="N23"/>
    </sheetView>
  </sheetViews>
  <sheetFormatPr defaultColWidth="9.140625" defaultRowHeight="15" x14ac:dyDescent="0.25"/>
  <cols>
    <col min="1" max="1" width="4.5703125" style="22" bestFit="1" customWidth="1"/>
    <col min="2" max="2" width="10.85546875" style="22" bestFit="1" customWidth="1"/>
    <col min="3" max="3" width="13" style="22" customWidth="1"/>
    <col min="4" max="4" width="8.7109375" style="22" customWidth="1"/>
    <col min="5" max="5" width="5.85546875" style="22" customWidth="1"/>
    <col min="6" max="6" width="9.7109375" style="22" customWidth="1"/>
    <col min="7" max="7" width="10.7109375" style="22" customWidth="1"/>
    <col min="8" max="8" width="7.28515625" style="22" customWidth="1"/>
    <col min="9" max="9" width="8.7109375" style="22" bestFit="1" customWidth="1"/>
    <col min="10" max="10" width="9.140625" style="22"/>
    <col min="11" max="11" width="12.140625" style="22" bestFit="1" customWidth="1"/>
    <col min="12" max="12" width="13.85546875" style="22" bestFit="1" customWidth="1"/>
    <col min="13" max="13" width="12.42578125" style="22" bestFit="1" customWidth="1"/>
    <col min="14" max="14" width="12.140625" style="22" bestFit="1" customWidth="1"/>
    <col min="15" max="18" width="9.28515625" style="22" bestFit="1" customWidth="1"/>
    <col min="19" max="20" width="9.140625" style="22"/>
    <col min="21" max="21" width="9.28515625" style="22" bestFit="1" customWidth="1"/>
    <col min="22" max="32" width="9.140625" style="22"/>
    <col min="33" max="33" width="9.140625" style="22" customWidth="1"/>
    <col min="34" max="36" width="9.140625" style="22"/>
    <col min="37" max="37" width="9.28515625" bestFit="1" customWidth="1"/>
    <col min="38" max="38" width="14" customWidth="1"/>
    <col min="39" max="39" width="12.28515625" customWidth="1"/>
    <col min="40" max="40" width="10.140625" bestFit="1" customWidth="1"/>
    <col min="41" max="41" width="10.140625" customWidth="1"/>
    <col min="42" max="44" width="9.28515625" customWidth="1"/>
    <col min="45" max="45" width="9.28515625" bestFit="1" customWidth="1"/>
    <col min="46" max="46" width="12.28515625" bestFit="1" customWidth="1"/>
    <col min="56" max="16384" width="9.140625" style="22"/>
  </cols>
  <sheetData>
    <row r="1" spans="1:43" customFormat="1" ht="15.75" thickBot="1" x14ac:dyDescent="0.3">
      <c r="J1" t="s">
        <v>43</v>
      </c>
      <c r="K1" s="47">
        <v>0.5</v>
      </c>
      <c r="M1" t="str">
        <f>"Expo.Smoo: Alpha = "&amp;ROUND(K1,2)</f>
        <v>Expo.Smoo: Alpha = 0.5</v>
      </c>
    </row>
    <row r="2" spans="1:43" ht="17.25" thickBot="1" x14ac:dyDescent="0.35">
      <c r="A2" s="23" t="s">
        <v>69</v>
      </c>
      <c r="B2" s="24" t="s">
        <v>97</v>
      </c>
      <c r="C2" s="1" t="s">
        <v>36</v>
      </c>
      <c r="D2" s="1" t="s">
        <v>37</v>
      </c>
      <c r="E2" s="1" t="s">
        <v>38</v>
      </c>
      <c r="F2" s="1" t="s">
        <v>39</v>
      </c>
      <c r="G2" s="1" t="s">
        <v>40</v>
      </c>
      <c r="H2" s="1" t="s">
        <v>1</v>
      </c>
      <c r="I2" s="1" t="s">
        <v>41</v>
      </c>
      <c r="J2" s="1" t="s">
        <v>42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43" ht="16.5" x14ac:dyDescent="0.3">
      <c r="A3" s="50">
        <v>1</v>
      </c>
      <c r="B3" s="27">
        <v>50</v>
      </c>
      <c r="C3" s="1">
        <f>B3</f>
        <v>50</v>
      </c>
      <c r="D3" s="48">
        <f>B3-C3</f>
        <v>0</v>
      </c>
      <c r="E3" s="1">
        <f>ABS(D3)</f>
        <v>0</v>
      </c>
      <c r="F3" s="48">
        <f>D3^2</f>
        <v>0</v>
      </c>
      <c r="G3" s="48">
        <f>E3/B3</f>
        <v>0</v>
      </c>
      <c r="H3" s="48">
        <f>AVERAGE(E$3:E3)</f>
        <v>0</v>
      </c>
      <c r="I3" s="48">
        <f>AVERAGE(F$3:F3)</f>
        <v>0</v>
      </c>
      <c r="J3" s="48">
        <f>AVERAGE(G$3:G3)</f>
        <v>0</v>
      </c>
      <c r="K3"/>
      <c r="L3">
        <v>0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43" ht="16.5" x14ac:dyDescent="0.3">
      <c r="A4" s="50">
        <v>2</v>
      </c>
      <c r="B4" s="27">
        <v>63</v>
      </c>
      <c r="C4" s="48">
        <f>(1-$K$1)*C3+$K$1*B3</f>
        <v>50</v>
      </c>
      <c r="D4" s="48">
        <f t="shared" ref="D4:D30" si="0">B4-C4</f>
        <v>13</v>
      </c>
      <c r="E4" s="1">
        <f t="shared" ref="E4:E30" si="1">ABS(D4)</f>
        <v>13</v>
      </c>
      <c r="F4" s="48">
        <f t="shared" ref="F4:F30" si="2">D4^2</f>
        <v>169</v>
      </c>
      <c r="G4" s="48">
        <f t="shared" ref="G4:G30" si="3">E4/B4</f>
        <v>0.20634920634920634</v>
      </c>
      <c r="H4" s="48">
        <f>AVERAGE(E$3:E4)</f>
        <v>6.5</v>
      </c>
      <c r="I4" s="48">
        <f>AVERAGE(F$3:F4)</f>
        <v>84.5</v>
      </c>
      <c r="J4" s="48">
        <f>AVERAGE(G$3:G4)</f>
        <v>0.10317460317460317</v>
      </c>
      <c r="K4"/>
      <c r="L4">
        <v>0.1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43" ht="17.25" thickBot="1" x14ac:dyDescent="0.35">
      <c r="A5" s="50">
        <v>3</v>
      </c>
      <c r="B5" s="27">
        <v>50</v>
      </c>
      <c r="C5" s="48">
        <f t="shared" ref="C5:C31" si="4">(1-$K$1)*C4+$K$1*B4</f>
        <v>56.5</v>
      </c>
      <c r="D5" s="48">
        <f t="shared" si="0"/>
        <v>-6.5</v>
      </c>
      <c r="E5" s="1">
        <f t="shared" si="1"/>
        <v>6.5</v>
      </c>
      <c r="F5" s="48">
        <f t="shared" si="2"/>
        <v>42.25</v>
      </c>
      <c r="G5" s="48">
        <f t="shared" si="3"/>
        <v>0.13</v>
      </c>
      <c r="H5" s="48">
        <f>AVERAGE(E$3:E5)</f>
        <v>6.5</v>
      </c>
      <c r="I5" s="48">
        <f>AVERAGE(F$3:F5)</f>
        <v>70.416666666666671</v>
      </c>
      <c r="J5" s="48">
        <f>AVERAGE(G$3:G5)</f>
        <v>0.11211640211640211</v>
      </c>
      <c r="K5"/>
      <c r="L5"/>
      <c r="M5" s="47">
        <f>J30</f>
        <v>0.24830237017684512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43" ht="16.5" x14ac:dyDescent="0.3">
      <c r="A6" s="50">
        <v>4</v>
      </c>
      <c r="B6" s="27">
        <v>44</v>
      </c>
      <c r="C6" s="48">
        <f t="shared" si="4"/>
        <v>53.25</v>
      </c>
      <c r="D6" s="48">
        <f t="shared" si="0"/>
        <v>-9.25</v>
      </c>
      <c r="E6" s="1">
        <f t="shared" si="1"/>
        <v>9.25</v>
      </c>
      <c r="F6" s="48">
        <f t="shared" si="2"/>
        <v>85.5625</v>
      </c>
      <c r="G6" s="48">
        <f t="shared" si="3"/>
        <v>0.21022727272727273</v>
      </c>
      <c r="H6" s="48">
        <f>AVERAGE(E$3:E6)</f>
        <v>7.1875</v>
      </c>
      <c r="I6" s="48">
        <f>AVERAGE(F$3:F6)</f>
        <v>74.203125</v>
      </c>
      <c r="J6" s="48">
        <f>AVERAGE(G$3:G6)</f>
        <v>0.13664411976911978</v>
      </c>
      <c r="K6"/>
      <c r="L6">
        <f>L3</f>
        <v>0</v>
      </c>
      <c r="M6" s="122">
        <f t="dataTable" ref="M6:M16" dt2D="0" dtr="0" r1="K1"/>
        <v>0.28844314349640193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43" ht="16.5" x14ac:dyDescent="0.3">
      <c r="A7" s="50">
        <v>5</v>
      </c>
      <c r="B7" s="27">
        <v>49</v>
      </c>
      <c r="C7" s="48">
        <f t="shared" si="4"/>
        <v>48.625</v>
      </c>
      <c r="D7" s="48">
        <f t="shared" si="0"/>
        <v>0.375</v>
      </c>
      <c r="E7" s="1">
        <f t="shared" si="1"/>
        <v>0.375</v>
      </c>
      <c r="F7" s="48">
        <f t="shared" si="2"/>
        <v>0.140625</v>
      </c>
      <c r="G7" s="48">
        <f t="shared" si="3"/>
        <v>7.6530612244897957E-3</v>
      </c>
      <c r="H7" s="48">
        <f>AVERAGE(E$3:E7)</f>
        <v>5.8250000000000002</v>
      </c>
      <c r="I7" s="48">
        <f>AVERAGE(F$3:F7)</f>
        <v>59.390625</v>
      </c>
      <c r="J7" s="48">
        <f>AVERAGE(G$3:G7)</f>
        <v>0.11084590806019379</v>
      </c>
      <c r="K7"/>
      <c r="L7">
        <f>L6+L$4</f>
        <v>0.1</v>
      </c>
      <c r="M7" s="123">
        <v>0.25412777244823331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43" ht="16.5" x14ac:dyDescent="0.3">
      <c r="A8" s="50">
        <v>6</v>
      </c>
      <c r="B8" s="27">
        <v>48</v>
      </c>
      <c r="C8" s="48">
        <f t="shared" si="4"/>
        <v>48.8125</v>
      </c>
      <c r="D8" s="48">
        <f t="shared" si="0"/>
        <v>-0.8125</v>
      </c>
      <c r="E8" s="1">
        <f t="shared" si="1"/>
        <v>0.8125</v>
      </c>
      <c r="F8" s="48">
        <f t="shared" si="2"/>
        <v>0.66015625</v>
      </c>
      <c r="G8" s="48">
        <f t="shared" si="3"/>
        <v>1.6927083333333332E-2</v>
      </c>
      <c r="H8" s="48">
        <f>AVERAGE(E$3:E8)</f>
        <v>4.989583333333333</v>
      </c>
      <c r="I8" s="48">
        <f>AVERAGE(F$3:F8)</f>
        <v>49.602213541666664</v>
      </c>
      <c r="J8" s="48">
        <f>AVERAGE(G$3:G8)</f>
        <v>9.5192770605717056E-2</v>
      </c>
      <c r="K8"/>
      <c r="L8">
        <f t="shared" ref="L8:L16" si="5">L7+L$4</f>
        <v>0.2</v>
      </c>
      <c r="M8" s="123">
        <v>0.24014491822127096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43" ht="16.5" x14ac:dyDescent="0.3">
      <c r="A9" s="50">
        <v>7</v>
      </c>
      <c r="B9" s="27">
        <v>42</v>
      </c>
      <c r="C9" s="48">
        <f t="shared" si="4"/>
        <v>48.40625</v>
      </c>
      <c r="D9" s="48">
        <f t="shared" si="0"/>
        <v>-6.40625</v>
      </c>
      <c r="E9" s="1">
        <f t="shared" si="1"/>
        <v>6.40625</v>
      </c>
      <c r="F9" s="48">
        <f t="shared" si="2"/>
        <v>41.0400390625</v>
      </c>
      <c r="G9" s="48">
        <f t="shared" si="3"/>
        <v>0.15252976190476192</v>
      </c>
      <c r="H9" s="48">
        <f>AVERAGE(E$3:E9)</f>
        <v>5.1919642857142856</v>
      </c>
      <c r="I9" s="48">
        <f>AVERAGE(F$3:F9)</f>
        <v>48.379045758928569</v>
      </c>
      <c r="J9" s="48">
        <f>AVERAGE(G$3:G9)</f>
        <v>0.10338376936272346</v>
      </c>
      <c r="K9"/>
      <c r="L9">
        <f t="shared" si="5"/>
        <v>0.30000000000000004</v>
      </c>
      <c r="M9" s="123">
        <v>0.23953052212731918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43" ht="16.5" x14ac:dyDescent="0.3">
      <c r="A10" s="50">
        <v>8</v>
      </c>
      <c r="B10" s="27">
        <v>49</v>
      </c>
      <c r="C10" s="48">
        <f t="shared" si="4"/>
        <v>45.203125</v>
      </c>
      <c r="D10" s="48">
        <f t="shared" si="0"/>
        <v>3.796875</v>
      </c>
      <c r="E10" s="1">
        <f t="shared" si="1"/>
        <v>3.796875</v>
      </c>
      <c r="F10" s="48">
        <f t="shared" si="2"/>
        <v>14.416259765625</v>
      </c>
      <c r="G10" s="48">
        <f t="shared" si="3"/>
        <v>7.748724489795919E-2</v>
      </c>
      <c r="H10" s="48">
        <f>AVERAGE(E$3:E10)</f>
        <v>5.017578125</v>
      </c>
      <c r="I10" s="48">
        <f>AVERAGE(F$3:F10)</f>
        <v>44.133697509765625</v>
      </c>
      <c r="J10" s="48">
        <f>AVERAGE(G$3:G10)</f>
        <v>0.10014670380462794</v>
      </c>
      <c r="K10"/>
      <c r="L10">
        <f t="shared" si="5"/>
        <v>0.4</v>
      </c>
      <c r="M10" s="123">
        <v>0.24450408034858426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43" ht="16.5" x14ac:dyDescent="0.3">
      <c r="A11" s="50">
        <v>9</v>
      </c>
      <c r="B11" s="27">
        <v>50</v>
      </c>
      <c r="C11" s="48">
        <f t="shared" si="4"/>
        <v>47.1015625</v>
      </c>
      <c r="D11" s="48">
        <f t="shared" si="0"/>
        <v>2.8984375</v>
      </c>
      <c r="E11" s="1">
        <f t="shared" si="1"/>
        <v>2.8984375</v>
      </c>
      <c r="F11" s="48">
        <f t="shared" si="2"/>
        <v>8.40093994140625</v>
      </c>
      <c r="G11" s="48">
        <f t="shared" si="3"/>
        <v>5.7968749999999999E-2</v>
      </c>
      <c r="H11" s="48">
        <f>AVERAGE(E$3:E11)</f>
        <v>4.7821180555555554</v>
      </c>
      <c r="I11" s="48">
        <f>AVERAGE(F$3:F11)</f>
        <v>40.16339111328125</v>
      </c>
      <c r="J11" s="48">
        <f>AVERAGE(G$3:G11)</f>
        <v>9.5460264493002614E-2</v>
      </c>
      <c r="K11"/>
      <c r="L11">
        <f t="shared" si="5"/>
        <v>0.5</v>
      </c>
      <c r="M11" s="123">
        <v>0.24830237017684512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43" ht="16.5" x14ac:dyDescent="0.3">
      <c r="A12" s="50">
        <v>10</v>
      </c>
      <c r="B12" s="27">
        <v>48</v>
      </c>
      <c r="C12" s="48">
        <f t="shared" si="4"/>
        <v>48.55078125</v>
      </c>
      <c r="D12" s="48">
        <f t="shared" si="0"/>
        <v>-0.55078125</v>
      </c>
      <c r="E12" s="1">
        <f t="shared" si="1"/>
        <v>0.55078125</v>
      </c>
      <c r="F12" s="48">
        <f t="shared" si="2"/>
        <v>0.3033599853515625</v>
      </c>
      <c r="G12" s="48">
        <f t="shared" si="3"/>
        <v>1.1474609375E-2</v>
      </c>
      <c r="H12" s="48">
        <f>AVERAGE(E$3:E12)</f>
        <v>4.3589843750000004</v>
      </c>
      <c r="I12" s="48">
        <f>AVERAGE(F$3:F12)</f>
        <v>36.177388000488278</v>
      </c>
      <c r="J12" s="48">
        <f>AVERAGE(G$3:G12)</f>
        <v>8.7061698981202348E-2</v>
      </c>
      <c r="K12"/>
      <c r="L12">
        <f t="shared" si="5"/>
        <v>0.6</v>
      </c>
      <c r="M12" s="123">
        <v>0.25131492136940292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43" ht="16.5" x14ac:dyDescent="0.3">
      <c r="A13" s="50">
        <v>11</v>
      </c>
      <c r="B13" s="27">
        <v>44</v>
      </c>
      <c r="C13" s="48">
        <f t="shared" si="4"/>
        <v>48.275390625</v>
      </c>
      <c r="D13" s="48">
        <f t="shared" si="0"/>
        <v>-4.275390625</v>
      </c>
      <c r="E13" s="1">
        <f t="shared" si="1"/>
        <v>4.275390625</v>
      </c>
      <c r="F13" s="48">
        <f t="shared" si="2"/>
        <v>18.278964996337891</v>
      </c>
      <c r="G13" s="48">
        <f t="shared" si="3"/>
        <v>9.716796875E-2</v>
      </c>
      <c r="H13" s="48">
        <f>AVERAGE(E$3:E13)</f>
        <v>4.3513849431818183</v>
      </c>
      <c r="I13" s="48">
        <f>AVERAGE(F$3:F13)</f>
        <v>34.550258636474609</v>
      </c>
      <c r="J13" s="48">
        <f>AVERAGE(G$3:G13)</f>
        <v>8.7980450778365776E-2</v>
      </c>
      <c r="K13"/>
      <c r="L13">
        <f t="shared" si="5"/>
        <v>0.7</v>
      </c>
      <c r="M13" s="123">
        <v>0.25305169582340331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43" ht="16.5" x14ac:dyDescent="0.3">
      <c r="A14" s="50">
        <v>12</v>
      </c>
      <c r="B14" s="27">
        <v>66</v>
      </c>
      <c r="C14" s="48">
        <f t="shared" si="4"/>
        <v>46.1376953125</v>
      </c>
      <c r="D14" s="48">
        <f t="shared" si="0"/>
        <v>19.8623046875</v>
      </c>
      <c r="E14" s="1">
        <f t="shared" si="1"/>
        <v>19.8623046875</v>
      </c>
      <c r="F14" s="48">
        <f t="shared" si="2"/>
        <v>394.51114749908447</v>
      </c>
      <c r="G14" s="48">
        <f t="shared" si="3"/>
        <v>0.30094401041666669</v>
      </c>
      <c r="H14" s="48">
        <f>AVERAGE(E$3:E14)</f>
        <v>5.643961588541667</v>
      </c>
      <c r="I14" s="48">
        <f>AVERAGE(F$3:F14)</f>
        <v>64.546999375025436</v>
      </c>
      <c r="J14" s="48">
        <f>AVERAGE(G$3:G14)</f>
        <v>0.10572741408155752</v>
      </c>
      <c r="K14"/>
      <c r="L14">
        <f t="shared" si="5"/>
        <v>0.79999999999999993</v>
      </c>
      <c r="M14" s="123">
        <v>0.25751098421100377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43" ht="16.5" x14ac:dyDescent="0.3">
      <c r="A15" s="50">
        <v>13</v>
      </c>
      <c r="B15" s="27">
        <v>30</v>
      </c>
      <c r="C15" s="48">
        <f t="shared" si="4"/>
        <v>56.06884765625</v>
      </c>
      <c r="D15" s="48">
        <f t="shared" si="0"/>
        <v>-26.06884765625</v>
      </c>
      <c r="E15" s="1">
        <f t="shared" si="1"/>
        <v>26.06884765625</v>
      </c>
      <c r="F15" s="48">
        <f t="shared" si="2"/>
        <v>679.58481812477112</v>
      </c>
      <c r="G15" s="48">
        <f t="shared" si="3"/>
        <v>0.86896158854166672</v>
      </c>
      <c r="H15" s="48">
        <f>AVERAGE(E$3:E15)</f>
        <v>7.2151066706730766</v>
      </c>
      <c r="I15" s="48">
        <f>AVERAGE(F$3:F15)</f>
        <v>111.85760081731357</v>
      </c>
      <c r="J15" s="48">
        <f>AVERAGE(G$3:G15)</f>
        <v>0.16443773519387361</v>
      </c>
      <c r="K15"/>
      <c r="L15">
        <f t="shared" si="5"/>
        <v>0.89999999999999991</v>
      </c>
      <c r="M15" s="123">
        <v>0.26869247680404323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43" ht="17.25" thickBot="1" x14ac:dyDescent="0.35">
      <c r="A16" s="50">
        <v>14</v>
      </c>
      <c r="B16" s="27">
        <v>59</v>
      </c>
      <c r="C16" s="48">
        <f t="shared" si="4"/>
        <v>43.034423828125</v>
      </c>
      <c r="D16" s="48">
        <f t="shared" si="0"/>
        <v>15.965576171875</v>
      </c>
      <c r="E16" s="1">
        <f t="shared" si="1"/>
        <v>15.965576171875</v>
      </c>
      <c r="F16" s="48">
        <f t="shared" si="2"/>
        <v>254.89962249994278</v>
      </c>
      <c r="G16" s="48">
        <f t="shared" si="3"/>
        <v>0.27060298596398308</v>
      </c>
      <c r="H16" s="48">
        <f>AVERAGE(E$3:E16)</f>
        <v>7.8401402064732144</v>
      </c>
      <c r="I16" s="48">
        <f>AVERAGE(F$3:F16)</f>
        <v>122.07488808035851</v>
      </c>
      <c r="J16" s="48">
        <f>AVERAGE(G$3:G16)</f>
        <v>0.17202096739173858</v>
      </c>
      <c r="K16" s="6"/>
      <c r="L16">
        <f t="shared" si="5"/>
        <v>0.99999999999999989</v>
      </c>
      <c r="M16" s="124">
        <v>0.28297497184823406</v>
      </c>
      <c r="N16" s="6"/>
      <c r="O16" s="6"/>
      <c r="P16" s="6"/>
      <c r="Q16" s="6"/>
      <c r="R16" s="6"/>
      <c r="S16" s="6"/>
      <c r="T16" s="6"/>
      <c r="U16" s="6"/>
      <c r="V16"/>
      <c r="W16" s="6"/>
      <c r="X16" s="6"/>
      <c r="Y16" s="6"/>
      <c r="Z16" s="6"/>
      <c r="AA16" s="6"/>
      <c r="AB16" s="6"/>
      <c r="AC16" s="26"/>
      <c r="AD16" s="26"/>
      <c r="AE16" s="26"/>
      <c r="AF16" s="26"/>
      <c r="AG16" s="26"/>
      <c r="AH16" s="26"/>
      <c r="AI16" s="26"/>
      <c r="AJ16" s="26"/>
      <c r="AK16" s="6"/>
      <c r="AL16" s="6"/>
      <c r="AM16" s="6"/>
      <c r="AN16" s="6"/>
      <c r="AO16" s="6"/>
      <c r="AP16" s="6"/>
      <c r="AQ16" s="6"/>
    </row>
    <row r="17" spans="1:60" ht="16.5" x14ac:dyDescent="0.3">
      <c r="A17" s="50">
        <v>15</v>
      </c>
      <c r="B17" s="27">
        <v>49</v>
      </c>
      <c r="C17" s="48">
        <f t="shared" si="4"/>
        <v>51.0172119140625</v>
      </c>
      <c r="D17" s="48">
        <f t="shared" si="0"/>
        <v>-2.0172119140625</v>
      </c>
      <c r="E17" s="1">
        <f t="shared" si="1"/>
        <v>2.0172119140625</v>
      </c>
      <c r="F17" s="48">
        <f t="shared" si="2"/>
        <v>4.0691439062356949</v>
      </c>
      <c r="G17" s="48">
        <f t="shared" si="3"/>
        <v>4.1167590082908163E-2</v>
      </c>
      <c r="H17" s="48">
        <f>AVERAGE(E$3:E17)</f>
        <v>7.451944986979167</v>
      </c>
      <c r="I17" s="48">
        <f>AVERAGE(F$3:F17)</f>
        <v>114.20783846875032</v>
      </c>
      <c r="J17" s="48">
        <f>AVERAGE(G$3:G17)</f>
        <v>0.16329740890448322</v>
      </c>
      <c r="K17" s="26"/>
      <c r="L17"/>
      <c r="M17" s="26">
        <f>MIN(M6:M16)</f>
        <v>0.23953052212731918</v>
      </c>
      <c r="N17" s="26"/>
      <c r="O17" s="26"/>
      <c r="P17" s="26"/>
      <c r="Q17" s="26"/>
      <c r="R17" s="26"/>
      <c r="S17" s="26"/>
      <c r="T17" s="26"/>
      <c r="U17" s="26"/>
      <c r="V1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6"/>
      <c r="AL17" s="6"/>
      <c r="AM17" s="6"/>
      <c r="AN17" s="6"/>
      <c r="AO17" s="6"/>
      <c r="AP17" s="6"/>
      <c r="AQ17" s="6"/>
    </row>
    <row r="18" spans="1:60" ht="16.5" x14ac:dyDescent="0.3">
      <c r="A18" s="50">
        <v>16</v>
      </c>
      <c r="B18" s="27">
        <v>37</v>
      </c>
      <c r="C18" s="48">
        <f t="shared" si="4"/>
        <v>50.00860595703125</v>
      </c>
      <c r="D18" s="48">
        <f t="shared" si="0"/>
        <v>-13.00860595703125</v>
      </c>
      <c r="E18" s="1">
        <f t="shared" si="1"/>
        <v>13.00860595703125</v>
      </c>
      <c r="F18" s="48">
        <f t="shared" si="2"/>
        <v>169.22382894530892</v>
      </c>
      <c r="G18" s="48">
        <f t="shared" si="3"/>
        <v>0.3515839447846284</v>
      </c>
      <c r="H18" s="48">
        <f>AVERAGE(E$3:E18)</f>
        <v>7.7992362976074219</v>
      </c>
      <c r="I18" s="48">
        <f>AVERAGE(F$3:F18)</f>
        <v>117.64633787353523</v>
      </c>
      <c r="J18" s="48">
        <f>AVERAGE(G$3:G18)</f>
        <v>0.1750653173969923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6"/>
      <c r="AL18" s="6"/>
      <c r="AM18" s="6"/>
      <c r="AN18" s="6"/>
      <c r="AO18" s="6"/>
      <c r="AP18" s="6"/>
      <c r="AQ18" s="6"/>
    </row>
    <row r="19" spans="1:60" ht="16.5" x14ac:dyDescent="0.3">
      <c r="A19" s="50">
        <v>17</v>
      </c>
      <c r="B19" s="27">
        <v>58</v>
      </c>
      <c r="C19" s="48">
        <f t="shared" si="4"/>
        <v>43.504302978515625</v>
      </c>
      <c r="D19" s="48">
        <f t="shared" si="0"/>
        <v>14.495697021484375</v>
      </c>
      <c r="E19" s="1">
        <f t="shared" si="1"/>
        <v>14.495697021484375</v>
      </c>
      <c r="F19" s="48">
        <f t="shared" si="2"/>
        <v>210.12523213867098</v>
      </c>
      <c r="G19" s="48">
        <f t="shared" si="3"/>
        <v>0.24992581071524783</v>
      </c>
      <c r="H19" s="48">
        <f>AVERAGE(E$3:E19)</f>
        <v>8.193145751953125</v>
      </c>
      <c r="I19" s="48">
        <f>AVERAGE(F$3:F19)</f>
        <v>123.08627283030792</v>
      </c>
      <c r="J19" s="48">
        <f>AVERAGE(G$3:G19)</f>
        <v>0.17946887582747792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6"/>
      <c r="AL19" s="6"/>
      <c r="AM19" s="6"/>
      <c r="AN19" s="6"/>
      <c r="AO19" s="6"/>
      <c r="AP19" s="6"/>
      <c r="AQ19" s="6"/>
    </row>
    <row r="20" spans="1:60" ht="16.5" x14ac:dyDescent="0.3">
      <c r="A20" s="50">
        <v>18</v>
      </c>
      <c r="B20" s="27">
        <v>49</v>
      </c>
      <c r="C20" s="48">
        <f t="shared" si="4"/>
        <v>50.752151489257813</v>
      </c>
      <c r="D20" s="48">
        <f t="shared" si="0"/>
        <v>-1.7521514892578125</v>
      </c>
      <c r="E20" s="1">
        <f t="shared" si="1"/>
        <v>1.7521514892578125</v>
      </c>
      <c r="F20" s="48">
        <f t="shared" si="2"/>
        <v>3.0700348413083702</v>
      </c>
      <c r="G20" s="48">
        <f t="shared" si="3"/>
        <v>3.5758193658322703E-2</v>
      </c>
      <c r="H20" s="48">
        <f>AVERAGE(E$3:E20)</f>
        <v>7.8353127373589411</v>
      </c>
      <c r="I20" s="48">
        <f>AVERAGE(F$3:F20)</f>
        <v>116.41870405314128</v>
      </c>
      <c r="J20" s="48">
        <f>AVERAGE(G$3:G20)</f>
        <v>0.17148494904030265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6"/>
      <c r="AL20" s="6"/>
      <c r="AM20" s="6"/>
      <c r="AN20" s="6"/>
      <c r="AO20" s="6"/>
      <c r="AP20" s="6"/>
      <c r="AQ20" s="6"/>
    </row>
    <row r="21" spans="1:60" ht="16.5" x14ac:dyDescent="0.3">
      <c r="A21" s="50">
        <v>19</v>
      </c>
      <c r="B21" s="27">
        <v>23</v>
      </c>
      <c r="C21" s="48">
        <f t="shared" si="4"/>
        <v>49.876075744628906</v>
      </c>
      <c r="D21" s="48">
        <f t="shared" si="0"/>
        <v>-26.876075744628906</v>
      </c>
      <c r="E21" s="1">
        <f t="shared" si="1"/>
        <v>26.876075744628906</v>
      </c>
      <c r="F21" s="48">
        <f t="shared" si="2"/>
        <v>722.32344743103022</v>
      </c>
      <c r="G21" s="48">
        <f t="shared" si="3"/>
        <v>1.1685250323751699</v>
      </c>
      <c r="H21" s="48">
        <f>AVERAGE(E$3:E21)</f>
        <v>8.8374581587942025</v>
      </c>
      <c r="I21" s="48">
        <f>AVERAGE(F$3:F21)</f>
        <v>148.30842738881964</v>
      </c>
      <c r="J21" s="48">
        <f>AVERAGE(G$3:G21)</f>
        <v>0.22396074290003251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6"/>
      <c r="AL21" s="6"/>
      <c r="AM21" s="6"/>
      <c r="AN21" s="6"/>
      <c r="AO21" s="6"/>
      <c r="AP21" s="6"/>
      <c r="AQ21" s="6"/>
    </row>
    <row r="22" spans="1:60" ht="16.5" x14ac:dyDescent="0.3">
      <c r="A22" s="50">
        <v>20</v>
      </c>
      <c r="B22" s="27">
        <v>27</v>
      </c>
      <c r="C22" s="48">
        <f t="shared" si="4"/>
        <v>36.438037872314453</v>
      </c>
      <c r="D22" s="48">
        <f t="shared" si="0"/>
        <v>-9.4380378723144531</v>
      </c>
      <c r="E22" s="1">
        <f t="shared" si="1"/>
        <v>9.4380378723144531</v>
      </c>
      <c r="F22" s="48">
        <f t="shared" si="2"/>
        <v>89.076558879241929</v>
      </c>
      <c r="G22" s="48">
        <f t="shared" si="3"/>
        <v>0.34955695823386862</v>
      </c>
      <c r="H22" s="48">
        <f>AVERAGE(E$3:E22)</f>
        <v>8.8674871444702141</v>
      </c>
      <c r="I22" s="48">
        <f>AVERAGE(F$3:F22)</f>
        <v>145.34683396334077</v>
      </c>
      <c r="J22" s="48">
        <f>AVERAGE(G$3:G22)</f>
        <v>0.23024055366672433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6"/>
      <c r="AL22" s="6"/>
      <c r="AM22" s="6"/>
      <c r="AN22" s="6"/>
      <c r="AO22" s="6"/>
      <c r="AP22" s="6"/>
      <c r="AQ22" s="6"/>
    </row>
    <row r="23" spans="1:60" ht="16.5" x14ac:dyDescent="0.3">
      <c r="A23" s="50">
        <v>21</v>
      </c>
      <c r="B23" s="27">
        <v>23</v>
      </c>
      <c r="C23" s="48">
        <f t="shared" si="4"/>
        <v>31.719018936157227</v>
      </c>
      <c r="D23" s="48">
        <f t="shared" si="0"/>
        <v>-8.7190189361572266</v>
      </c>
      <c r="E23" s="1">
        <f t="shared" si="1"/>
        <v>8.7190189361572266</v>
      </c>
      <c r="F23" s="48">
        <f t="shared" si="2"/>
        <v>76.021291209068295</v>
      </c>
      <c r="G23" s="48">
        <f t="shared" si="3"/>
        <v>0.37908777983292291</v>
      </c>
      <c r="H23" s="48">
        <f>AVERAGE(E$3:E23)</f>
        <v>8.8604172297886432</v>
      </c>
      <c r="I23" s="48">
        <f>AVERAGE(F$3:F23)</f>
        <v>142.04561764170873</v>
      </c>
      <c r="J23" s="48">
        <f>AVERAGE(G$3:G23)</f>
        <v>0.2373285168174957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6"/>
      <c r="AL23" s="6"/>
      <c r="AM23" s="6"/>
      <c r="AN23" s="6"/>
      <c r="AO23" s="6"/>
      <c r="AP23" s="6"/>
      <c r="AQ23" s="6"/>
    </row>
    <row r="24" spans="1:60" ht="16.5" x14ac:dyDescent="0.3">
      <c r="A24" s="50">
        <v>22</v>
      </c>
      <c r="B24" s="27">
        <v>39</v>
      </c>
      <c r="C24" s="48">
        <f t="shared" si="4"/>
        <v>27.359509468078613</v>
      </c>
      <c r="D24" s="48">
        <f t="shared" si="0"/>
        <v>11.640490531921387</v>
      </c>
      <c r="E24" s="1">
        <f t="shared" si="1"/>
        <v>11.640490531921387</v>
      </c>
      <c r="F24" s="48">
        <f t="shared" si="2"/>
        <v>135.50101982375145</v>
      </c>
      <c r="G24" s="48">
        <f t="shared" si="3"/>
        <v>0.29847411620311248</v>
      </c>
      <c r="H24" s="48">
        <f>AVERAGE(E$3:E24)</f>
        <v>8.9867841980674044</v>
      </c>
      <c r="I24" s="48">
        <f>AVERAGE(F$3:F24)</f>
        <v>141.74813592271067</v>
      </c>
      <c r="J24" s="48">
        <f>AVERAGE(G$3:G24)</f>
        <v>0.24010786224411465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6"/>
      <c r="AL24" s="6"/>
      <c r="AM24" s="6"/>
      <c r="AN24" s="6"/>
      <c r="AO24" s="6"/>
      <c r="AP24" s="6"/>
      <c r="AQ24" s="6"/>
    </row>
    <row r="25" spans="1:60" ht="16.5" x14ac:dyDescent="0.3">
      <c r="A25" s="50">
        <v>23</v>
      </c>
      <c r="B25" s="27">
        <v>35</v>
      </c>
      <c r="C25" s="48">
        <f t="shared" si="4"/>
        <v>33.179754734039307</v>
      </c>
      <c r="D25" s="48">
        <f t="shared" si="0"/>
        <v>1.8202452659606934</v>
      </c>
      <c r="E25" s="1">
        <f t="shared" si="1"/>
        <v>1.8202452659606934</v>
      </c>
      <c r="F25" s="48">
        <f t="shared" si="2"/>
        <v>3.3132928282523153</v>
      </c>
      <c r="G25" s="48">
        <f t="shared" si="3"/>
        <v>5.2007007598876956E-2</v>
      </c>
      <c r="H25" s="48">
        <f>AVERAGE(E$3:E25)</f>
        <v>8.6751955488453749</v>
      </c>
      <c r="I25" s="48">
        <f>AVERAGE(F$3:F25)</f>
        <v>135.72922970121249</v>
      </c>
      <c r="J25" s="48">
        <f>AVERAGE(G$3:G25)</f>
        <v>0.23192956421606081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6"/>
      <c r="AL25" s="6"/>
      <c r="AM25" s="6"/>
      <c r="AN25" s="6"/>
      <c r="AO25" s="6"/>
      <c r="AP25" s="6"/>
      <c r="AQ25" s="6"/>
    </row>
    <row r="26" spans="1:60" ht="16.5" x14ac:dyDescent="0.3">
      <c r="A26" s="50">
        <v>24</v>
      </c>
      <c r="B26" s="27">
        <v>27</v>
      </c>
      <c r="C26" s="48">
        <f t="shared" si="4"/>
        <v>34.089877367019653</v>
      </c>
      <c r="D26" s="48">
        <f t="shared" si="0"/>
        <v>-7.0898773670196533</v>
      </c>
      <c r="E26" s="1">
        <f t="shared" si="1"/>
        <v>7.0898773670196533</v>
      </c>
      <c r="F26" s="48">
        <f t="shared" si="2"/>
        <v>50.266361079377532</v>
      </c>
      <c r="G26" s="48">
        <f t="shared" si="3"/>
        <v>0.26258805063035751</v>
      </c>
      <c r="H26" s="48">
        <f>AVERAGE(E$3:E26)</f>
        <v>8.6091406246026363</v>
      </c>
      <c r="I26" s="48">
        <f>AVERAGE(F$3:F26)</f>
        <v>132.16827684196934</v>
      </c>
      <c r="J26" s="48">
        <f>AVERAGE(G$3:G26)</f>
        <v>0.23320700114998985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6"/>
      <c r="AL26" s="6"/>
      <c r="AM26" s="6"/>
      <c r="AN26" s="6"/>
      <c r="AO26" s="6"/>
      <c r="AP26" s="6"/>
      <c r="AQ26" s="6"/>
    </row>
    <row r="27" spans="1:60" ht="16.5" x14ac:dyDescent="0.3">
      <c r="A27" s="50">
        <v>25</v>
      </c>
      <c r="B27" s="27">
        <v>71</v>
      </c>
      <c r="C27" s="48">
        <f t="shared" si="4"/>
        <v>30.544938683509827</v>
      </c>
      <c r="D27" s="48">
        <f t="shared" si="0"/>
        <v>40.455061316490173</v>
      </c>
      <c r="E27" s="1">
        <f t="shared" si="1"/>
        <v>40.455061316490173</v>
      </c>
      <c r="F27" s="48">
        <f t="shared" si="2"/>
        <v>1636.6119861209797</v>
      </c>
      <c r="G27" s="48">
        <f t="shared" si="3"/>
        <v>0.56978959600690382</v>
      </c>
      <c r="H27" s="48">
        <f>AVERAGE(E$3:E27)</f>
        <v>9.8829774522781371</v>
      </c>
      <c r="I27" s="48">
        <f>AVERAGE(F$3:F27)</f>
        <v>192.34602521312976</v>
      </c>
      <c r="J27" s="48">
        <f>AVERAGE(G$3:G27)</f>
        <v>0.24667030494426639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6"/>
      <c r="AL27" s="6"/>
      <c r="AM27" s="6"/>
      <c r="AN27" s="6"/>
      <c r="AO27" s="6"/>
      <c r="AP27" s="6"/>
      <c r="AQ27" s="6"/>
    </row>
    <row r="28" spans="1:60" ht="16.5" x14ac:dyDescent="0.3">
      <c r="A28" s="50">
        <v>26</v>
      </c>
      <c r="B28" s="27">
        <v>61</v>
      </c>
      <c r="C28" s="48">
        <f t="shared" si="4"/>
        <v>50.772469341754913</v>
      </c>
      <c r="D28" s="48">
        <f t="shared" si="0"/>
        <v>10.227530658245087</v>
      </c>
      <c r="E28" s="1">
        <f t="shared" si="1"/>
        <v>10.227530658245087</v>
      </c>
      <c r="F28" s="48">
        <f t="shared" si="2"/>
        <v>104.60238336534317</v>
      </c>
      <c r="G28" s="48">
        <f t="shared" si="3"/>
        <v>0.16766443702041126</v>
      </c>
      <c r="H28" s="48">
        <f>AVERAGE(E$3:E28)</f>
        <v>9.8962294986614818</v>
      </c>
      <c r="I28" s="48">
        <f>AVERAGE(F$3:F28)</f>
        <v>188.97126975744567</v>
      </c>
      <c r="J28" s="48">
        <f>AVERAGE(G$3:G28)</f>
        <v>0.24363161771642583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6"/>
      <c r="AL28" s="6"/>
      <c r="AM28" s="6"/>
      <c r="AN28" s="6"/>
      <c r="AO28" s="6"/>
      <c r="AP28" s="6"/>
      <c r="AQ28" s="6"/>
    </row>
    <row r="29" spans="1:60" ht="16.5" x14ac:dyDescent="0.3">
      <c r="A29" s="50">
        <v>27</v>
      </c>
      <c r="B29" s="27">
        <v>47</v>
      </c>
      <c r="C29" s="48">
        <f t="shared" si="4"/>
        <v>55.886234670877457</v>
      </c>
      <c r="D29" s="48">
        <f t="shared" si="0"/>
        <v>-8.8862346708774567</v>
      </c>
      <c r="E29" s="1">
        <f t="shared" si="1"/>
        <v>8.8862346708774567</v>
      </c>
      <c r="F29" s="48">
        <f t="shared" si="2"/>
        <v>78.965166625904587</v>
      </c>
      <c r="G29" s="48">
        <f t="shared" si="3"/>
        <v>0.18906882278462675</v>
      </c>
      <c r="H29" s="48">
        <f>AVERAGE(E$3:E29)</f>
        <v>9.8588222828176288</v>
      </c>
      <c r="I29" s="48">
        <f>AVERAGE(F$3:F29)</f>
        <v>184.89696964146265</v>
      </c>
      <c r="J29" s="48">
        <f>AVERAGE(G$3:G29)</f>
        <v>0.24161077345969253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6"/>
      <c r="AL29" s="6"/>
      <c r="AM29" s="6"/>
      <c r="AN29" s="6"/>
      <c r="AO29" s="6"/>
      <c r="AP29" s="6"/>
      <c r="AQ29" s="6"/>
    </row>
    <row r="30" spans="1:60" ht="16.5" x14ac:dyDescent="0.3">
      <c r="A30" s="50">
        <v>28</v>
      </c>
      <c r="B30" s="27">
        <v>36</v>
      </c>
      <c r="C30" s="48">
        <f t="shared" si="4"/>
        <v>51.443117335438728</v>
      </c>
      <c r="D30" s="48">
        <f t="shared" si="0"/>
        <v>-15.443117335438728</v>
      </c>
      <c r="E30" s="1">
        <f t="shared" si="1"/>
        <v>15.443117335438728</v>
      </c>
      <c r="F30" s="48">
        <f t="shared" si="2"/>
        <v>238.48987303612816</v>
      </c>
      <c r="G30" s="48">
        <f t="shared" si="3"/>
        <v>0.42897548153996468</v>
      </c>
      <c r="H30" s="48">
        <f>AVERAGE(E$3:E30)</f>
        <v>10.05826139183981</v>
      </c>
      <c r="I30" s="48">
        <f>AVERAGE(F$3:F30)</f>
        <v>186.81100190555784</v>
      </c>
      <c r="J30" s="48">
        <f>AVERAGE(G$3:G30)</f>
        <v>0.24830237017684512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6"/>
      <c r="AL30" s="6"/>
      <c r="AM30" s="6"/>
      <c r="AN30" s="6"/>
      <c r="AO30" s="6"/>
      <c r="AP30" s="6"/>
      <c r="AQ30" s="6"/>
    </row>
    <row r="31" spans="1:60" ht="16.5" x14ac:dyDescent="0.3">
      <c r="A31" s="49">
        <v>29</v>
      </c>
      <c r="B31"/>
      <c r="C31" s="48">
        <f t="shared" si="4"/>
        <v>43.721558667719364</v>
      </c>
      <c r="D31" s="43"/>
      <c r="E31" s="1"/>
      <c r="F31" s="48"/>
      <c r="G31" s="48"/>
      <c r="H31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6"/>
      <c r="AL31" s="6"/>
      <c r="AM31" s="6"/>
      <c r="AN31" s="6"/>
      <c r="AO31" s="6"/>
      <c r="AP31" s="6"/>
      <c r="AQ31" s="6"/>
      <c r="BD31"/>
      <c r="BE31"/>
      <c r="BF31"/>
      <c r="BG31"/>
      <c r="BH31"/>
    </row>
    <row r="32" spans="1:60" x14ac:dyDescent="0.25">
      <c r="A32"/>
      <c r="B32"/>
      <c r="C32" s="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6"/>
      <c r="AL32" s="6"/>
      <c r="AM32" s="6"/>
      <c r="AN32" s="6"/>
      <c r="AO32" s="6"/>
      <c r="AP32" s="6"/>
      <c r="AQ32" s="6"/>
      <c r="BD32"/>
      <c r="BE32"/>
      <c r="BF32"/>
      <c r="BG32"/>
      <c r="BH32"/>
    </row>
    <row r="33" spans="1:60" x14ac:dyDescent="0.25">
      <c r="A33"/>
      <c r="B33"/>
      <c r="C33" s="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6"/>
      <c r="AL33" s="6"/>
      <c r="AM33" s="6"/>
      <c r="AN33" s="6"/>
      <c r="AO33" s="6"/>
      <c r="AP33" s="6"/>
      <c r="AQ33" s="6"/>
      <c r="BD33"/>
      <c r="BE33"/>
      <c r="BF33"/>
      <c r="BG33"/>
      <c r="BH33"/>
    </row>
    <row r="34" spans="1:60" x14ac:dyDescent="0.25">
      <c r="A34"/>
      <c r="B34"/>
      <c r="C34" s="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6"/>
      <c r="AL34" s="6"/>
      <c r="AM34" s="6"/>
      <c r="AN34" s="6"/>
      <c r="AO34" s="6"/>
      <c r="AP34" s="6"/>
      <c r="AQ34" s="6"/>
      <c r="BD34"/>
      <c r="BE34"/>
      <c r="BF34"/>
      <c r="BG34"/>
      <c r="BH34"/>
    </row>
    <row r="35" spans="1:60" x14ac:dyDescent="0.25">
      <c r="A35"/>
      <c r="B35"/>
      <c r="C35" s="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6"/>
      <c r="AL35" s="6"/>
      <c r="AM35" s="6"/>
      <c r="AN35" s="6"/>
      <c r="AO35" s="6"/>
      <c r="AP35" s="6"/>
      <c r="AQ35" s="6"/>
      <c r="BD35"/>
      <c r="BE35"/>
      <c r="BF35"/>
      <c r="BG35"/>
      <c r="BH35"/>
    </row>
    <row r="36" spans="1:60" x14ac:dyDescent="0.25">
      <c r="A36"/>
      <c r="B36"/>
      <c r="C36" s="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6"/>
      <c r="AL36" s="6"/>
      <c r="AM36" s="6"/>
      <c r="AN36" s="6"/>
      <c r="AO36" s="6"/>
      <c r="AP36" s="6"/>
      <c r="AQ36" s="6"/>
      <c r="BD36"/>
      <c r="BE36"/>
      <c r="BF36"/>
      <c r="BG36"/>
      <c r="BH36"/>
    </row>
    <row r="37" spans="1:60" x14ac:dyDescent="0.25">
      <c r="A37"/>
      <c r="B37"/>
      <c r="C37" s="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6"/>
      <c r="AL37" s="6"/>
      <c r="AM37" s="6"/>
      <c r="AN37" s="6"/>
      <c r="AO37" s="6"/>
      <c r="AP37" s="6"/>
      <c r="AQ37" s="6"/>
      <c r="BD37"/>
      <c r="BE37"/>
      <c r="BF37"/>
      <c r="BG37"/>
      <c r="BH37"/>
    </row>
    <row r="38" spans="1:60" x14ac:dyDescent="0.25">
      <c r="A38"/>
      <c r="B38"/>
      <c r="C38" s="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6"/>
      <c r="AL38" s="6"/>
      <c r="AM38" s="6"/>
      <c r="AN38" s="6"/>
      <c r="AO38" s="6"/>
      <c r="AP38" s="6"/>
      <c r="AQ38" s="6"/>
      <c r="BD38"/>
      <c r="BE38"/>
      <c r="BF38"/>
      <c r="BG38"/>
      <c r="BH38"/>
    </row>
    <row r="39" spans="1:60" x14ac:dyDescent="0.25">
      <c r="A39"/>
      <c r="B39"/>
      <c r="C39" s="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6"/>
      <c r="AL39" s="6"/>
      <c r="AM39" s="6"/>
      <c r="AN39" s="6"/>
      <c r="AO39" s="6"/>
      <c r="AP39" s="6"/>
      <c r="AQ39" s="6"/>
      <c r="BD39"/>
      <c r="BE39"/>
      <c r="BF39"/>
      <c r="BG39"/>
      <c r="BH39"/>
    </row>
    <row r="40" spans="1:60" x14ac:dyDescent="0.25">
      <c r="A40"/>
      <c r="B40"/>
      <c r="C40" s="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6"/>
      <c r="AL40" s="6"/>
      <c r="AM40" s="6"/>
      <c r="AN40" s="6"/>
      <c r="AO40" s="6"/>
      <c r="AP40" s="6"/>
      <c r="AQ40" s="6"/>
      <c r="BD40"/>
      <c r="BE40"/>
      <c r="BF40"/>
      <c r="BG40"/>
      <c r="BH40"/>
    </row>
    <row r="41" spans="1:60" x14ac:dyDescent="0.25">
      <c r="A41"/>
      <c r="B41"/>
      <c r="C41" s="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6"/>
      <c r="AL41" s="6"/>
      <c r="AM41" s="6"/>
      <c r="AN41" s="6"/>
      <c r="AO41" s="6"/>
      <c r="AP41" s="6"/>
      <c r="AQ41" s="6"/>
      <c r="BD41"/>
      <c r="BE41"/>
      <c r="BF41"/>
      <c r="BG41"/>
      <c r="BH41"/>
    </row>
    <row r="42" spans="1:60" x14ac:dyDescent="0.25">
      <c r="A42"/>
      <c r="B42"/>
      <c r="C42" s="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6"/>
      <c r="AL42" s="6"/>
      <c r="AM42" s="6"/>
      <c r="AN42" s="6"/>
      <c r="AO42" s="6"/>
      <c r="AP42" s="6"/>
      <c r="AQ42" s="6"/>
      <c r="BD42"/>
      <c r="BE42"/>
      <c r="BF42"/>
      <c r="BG42"/>
      <c r="BH42"/>
    </row>
    <row r="43" spans="1:60" x14ac:dyDescent="0.25">
      <c r="A43"/>
      <c r="B43"/>
      <c r="C43" s="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6"/>
      <c r="AL43" s="6"/>
      <c r="AM43" s="6"/>
      <c r="AN43" s="6"/>
      <c r="AO43" s="6"/>
      <c r="AP43" s="6"/>
      <c r="AQ43" s="6"/>
      <c r="BD43"/>
      <c r="BE43"/>
      <c r="BF43"/>
      <c r="BG43"/>
      <c r="BH43"/>
    </row>
    <row r="44" spans="1:60" x14ac:dyDescent="0.25">
      <c r="A44"/>
      <c r="B44"/>
      <c r="C44" s="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6"/>
      <c r="AL44" s="6"/>
      <c r="AM44" s="6"/>
      <c r="AN44" s="6"/>
      <c r="AO44" s="6"/>
      <c r="AP44" s="6"/>
      <c r="AQ44" s="6"/>
      <c r="BD44"/>
      <c r="BE44"/>
      <c r="BF44"/>
      <c r="BG44"/>
      <c r="BH44"/>
    </row>
    <row r="45" spans="1:60" x14ac:dyDescent="0.25">
      <c r="A45"/>
      <c r="B45"/>
      <c r="C45" s="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6"/>
      <c r="AL45" s="6"/>
      <c r="AM45" s="6"/>
      <c r="AN45" s="6"/>
      <c r="AO45" s="6"/>
      <c r="AP45" s="6"/>
      <c r="AQ45" s="6"/>
      <c r="BD45"/>
      <c r="BE45"/>
      <c r="BF45"/>
      <c r="BG45"/>
      <c r="BH45"/>
    </row>
    <row r="46" spans="1:60" x14ac:dyDescent="0.25">
      <c r="A46"/>
      <c r="B46"/>
      <c r="C46" s="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6"/>
      <c r="AL46" s="6"/>
      <c r="AM46" s="6"/>
      <c r="AN46" s="6"/>
      <c r="AO46" s="6"/>
      <c r="AP46" s="6"/>
      <c r="AQ46" s="6"/>
      <c r="BD46"/>
      <c r="BE46"/>
      <c r="BF46"/>
      <c r="BG46"/>
      <c r="BH46"/>
    </row>
    <row r="47" spans="1:60" x14ac:dyDescent="0.25">
      <c r="A47"/>
      <c r="B47"/>
      <c r="C47" s="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6"/>
      <c r="AL47" s="6"/>
      <c r="AM47" s="6"/>
      <c r="AN47" s="6"/>
      <c r="AO47" s="6"/>
      <c r="AP47" s="6"/>
      <c r="AQ47" s="6"/>
      <c r="BD47"/>
      <c r="BE47"/>
      <c r="BF47"/>
      <c r="BG47"/>
      <c r="BH47"/>
    </row>
    <row r="48" spans="1:60" x14ac:dyDescent="0.25">
      <c r="A48"/>
      <c r="B48"/>
      <c r="C48" s="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6"/>
      <c r="AL48" s="6"/>
      <c r="AM48" s="6"/>
      <c r="AN48" s="6"/>
      <c r="AO48" s="6"/>
      <c r="AP48" s="6"/>
      <c r="AQ48" s="6"/>
      <c r="BD48"/>
      <c r="BE48"/>
      <c r="BF48"/>
      <c r="BG48"/>
      <c r="BH48"/>
    </row>
    <row r="49" spans="1:60" x14ac:dyDescent="0.25">
      <c r="A49"/>
      <c r="B49"/>
      <c r="C49" s="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6"/>
      <c r="AL49" s="6"/>
      <c r="AM49" s="6"/>
      <c r="AN49" s="6"/>
      <c r="AO49" s="6"/>
      <c r="AP49" s="6"/>
      <c r="AQ49" s="6"/>
      <c r="BD49"/>
      <c r="BE49"/>
      <c r="BF49"/>
      <c r="BG49"/>
      <c r="BH49"/>
    </row>
    <row r="50" spans="1:60" x14ac:dyDescent="0.25">
      <c r="A50"/>
      <c r="B50"/>
      <c r="C50" s="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6"/>
      <c r="AL50" s="6"/>
      <c r="AM50" s="6"/>
      <c r="AN50" s="6"/>
      <c r="AO50" s="6"/>
      <c r="AP50" s="6"/>
      <c r="AQ50" s="6"/>
      <c r="BD50"/>
      <c r="BE50"/>
      <c r="BF50"/>
      <c r="BG50"/>
      <c r="BH50"/>
    </row>
    <row r="51" spans="1:60" x14ac:dyDescent="0.25">
      <c r="A51"/>
      <c r="B51"/>
      <c r="C51" s="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6"/>
      <c r="AL51" s="6"/>
      <c r="AM51" s="6"/>
      <c r="AN51" s="6"/>
      <c r="AO51" s="6"/>
      <c r="AP51" s="6"/>
      <c r="AQ51" s="6"/>
      <c r="BD51"/>
      <c r="BE51"/>
      <c r="BF51"/>
      <c r="BG51"/>
      <c r="BH51"/>
    </row>
    <row r="52" spans="1:60" x14ac:dyDescent="0.25">
      <c r="A52"/>
      <c r="B52"/>
      <c r="C52" s="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6"/>
      <c r="AL52" s="6"/>
      <c r="AM52" s="6"/>
      <c r="AN52" s="6"/>
      <c r="AO52" s="6"/>
      <c r="AP52" s="6"/>
      <c r="AQ52" s="6"/>
      <c r="BD52"/>
      <c r="BE52"/>
      <c r="BF52"/>
      <c r="BG52"/>
      <c r="BH52"/>
    </row>
    <row r="53" spans="1:60" x14ac:dyDescent="0.25">
      <c r="A53"/>
      <c r="B53"/>
      <c r="C53" s="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6"/>
      <c r="AL53" s="6"/>
      <c r="AM53" s="6"/>
      <c r="AN53" s="6"/>
      <c r="AO53" s="6"/>
      <c r="AP53" s="6"/>
      <c r="AQ53" s="6"/>
      <c r="BD53"/>
      <c r="BE53"/>
      <c r="BF53"/>
      <c r="BG53"/>
      <c r="BH53"/>
    </row>
    <row r="54" spans="1:60" x14ac:dyDescent="0.25">
      <c r="A54"/>
      <c r="B54"/>
      <c r="C54" s="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6"/>
      <c r="AL54" s="6"/>
      <c r="AM54" s="6"/>
      <c r="AN54" s="6"/>
      <c r="AO54" s="6"/>
      <c r="AP54" s="6"/>
      <c r="AQ54" s="6"/>
      <c r="BD54"/>
      <c r="BE54"/>
      <c r="BF54"/>
      <c r="BG54"/>
      <c r="BH54"/>
    </row>
    <row r="55" spans="1:60" x14ac:dyDescent="0.25">
      <c r="A55"/>
      <c r="B55"/>
      <c r="C55" s="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6"/>
      <c r="AL55" s="6"/>
      <c r="AM55" s="6"/>
      <c r="AN55" s="6"/>
      <c r="AO55" s="6"/>
      <c r="AP55" s="6"/>
      <c r="AQ55" s="6"/>
      <c r="BD55"/>
      <c r="BE55"/>
      <c r="BF55"/>
      <c r="BG55"/>
      <c r="BH55"/>
    </row>
    <row r="56" spans="1:60" x14ac:dyDescent="0.25">
      <c r="A56"/>
      <c r="B56"/>
      <c r="C56" s="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6"/>
      <c r="AL56" s="6"/>
      <c r="AM56" s="6"/>
      <c r="AN56" s="6"/>
      <c r="AO56" s="6"/>
      <c r="AP56" s="6"/>
      <c r="AQ56" s="6"/>
      <c r="BD56"/>
      <c r="BE56"/>
      <c r="BF56"/>
      <c r="BG56"/>
      <c r="BH56"/>
    </row>
    <row r="57" spans="1:60" x14ac:dyDescent="0.25">
      <c r="A57"/>
      <c r="B57"/>
      <c r="C57" s="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6"/>
      <c r="AL57" s="6"/>
      <c r="AM57" s="6"/>
      <c r="AN57" s="6"/>
      <c r="AO57" s="6"/>
      <c r="AP57" s="6"/>
      <c r="AQ57" s="6"/>
      <c r="BD57"/>
      <c r="BE57"/>
      <c r="BF57"/>
      <c r="BG57"/>
      <c r="BH57"/>
    </row>
    <row r="58" spans="1:60" x14ac:dyDescent="0.25">
      <c r="A58"/>
      <c r="B58"/>
      <c r="C58" s="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6"/>
      <c r="AL58" s="6"/>
      <c r="AM58" s="6"/>
      <c r="AN58" s="6"/>
      <c r="AO58" s="6"/>
      <c r="AP58" s="6"/>
      <c r="AQ58" s="6"/>
      <c r="BD58"/>
      <c r="BE58"/>
      <c r="BF58"/>
      <c r="BG58"/>
      <c r="BH58"/>
    </row>
    <row r="59" spans="1:60" x14ac:dyDescent="0.25">
      <c r="A59"/>
      <c r="B59"/>
      <c r="C59" s="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6"/>
      <c r="AL59" s="6"/>
      <c r="AM59" s="6"/>
      <c r="AN59" s="6"/>
      <c r="AO59" s="6"/>
      <c r="AP59" s="6"/>
      <c r="AQ59" s="6"/>
      <c r="BD59"/>
      <c r="BE59"/>
      <c r="BF59"/>
      <c r="BG59"/>
      <c r="BH59"/>
    </row>
    <row r="60" spans="1:60" x14ac:dyDescent="0.25">
      <c r="A60"/>
      <c r="B60"/>
      <c r="C60" s="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6"/>
      <c r="AL60" s="6"/>
      <c r="AM60" s="6"/>
      <c r="AN60" s="6"/>
      <c r="AO60" s="6"/>
      <c r="AP60" s="6"/>
      <c r="AQ60" s="6"/>
      <c r="BD60"/>
      <c r="BE60"/>
      <c r="BF60"/>
      <c r="BG60"/>
      <c r="BH60"/>
    </row>
    <row r="61" spans="1:60" x14ac:dyDescent="0.25">
      <c r="A61"/>
      <c r="B61"/>
      <c r="C61" s="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6"/>
      <c r="AL61" s="6"/>
      <c r="AM61" s="6"/>
      <c r="AN61" s="6"/>
      <c r="AO61" s="6"/>
      <c r="AP61" s="6"/>
      <c r="AQ61" s="6"/>
      <c r="BD61"/>
      <c r="BE61"/>
      <c r="BF61"/>
      <c r="BG61"/>
      <c r="BH61"/>
    </row>
    <row r="62" spans="1:60" x14ac:dyDescent="0.25">
      <c r="A62"/>
      <c r="B62"/>
      <c r="C62" s="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6"/>
      <c r="AL62" s="6"/>
      <c r="AM62" s="6"/>
      <c r="AN62" s="6"/>
      <c r="AO62" s="6"/>
      <c r="AP62" s="6"/>
      <c r="AQ62" s="6"/>
      <c r="BD62"/>
      <c r="BE62"/>
      <c r="BF62"/>
      <c r="BG62"/>
      <c r="BH62"/>
    </row>
    <row r="63" spans="1:60" x14ac:dyDescent="0.25">
      <c r="A63"/>
      <c r="B63"/>
      <c r="C63" s="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6"/>
      <c r="AL63" s="6"/>
      <c r="AM63" s="6"/>
      <c r="AN63" s="6"/>
      <c r="AO63" s="6"/>
      <c r="AP63" s="6"/>
      <c r="AQ63" s="6"/>
      <c r="BD63"/>
      <c r="BE63"/>
      <c r="BF63"/>
      <c r="BG63"/>
      <c r="BH63"/>
    </row>
    <row r="64" spans="1:60" x14ac:dyDescent="0.25">
      <c r="A64"/>
      <c r="B64"/>
      <c r="C64" s="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6"/>
      <c r="AL64" s="6"/>
      <c r="AM64" s="6"/>
      <c r="AN64" s="6"/>
      <c r="AO64" s="6"/>
      <c r="AP64" s="6"/>
      <c r="AQ64" s="6"/>
      <c r="BD64"/>
      <c r="BE64"/>
      <c r="BF64"/>
      <c r="BG64"/>
      <c r="BH64"/>
    </row>
    <row r="65" spans="1:60" x14ac:dyDescent="0.25">
      <c r="A65"/>
      <c r="B65"/>
      <c r="C65" s="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6"/>
      <c r="AL65" s="6"/>
      <c r="AM65" s="6"/>
      <c r="AN65" s="6"/>
      <c r="AO65" s="6"/>
      <c r="AP65" s="6"/>
      <c r="AQ65" s="6"/>
      <c r="BD65"/>
      <c r="BE65"/>
      <c r="BF65"/>
      <c r="BG65"/>
      <c r="BH65"/>
    </row>
    <row r="66" spans="1:60" x14ac:dyDescent="0.25">
      <c r="A66"/>
      <c r="B66"/>
      <c r="C66" s="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6"/>
      <c r="AL66" s="6"/>
      <c r="AM66" s="6"/>
      <c r="AN66" s="6"/>
      <c r="AO66" s="6"/>
      <c r="AP66" s="6"/>
      <c r="AQ66" s="6"/>
      <c r="BD66"/>
      <c r="BE66"/>
      <c r="BF66"/>
      <c r="BG66"/>
      <c r="BH66"/>
    </row>
    <row r="67" spans="1:60" x14ac:dyDescent="0.25">
      <c r="A67"/>
      <c r="B67"/>
      <c r="C67" s="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6"/>
      <c r="AL67" s="6"/>
      <c r="AM67" s="6"/>
      <c r="AN67" s="6"/>
      <c r="AO67" s="6"/>
      <c r="AP67" s="6"/>
      <c r="AQ67" s="6"/>
      <c r="BD67"/>
      <c r="BE67"/>
      <c r="BF67"/>
      <c r="BG67"/>
      <c r="BH67"/>
    </row>
    <row r="68" spans="1:60" x14ac:dyDescent="0.25">
      <c r="A68"/>
      <c r="B68"/>
      <c r="C68" s="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6"/>
      <c r="AL68" s="6"/>
      <c r="AM68" s="6"/>
      <c r="AN68" s="6"/>
      <c r="AO68" s="6"/>
      <c r="AP68" s="6"/>
      <c r="AQ68" s="6"/>
      <c r="BD68"/>
      <c r="BE68"/>
      <c r="BF68"/>
      <c r="BG68"/>
      <c r="BH68"/>
    </row>
    <row r="69" spans="1:60" x14ac:dyDescent="0.25">
      <c r="A69"/>
      <c r="B69"/>
      <c r="C69" s="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6"/>
      <c r="AL69" s="6"/>
      <c r="AM69" s="6"/>
      <c r="AN69" s="6"/>
      <c r="AO69" s="6"/>
      <c r="AP69" s="6"/>
      <c r="AQ69" s="6"/>
      <c r="BD69"/>
      <c r="BE69"/>
      <c r="BF69"/>
      <c r="BG69"/>
      <c r="BH69"/>
    </row>
    <row r="70" spans="1:60" x14ac:dyDescent="0.25">
      <c r="A70"/>
      <c r="B70"/>
      <c r="C70" s="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6"/>
      <c r="AL70" s="6"/>
      <c r="AM70" s="6"/>
      <c r="AN70" s="6"/>
      <c r="AO70" s="6"/>
      <c r="AP70" s="6"/>
      <c r="AQ70" s="6"/>
      <c r="BD70"/>
      <c r="BE70"/>
      <c r="BF70"/>
      <c r="BG70"/>
      <c r="BH70"/>
    </row>
    <row r="71" spans="1:60" x14ac:dyDescent="0.25">
      <c r="A71"/>
      <c r="B71"/>
      <c r="C71" s="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6"/>
      <c r="AL71" s="6"/>
      <c r="AM71" s="6"/>
      <c r="AN71" s="6"/>
      <c r="AO71" s="6"/>
      <c r="AP71" s="6"/>
      <c r="AQ71" s="6"/>
      <c r="BD71"/>
      <c r="BE71"/>
      <c r="BF71"/>
      <c r="BG71"/>
      <c r="BH71"/>
    </row>
    <row r="72" spans="1:60" x14ac:dyDescent="0.25">
      <c r="A72"/>
      <c r="B72"/>
      <c r="C72" s="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6"/>
      <c r="AL72" s="6"/>
      <c r="AM72" s="6"/>
      <c r="AN72" s="6"/>
      <c r="AO72" s="6"/>
      <c r="AP72" s="6"/>
      <c r="AQ72" s="6"/>
      <c r="BD72"/>
      <c r="BE72"/>
      <c r="BF72"/>
      <c r="BG72"/>
      <c r="BH72"/>
    </row>
    <row r="73" spans="1:60" x14ac:dyDescent="0.25">
      <c r="A73"/>
      <c r="B73"/>
      <c r="C73"/>
      <c r="BD73"/>
      <c r="BE73"/>
      <c r="BF73"/>
      <c r="BG73"/>
      <c r="BH73"/>
    </row>
    <row r="74" spans="1:60" x14ac:dyDescent="0.25">
      <c r="A74"/>
      <c r="B74"/>
      <c r="C74"/>
      <c r="BD74"/>
      <c r="BE74"/>
      <c r="BF74"/>
      <c r="BG74"/>
      <c r="BH74"/>
    </row>
    <row r="75" spans="1:60" x14ac:dyDescent="0.25">
      <c r="A75"/>
      <c r="B75"/>
      <c r="C75"/>
      <c r="BD75"/>
      <c r="BE75"/>
      <c r="BF75"/>
      <c r="BG75"/>
      <c r="BH75"/>
    </row>
    <row r="76" spans="1:60" x14ac:dyDescent="0.25">
      <c r="A76"/>
      <c r="B76"/>
      <c r="C76"/>
      <c r="BD76"/>
      <c r="BE76"/>
      <c r="BF76"/>
      <c r="BG76"/>
      <c r="BH76"/>
    </row>
    <row r="77" spans="1:60" x14ac:dyDescent="0.25">
      <c r="A77"/>
      <c r="B77"/>
      <c r="C77"/>
      <c r="BD77"/>
      <c r="BE77"/>
      <c r="BF77"/>
      <c r="BG77"/>
      <c r="BH77"/>
    </row>
    <row r="78" spans="1:60" ht="16.5" x14ac:dyDescent="0.3">
      <c r="A78"/>
      <c r="B78"/>
      <c r="C78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BD78"/>
      <c r="BE78"/>
      <c r="BF78"/>
      <c r="BG78"/>
      <c r="BH78"/>
    </row>
    <row r="79" spans="1:60" ht="16.5" x14ac:dyDescent="0.3">
      <c r="A79"/>
      <c r="B79"/>
      <c r="C79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BD79"/>
      <c r="BE79"/>
      <c r="BF79"/>
      <c r="BG79"/>
      <c r="BH79"/>
    </row>
    <row r="80" spans="1:60" ht="16.5" x14ac:dyDescent="0.3">
      <c r="A80"/>
      <c r="B80"/>
      <c r="C80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BD80"/>
      <c r="BE80"/>
      <c r="BF80"/>
      <c r="BG80"/>
      <c r="BH80"/>
    </row>
    <row r="81" spans="1:60" ht="16.5" x14ac:dyDescent="0.3">
      <c r="A81"/>
      <c r="B81"/>
      <c r="C8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BD81"/>
      <c r="BE81"/>
      <c r="BF81"/>
      <c r="BG81"/>
      <c r="BH81"/>
    </row>
    <row r="82" spans="1:60" ht="16.5" x14ac:dyDescent="0.3">
      <c r="A82"/>
      <c r="B82"/>
      <c r="C82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BD82"/>
      <c r="BE82"/>
      <c r="BF82"/>
      <c r="BG82"/>
      <c r="BH82"/>
    </row>
    <row r="83" spans="1:60" ht="16.5" x14ac:dyDescent="0.3">
      <c r="A83"/>
      <c r="B83"/>
      <c r="C83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BD83"/>
      <c r="BE83"/>
      <c r="BF83"/>
      <c r="BG83"/>
      <c r="BH83"/>
    </row>
    <row r="84" spans="1:60" ht="16.5" x14ac:dyDescent="0.3">
      <c r="A84"/>
      <c r="B84"/>
      <c r="C84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BD84"/>
      <c r="BE84"/>
      <c r="BF84"/>
      <c r="BG84"/>
      <c r="BH84"/>
    </row>
    <row r="85" spans="1:60" ht="16.5" x14ac:dyDescent="0.3">
      <c r="A85"/>
      <c r="B85"/>
      <c r="C85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BD85"/>
      <c r="BE85"/>
      <c r="BF85"/>
      <c r="BG85"/>
      <c r="BH85"/>
    </row>
    <row r="86" spans="1:60" ht="16.5" x14ac:dyDescent="0.3">
      <c r="A86"/>
      <c r="B86"/>
      <c r="C86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BD86"/>
      <c r="BE86"/>
      <c r="BF86"/>
      <c r="BG86"/>
      <c r="BH86"/>
    </row>
    <row r="87" spans="1:60" ht="16.5" x14ac:dyDescent="0.3">
      <c r="A87"/>
      <c r="B87"/>
      <c r="C87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</row>
    <row r="88" spans="1:60" ht="16.5" x14ac:dyDescent="0.3">
      <c r="A88"/>
      <c r="B88"/>
      <c r="C88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</row>
    <row r="89" spans="1:60" ht="16.5" x14ac:dyDescent="0.3">
      <c r="A89"/>
      <c r="B89"/>
      <c r="C89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</row>
    <row r="90" spans="1:60" x14ac:dyDescent="0.25">
      <c r="A90"/>
      <c r="B90"/>
      <c r="C90"/>
    </row>
    <row r="91" spans="1:60" x14ac:dyDescent="0.25">
      <c r="A91"/>
      <c r="B91"/>
      <c r="C91"/>
    </row>
    <row r="92" spans="1:60" x14ac:dyDescent="0.25">
      <c r="A92"/>
      <c r="B92"/>
      <c r="C92"/>
    </row>
    <row r="93" spans="1:60" x14ac:dyDescent="0.25">
      <c r="A93"/>
      <c r="B93"/>
      <c r="C93"/>
    </row>
    <row r="94" spans="1:60" x14ac:dyDescent="0.25">
      <c r="A94"/>
      <c r="B94"/>
      <c r="C94"/>
    </row>
    <row r="95" spans="1:60" x14ac:dyDescent="0.25">
      <c r="A95"/>
      <c r="B95"/>
      <c r="C95"/>
    </row>
    <row r="96" spans="1:60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M6:M16">
    <cfRule type="cellIs" dxfId="15" priority="1" operator="equal">
      <formula>$M$17</formula>
    </cfRule>
  </conditionalFormatting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9B89D-4AD9-4FDF-A10D-77E9E036CCE1}">
  <dimension ref="A1:BI299"/>
  <sheetViews>
    <sheetView topLeftCell="R1" zoomScale="82" zoomScaleNormal="82" workbookViewId="0">
      <selection activeCell="U37" sqref="U37"/>
    </sheetView>
  </sheetViews>
  <sheetFormatPr defaultColWidth="9.140625" defaultRowHeight="15" x14ac:dyDescent="0.25"/>
  <cols>
    <col min="1" max="1" width="4.5703125" style="22" bestFit="1" customWidth="1"/>
    <col min="2" max="2" width="9.7109375" style="22" bestFit="1" customWidth="1"/>
    <col min="3" max="3" width="13" style="22" customWidth="1"/>
    <col min="4" max="4" width="8.7109375" style="22" customWidth="1"/>
    <col min="5" max="5" width="13.140625" style="22" customWidth="1"/>
    <col min="6" max="6" width="9.7109375" style="22" customWidth="1"/>
    <col min="7" max="7" width="10.7109375" style="22" customWidth="1"/>
    <col min="8" max="8" width="7.28515625" style="22" customWidth="1"/>
    <col min="9" max="9" width="8.7109375" style="22" bestFit="1" customWidth="1"/>
    <col min="10" max="10" width="9.140625" style="22"/>
    <col min="11" max="11" width="12.140625" style="22" bestFit="1" customWidth="1"/>
    <col min="12" max="12" width="12.140625" style="22" customWidth="1"/>
    <col min="13" max="13" width="13.85546875" style="22" bestFit="1" customWidth="1"/>
    <col min="14" max="14" width="12.42578125" style="22" bestFit="1" customWidth="1"/>
    <col min="15" max="15" width="12.140625" style="22" bestFit="1" customWidth="1"/>
    <col min="16" max="19" width="9.28515625" style="22" bestFit="1" customWidth="1"/>
    <col min="20" max="21" width="9.140625" style="22"/>
    <col min="22" max="22" width="9.28515625" style="22" bestFit="1" customWidth="1"/>
    <col min="23" max="33" width="9.140625" style="22"/>
    <col min="34" max="34" width="9.140625" style="22" customWidth="1"/>
    <col min="35" max="37" width="9.140625" style="22"/>
    <col min="38" max="38" width="9.28515625" bestFit="1" customWidth="1"/>
    <col min="39" max="39" width="14" customWidth="1"/>
    <col min="40" max="40" width="12.28515625" customWidth="1"/>
    <col min="41" max="41" width="10.140625" bestFit="1" customWidth="1"/>
    <col min="42" max="42" width="10.140625" customWidth="1"/>
    <col min="43" max="45" width="9.28515625" customWidth="1"/>
    <col min="46" max="46" width="9.28515625" bestFit="1" customWidth="1"/>
    <col min="47" max="47" width="12.28515625" bestFit="1" customWidth="1"/>
    <col min="57" max="16384" width="9.140625" style="22"/>
  </cols>
  <sheetData>
    <row r="1" spans="1:44" customFormat="1" ht="15.75" thickBot="1" x14ac:dyDescent="0.3">
      <c r="K1" s="22"/>
      <c r="L1" s="47"/>
      <c r="N1">
        <v>0</v>
      </c>
      <c r="O1" t="s">
        <v>98</v>
      </c>
      <c r="Q1" s="22" t="s">
        <v>59</v>
      </c>
      <c r="R1" s="69" t="s">
        <v>60</v>
      </c>
      <c r="S1" s="47">
        <v>0.5</v>
      </c>
    </row>
    <row r="2" spans="1:44" ht="17.25" thickBot="1" x14ac:dyDescent="0.35">
      <c r="A2" s="23" t="s">
        <v>4</v>
      </c>
      <c r="B2" s="25" t="s">
        <v>0</v>
      </c>
      <c r="C2" s="1" t="s">
        <v>36</v>
      </c>
      <c r="D2" s="1" t="s">
        <v>37</v>
      </c>
      <c r="E2" s="1" t="s">
        <v>38</v>
      </c>
      <c r="F2" s="1" t="s">
        <v>39</v>
      </c>
      <c r="G2" s="1" t="s">
        <v>40</v>
      </c>
      <c r="H2" s="1" t="s">
        <v>1</v>
      </c>
      <c r="I2" s="1" t="s">
        <v>41</v>
      </c>
      <c r="J2" s="1" t="s">
        <v>42</v>
      </c>
      <c r="K2" s="1" t="s">
        <v>44</v>
      </c>
      <c r="L2" s="1" t="s">
        <v>8</v>
      </c>
      <c r="M2"/>
      <c r="N2"/>
      <c r="O2"/>
      <c r="P2"/>
      <c r="R2" s="69"/>
      <c r="S2" s="70"/>
      <c r="T2"/>
      <c r="U2"/>
      <c r="V2"/>
      <c r="W2"/>
      <c r="X2"/>
      <c r="Y2"/>
      <c r="Z2"/>
      <c r="AA2"/>
      <c r="AB2"/>
      <c r="AC2"/>
    </row>
    <row r="3" spans="1:44" ht="16.5" x14ac:dyDescent="0.3">
      <c r="A3" s="50">
        <v>1</v>
      </c>
      <c r="B3" s="28">
        <v>19</v>
      </c>
      <c r="C3" s="1">
        <f>B3</f>
        <v>19</v>
      </c>
      <c r="D3" s="48">
        <f t="shared" ref="D3:D30" si="0">B3-C3</f>
        <v>0</v>
      </c>
      <c r="E3" s="72">
        <f t="shared" ref="E3:E30" si="1">ABS(D3)</f>
        <v>0</v>
      </c>
      <c r="F3" s="48">
        <f t="shared" ref="F3:F30" si="2">D3^2</f>
        <v>0</v>
      </c>
      <c r="G3" s="48">
        <f t="shared" ref="G3:G30" si="3">E3/B3</f>
        <v>0</v>
      </c>
      <c r="H3" s="48">
        <f>AVERAGE(E$3:E3)</f>
        <v>0</v>
      </c>
      <c r="I3" s="48">
        <f>AVERAGE(F$3:F3)</f>
        <v>0</v>
      </c>
      <c r="J3" s="48">
        <f>AVERAGE(G$3:G3)</f>
        <v>0</v>
      </c>
      <c r="K3" s="47">
        <f>AVERAGE(D$3:D3)</f>
        <v>0</v>
      </c>
      <c r="L3" t="str">
        <f>IFERROR(SUM(D$3:D3)/H3,"")</f>
        <v/>
      </c>
      <c r="M3">
        <v>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44" ht="16.5" x14ac:dyDescent="0.3">
      <c r="A4" s="50">
        <v>2</v>
      </c>
      <c r="B4" s="28">
        <v>21</v>
      </c>
      <c r="C4" s="48">
        <f t="shared" ref="C4:C31" si="4">(1-$S$1)*C3+$S$1*B3+$N$1</f>
        <v>19</v>
      </c>
      <c r="D4" s="48">
        <f t="shared" si="0"/>
        <v>2</v>
      </c>
      <c r="E4" s="72">
        <f t="shared" si="1"/>
        <v>2</v>
      </c>
      <c r="F4" s="48">
        <f t="shared" si="2"/>
        <v>4</v>
      </c>
      <c r="G4" s="48">
        <f t="shared" si="3"/>
        <v>9.5238095238095233E-2</v>
      </c>
      <c r="H4" s="48">
        <f>AVERAGE(E$3:E4)</f>
        <v>1</v>
      </c>
      <c r="I4" s="48">
        <f>AVERAGE(F$3:F4)</f>
        <v>2</v>
      </c>
      <c r="J4" s="48">
        <f>AVERAGE(G$3:G4)</f>
        <v>4.7619047619047616E-2</v>
      </c>
      <c r="K4" s="47">
        <f>AVERAGE(D$3:D4)</f>
        <v>1</v>
      </c>
      <c r="L4">
        <f>IFERROR(SUM(D$3:D4)/H4,"")</f>
        <v>2</v>
      </c>
      <c r="M4">
        <v>0.1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44" ht="16.5" x14ac:dyDescent="0.3">
      <c r="A5" s="50">
        <v>3</v>
      </c>
      <c r="B5" s="28">
        <v>25</v>
      </c>
      <c r="C5" s="48">
        <f t="shared" si="4"/>
        <v>20</v>
      </c>
      <c r="D5" s="48">
        <f t="shared" si="0"/>
        <v>5</v>
      </c>
      <c r="E5" s="72">
        <f t="shared" si="1"/>
        <v>5</v>
      </c>
      <c r="F5" s="48">
        <f t="shared" si="2"/>
        <v>25</v>
      </c>
      <c r="G5" s="48">
        <f t="shared" si="3"/>
        <v>0.2</v>
      </c>
      <c r="H5" s="48">
        <f>AVERAGE(E$3:E5)</f>
        <v>2.3333333333333335</v>
      </c>
      <c r="I5" s="48">
        <f>AVERAGE(F$3:F5)</f>
        <v>9.6666666666666661</v>
      </c>
      <c r="J5" s="48">
        <f>AVERAGE(G$3:G5)</f>
        <v>9.841269841269841E-2</v>
      </c>
      <c r="K5" s="47">
        <f>AVERAGE(D$3:D5)</f>
        <v>2.3333333333333335</v>
      </c>
      <c r="L5">
        <f>IFERROR(SUM(D$3:D5)/H5,"")</f>
        <v>3</v>
      </c>
      <c r="M5"/>
      <c r="N5" s="47">
        <f>J30</f>
        <v>9.2832186377256445E-2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44" ht="16.5" x14ac:dyDescent="0.3">
      <c r="A6" s="50">
        <v>4</v>
      </c>
      <c r="B6" s="28">
        <v>29</v>
      </c>
      <c r="C6" s="48">
        <f t="shared" si="4"/>
        <v>22.5</v>
      </c>
      <c r="D6" s="48">
        <f t="shared" si="0"/>
        <v>6.5</v>
      </c>
      <c r="E6" s="72">
        <f t="shared" si="1"/>
        <v>6.5</v>
      </c>
      <c r="F6" s="48">
        <f t="shared" si="2"/>
        <v>42.25</v>
      </c>
      <c r="G6" s="48">
        <f t="shared" si="3"/>
        <v>0.22413793103448276</v>
      </c>
      <c r="H6" s="48">
        <f>AVERAGE(E$3:E6)</f>
        <v>3.375</v>
      </c>
      <c r="I6" s="48">
        <f>AVERAGE(F$3:F6)</f>
        <v>17.8125</v>
      </c>
      <c r="J6" s="48">
        <f>AVERAGE(G$3:G6)</f>
        <v>0.12984400656814449</v>
      </c>
      <c r="K6" s="47">
        <f>AVERAGE(D$3:D6)</f>
        <v>3.375</v>
      </c>
      <c r="L6">
        <f>IFERROR(SUM(D$3:D6)/H6,"")</f>
        <v>4</v>
      </c>
      <c r="M6">
        <f>M3</f>
        <v>0</v>
      </c>
      <c r="N6">
        <f t="dataTable" ref="N6:N16" dt2D="0" dtr="0" r1="S1"/>
        <v>0.53378075158926819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44" ht="16.5" x14ac:dyDescent="0.3">
      <c r="A7" s="50">
        <v>5</v>
      </c>
      <c r="B7" s="28">
        <v>30</v>
      </c>
      <c r="C7" s="48">
        <f t="shared" si="4"/>
        <v>25.75</v>
      </c>
      <c r="D7" s="48">
        <f t="shared" si="0"/>
        <v>4.25</v>
      </c>
      <c r="E7" s="72">
        <f t="shared" si="1"/>
        <v>4.25</v>
      </c>
      <c r="F7" s="48">
        <f t="shared" si="2"/>
        <v>18.0625</v>
      </c>
      <c r="G7" s="48">
        <f t="shared" si="3"/>
        <v>0.14166666666666666</v>
      </c>
      <c r="H7" s="48">
        <f>AVERAGE(E$3:E7)</f>
        <v>3.55</v>
      </c>
      <c r="I7" s="48">
        <f>AVERAGE(F$3:F7)</f>
        <v>17.862500000000001</v>
      </c>
      <c r="J7" s="48">
        <f>AVERAGE(G$3:G7)</f>
        <v>0.13220853858784892</v>
      </c>
      <c r="K7" s="47">
        <f>AVERAGE(D$3:D7)</f>
        <v>3.55</v>
      </c>
      <c r="L7">
        <f>IFERROR(SUM(D$3:D7)/H7,"")</f>
        <v>5</v>
      </c>
      <c r="M7">
        <f>M6+M$4</f>
        <v>0.1</v>
      </c>
      <c r="N7">
        <v>0.28126474994765188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44" ht="16.5" x14ac:dyDescent="0.3">
      <c r="A8" s="50">
        <v>6</v>
      </c>
      <c r="B8" s="28">
        <v>35</v>
      </c>
      <c r="C8" s="48">
        <f t="shared" si="4"/>
        <v>27.875</v>
      </c>
      <c r="D8" s="48">
        <f t="shared" si="0"/>
        <v>7.125</v>
      </c>
      <c r="E8" s="72">
        <f t="shared" si="1"/>
        <v>7.125</v>
      </c>
      <c r="F8" s="48">
        <f t="shared" si="2"/>
        <v>50.765625</v>
      </c>
      <c r="G8" s="48">
        <f t="shared" si="3"/>
        <v>0.20357142857142857</v>
      </c>
      <c r="H8" s="48">
        <f>AVERAGE(E$3:E8)</f>
        <v>4.145833333333333</v>
      </c>
      <c r="I8" s="48">
        <f>AVERAGE(F$3:F8)</f>
        <v>23.346354166666668</v>
      </c>
      <c r="J8" s="48">
        <f>AVERAGE(G$3:G8)</f>
        <v>0.14410235358511217</v>
      </c>
      <c r="K8" s="47">
        <f>AVERAGE(D$3:D8)</f>
        <v>4.145833333333333</v>
      </c>
      <c r="L8">
        <f>IFERROR(SUM(D$3:D8)/H8,"")</f>
        <v>6</v>
      </c>
      <c r="M8">
        <f t="shared" ref="M8:M16" si="5">M7+M$4</f>
        <v>0.2</v>
      </c>
      <c r="N8">
        <v>0.1856350633960763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44" ht="16.5" x14ac:dyDescent="0.3">
      <c r="A9" s="50">
        <v>7</v>
      </c>
      <c r="B9" s="28">
        <v>35</v>
      </c>
      <c r="C9" s="48">
        <f t="shared" si="4"/>
        <v>31.4375</v>
      </c>
      <c r="D9" s="48">
        <f t="shared" si="0"/>
        <v>3.5625</v>
      </c>
      <c r="E9" s="72">
        <f t="shared" si="1"/>
        <v>3.5625</v>
      </c>
      <c r="F9" s="48">
        <f t="shared" si="2"/>
        <v>12.69140625</v>
      </c>
      <c r="G9" s="48">
        <f t="shared" si="3"/>
        <v>0.10178571428571428</v>
      </c>
      <c r="H9" s="48">
        <f>AVERAGE(E$3:E9)</f>
        <v>4.0625</v>
      </c>
      <c r="I9" s="48">
        <f>AVERAGE(F$3:F9)</f>
        <v>21.82421875</v>
      </c>
      <c r="J9" s="48">
        <f>AVERAGE(G$3:G9)</f>
        <v>0.1380571193994839</v>
      </c>
      <c r="K9" s="47">
        <f>AVERAGE(D$3:D9)</f>
        <v>4.0625</v>
      </c>
      <c r="L9">
        <f>IFERROR(SUM(D$3:D9)/H9,"")</f>
        <v>7</v>
      </c>
      <c r="M9">
        <f t="shared" si="5"/>
        <v>0.30000000000000004</v>
      </c>
      <c r="N9">
        <v>0.13867415698377275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44" ht="16.5" x14ac:dyDescent="0.3">
      <c r="A10" s="50">
        <v>8</v>
      </c>
      <c r="B10" s="28">
        <v>36</v>
      </c>
      <c r="C10" s="48">
        <f t="shared" si="4"/>
        <v>33.21875</v>
      </c>
      <c r="D10" s="48">
        <f t="shared" si="0"/>
        <v>2.78125</v>
      </c>
      <c r="E10" s="72">
        <f t="shared" si="1"/>
        <v>2.78125</v>
      </c>
      <c r="F10" s="48">
        <f t="shared" si="2"/>
        <v>7.7353515625</v>
      </c>
      <c r="G10" s="48">
        <f t="shared" si="3"/>
        <v>7.7256944444444448E-2</v>
      </c>
      <c r="H10" s="48">
        <f>AVERAGE(E$3:E10)</f>
        <v>3.90234375</v>
      </c>
      <c r="I10" s="48">
        <f>AVERAGE(F$3:F10)</f>
        <v>20.0631103515625</v>
      </c>
      <c r="J10" s="48">
        <f>AVERAGE(G$3:G10)</f>
        <v>0.13045709753010398</v>
      </c>
      <c r="K10" s="47">
        <f>AVERAGE(D$3:D10)</f>
        <v>3.90234375</v>
      </c>
      <c r="L10">
        <f>IFERROR(SUM(D$3:D10)/H10,"")</f>
        <v>8</v>
      </c>
      <c r="M10">
        <f t="shared" si="5"/>
        <v>0.4</v>
      </c>
      <c r="N10">
        <v>0.11105317416447096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44" ht="16.5" x14ac:dyDescent="0.3">
      <c r="A11" s="50">
        <v>9</v>
      </c>
      <c r="B11" s="28">
        <v>36</v>
      </c>
      <c r="C11" s="48">
        <f t="shared" si="4"/>
        <v>34.609375</v>
      </c>
      <c r="D11" s="48">
        <f t="shared" si="0"/>
        <v>1.390625</v>
      </c>
      <c r="E11" s="72">
        <f t="shared" si="1"/>
        <v>1.390625</v>
      </c>
      <c r="F11" s="48">
        <f t="shared" si="2"/>
        <v>1.933837890625</v>
      </c>
      <c r="G11" s="48">
        <f t="shared" si="3"/>
        <v>3.8628472222222224E-2</v>
      </c>
      <c r="H11" s="48">
        <f>AVERAGE(E$3:E11)</f>
        <v>3.6232638888888888</v>
      </c>
      <c r="I11" s="48">
        <f>AVERAGE(F$3:F11)</f>
        <v>18.048746744791668</v>
      </c>
      <c r="J11" s="48">
        <f>AVERAGE(G$3:G11)</f>
        <v>0.12025391694033935</v>
      </c>
      <c r="K11" s="47">
        <f>AVERAGE(D$3:D11)</f>
        <v>3.6232638888888888</v>
      </c>
      <c r="L11">
        <f>IFERROR(SUM(D$3:D11)/H11,"")</f>
        <v>9</v>
      </c>
      <c r="M11">
        <f t="shared" si="5"/>
        <v>0.5</v>
      </c>
      <c r="N11">
        <v>9.2832186377256445E-2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44" ht="16.5" x14ac:dyDescent="0.3">
      <c r="A12" s="50">
        <v>10</v>
      </c>
      <c r="B12" s="28">
        <v>37</v>
      </c>
      <c r="C12" s="48">
        <f t="shared" si="4"/>
        <v>35.3046875</v>
      </c>
      <c r="D12" s="48">
        <f t="shared" si="0"/>
        <v>1.6953125</v>
      </c>
      <c r="E12" s="72">
        <f t="shared" si="1"/>
        <v>1.6953125</v>
      </c>
      <c r="F12" s="48">
        <f t="shared" si="2"/>
        <v>2.87408447265625</v>
      </c>
      <c r="G12" s="48">
        <f t="shared" si="3"/>
        <v>4.5819256756756757E-2</v>
      </c>
      <c r="H12" s="48">
        <f>AVERAGE(E$3:E12)</f>
        <v>3.4304687500000002</v>
      </c>
      <c r="I12" s="48">
        <f>AVERAGE(F$3:F12)</f>
        <v>16.531280517578125</v>
      </c>
      <c r="J12" s="48">
        <f>AVERAGE(G$3:G12)</f>
        <v>0.1128104509219811</v>
      </c>
      <c r="K12" s="47">
        <f>AVERAGE(D$3:D12)</f>
        <v>3.4304687500000002</v>
      </c>
      <c r="L12">
        <f>IFERROR(SUM(D$3:D12)/H12,"")</f>
        <v>10</v>
      </c>
      <c r="M12">
        <f t="shared" si="5"/>
        <v>0.6</v>
      </c>
      <c r="N12">
        <v>7.9868556681970376E-2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44" ht="16.5" x14ac:dyDescent="0.3">
      <c r="A13" s="50">
        <v>11</v>
      </c>
      <c r="B13" s="28">
        <v>39</v>
      </c>
      <c r="C13" s="48">
        <f t="shared" si="4"/>
        <v>36.15234375</v>
      </c>
      <c r="D13" s="48">
        <f t="shared" si="0"/>
        <v>2.84765625</v>
      </c>
      <c r="E13" s="72">
        <f t="shared" si="1"/>
        <v>2.84765625</v>
      </c>
      <c r="F13" s="48">
        <f t="shared" si="2"/>
        <v>8.1091461181640625</v>
      </c>
      <c r="G13" s="48">
        <f t="shared" si="3"/>
        <v>7.3016826923076927E-2</v>
      </c>
      <c r="H13" s="48">
        <f>AVERAGE(E$3:E13)</f>
        <v>3.3774857954545454</v>
      </c>
      <c r="I13" s="48">
        <f>AVERAGE(F$3:F13)</f>
        <v>15.765631935813211</v>
      </c>
      <c r="J13" s="48">
        <f>AVERAGE(G$3:G13)</f>
        <v>0.10919284874026253</v>
      </c>
      <c r="K13" s="47">
        <f>AVERAGE(D$3:D13)</f>
        <v>3.3774857954545454</v>
      </c>
      <c r="L13">
        <f>IFERROR(SUM(D$3:D13)/H13,"")</f>
        <v>11</v>
      </c>
      <c r="M13">
        <f t="shared" si="5"/>
        <v>0.7</v>
      </c>
      <c r="N13">
        <v>7.0144356632070332E-2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44" ht="16.5" x14ac:dyDescent="0.3">
      <c r="A14" s="50">
        <v>12</v>
      </c>
      <c r="B14" s="28">
        <v>41</v>
      </c>
      <c r="C14" s="48">
        <f t="shared" si="4"/>
        <v>37.576171875</v>
      </c>
      <c r="D14" s="48">
        <f t="shared" si="0"/>
        <v>3.423828125</v>
      </c>
      <c r="E14" s="72">
        <f t="shared" si="1"/>
        <v>3.423828125</v>
      </c>
      <c r="F14" s="48">
        <f t="shared" si="2"/>
        <v>11.722599029541016</v>
      </c>
      <c r="G14" s="48">
        <f t="shared" si="3"/>
        <v>8.3508003048780491E-2</v>
      </c>
      <c r="H14" s="48">
        <f>AVERAGE(E$3:E14)</f>
        <v>3.38134765625</v>
      </c>
      <c r="I14" s="48">
        <f>AVERAGE(F$3:F14)</f>
        <v>15.428712526957193</v>
      </c>
      <c r="J14" s="48">
        <f>AVERAGE(G$3:G14)</f>
        <v>0.10705244493263903</v>
      </c>
      <c r="K14" s="47">
        <f>AVERAGE(D$3:D14)</f>
        <v>3.38134765625</v>
      </c>
      <c r="L14">
        <f>IFERROR(SUM(D$3:D14)/H14,"")</f>
        <v>12</v>
      </c>
      <c r="M14">
        <f t="shared" si="5"/>
        <v>0.79999999999999993</v>
      </c>
      <c r="N14">
        <v>6.256061369431079E-2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44" ht="16.5" x14ac:dyDescent="0.3">
      <c r="A15" s="50">
        <v>13</v>
      </c>
      <c r="B15" s="28">
        <v>42</v>
      </c>
      <c r="C15" s="48">
        <f t="shared" si="4"/>
        <v>39.2880859375</v>
      </c>
      <c r="D15" s="48">
        <f t="shared" si="0"/>
        <v>2.7119140625</v>
      </c>
      <c r="E15" s="72">
        <f t="shared" si="1"/>
        <v>2.7119140625</v>
      </c>
      <c r="F15" s="48">
        <f t="shared" si="2"/>
        <v>7.3544778823852539</v>
      </c>
      <c r="G15" s="48">
        <f t="shared" si="3"/>
        <v>6.4569382440476192E-2</v>
      </c>
      <c r="H15" s="48">
        <f>AVERAGE(E$3:E15)</f>
        <v>3.3298527644230771</v>
      </c>
      <c r="I15" s="48">
        <f>AVERAGE(F$3:F15)</f>
        <v>14.807617554297813</v>
      </c>
      <c r="J15" s="48">
        <f>AVERAGE(G$3:G15)</f>
        <v>0.10378451704862651</v>
      </c>
      <c r="K15" s="47">
        <f>AVERAGE(D$3:D15)</f>
        <v>3.3298527644230771</v>
      </c>
      <c r="L15">
        <f>IFERROR(SUM(D$3:D15)/H15,"")</f>
        <v>13</v>
      </c>
      <c r="M15">
        <f t="shared" si="5"/>
        <v>0.89999999999999991</v>
      </c>
      <c r="N15">
        <v>5.6467900896008373E-2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44" ht="16.5" x14ac:dyDescent="0.3">
      <c r="A16" s="50">
        <v>14</v>
      </c>
      <c r="B16" s="28">
        <v>43</v>
      </c>
      <c r="C16" s="48">
        <f t="shared" si="4"/>
        <v>40.64404296875</v>
      </c>
      <c r="D16" s="48">
        <f t="shared" si="0"/>
        <v>2.35595703125</v>
      </c>
      <c r="E16" s="72">
        <f t="shared" si="1"/>
        <v>2.35595703125</v>
      </c>
      <c r="F16" s="48">
        <f t="shared" si="2"/>
        <v>5.5505335330963135</v>
      </c>
      <c r="G16" s="48">
        <f t="shared" si="3"/>
        <v>5.4789698401162788E-2</v>
      </c>
      <c r="H16" s="48">
        <f>AVERAGE(E$3:E16)</f>
        <v>3.2602887834821428</v>
      </c>
      <c r="I16" s="48">
        <f>AVERAGE(F$3:F16)</f>
        <v>14.146397267069135</v>
      </c>
      <c r="J16" s="48">
        <f>AVERAGE(G$3:G16)</f>
        <v>0.10028488714523624</v>
      </c>
      <c r="K16" s="47">
        <f>AVERAGE(D$3:D16)</f>
        <v>3.2602887834821428</v>
      </c>
      <c r="L16">
        <f>IFERROR(SUM(D$3:D16)/H16,"")</f>
        <v>14</v>
      </c>
      <c r="M16">
        <f t="shared" si="5"/>
        <v>0.99999999999999989</v>
      </c>
      <c r="N16" s="6">
        <v>5.1457719634889369E-2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26"/>
      <c r="AE16" s="26"/>
      <c r="AF16" s="26"/>
      <c r="AG16" s="26"/>
      <c r="AH16" s="26"/>
      <c r="AI16" s="26"/>
      <c r="AJ16" s="26"/>
      <c r="AK16" s="26"/>
      <c r="AL16" s="6"/>
      <c r="AM16" s="6"/>
      <c r="AN16" s="6"/>
      <c r="AO16" s="6"/>
      <c r="AP16" s="6"/>
      <c r="AQ16" s="6"/>
      <c r="AR16" s="6"/>
    </row>
    <row r="17" spans="1:61" ht="16.5" x14ac:dyDescent="0.3">
      <c r="A17" s="50">
        <v>15</v>
      </c>
      <c r="B17" s="28">
        <v>45</v>
      </c>
      <c r="C17" s="48">
        <f t="shared" si="4"/>
        <v>41.822021484375</v>
      </c>
      <c r="D17" s="48">
        <f t="shared" si="0"/>
        <v>3.177978515625</v>
      </c>
      <c r="E17" s="72">
        <f t="shared" si="1"/>
        <v>3.177978515625</v>
      </c>
      <c r="F17" s="48">
        <f t="shared" si="2"/>
        <v>10.099547445774078</v>
      </c>
      <c r="G17" s="48">
        <f t="shared" si="3"/>
        <v>7.0621744791666663E-2</v>
      </c>
      <c r="H17" s="48">
        <f>AVERAGE(E$3:E17)</f>
        <v>3.2548014322916665</v>
      </c>
      <c r="I17" s="48">
        <f>AVERAGE(F$3:F17)</f>
        <v>13.876607278982798</v>
      </c>
      <c r="J17" s="48">
        <f>AVERAGE(G$3:G17)</f>
        <v>9.8307344321664936E-2</v>
      </c>
      <c r="K17" s="47">
        <f>AVERAGE(D$3:D17)</f>
        <v>3.2548014322916665</v>
      </c>
      <c r="L17">
        <f>IFERROR(SUM(D$3:D17)/H17,"")</f>
        <v>15</v>
      </c>
      <c r="M17"/>
      <c r="N17" s="26">
        <f>MIN(N6:N16)</f>
        <v>5.1457719634889369E-2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6"/>
      <c r="AM17" s="6"/>
      <c r="AN17" s="6"/>
      <c r="AO17" s="6"/>
      <c r="AP17" s="6"/>
      <c r="AQ17" s="6"/>
      <c r="AR17" s="6"/>
    </row>
    <row r="18" spans="1:61" ht="16.5" x14ac:dyDescent="0.3">
      <c r="A18" s="50">
        <v>16</v>
      </c>
      <c r="B18" s="28">
        <v>48</v>
      </c>
      <c r="C18" s="48">
        <f t="shared" si="4"/>
        <v>43.4110107421875</v>
      </c>
      <c r="D18" s="48">
        <f t="shared" si="0"/>
        <v>4.5889892578125</v>
      </c>
      <c r="E18" s="72">
        <f t="shared" si="1"/>
        <v>4.5889892578125</v>
      </c>
      <c r="F18" s="48">
        <f t="shared" si="2"/>
        <v>21.05882240831852</v>
      </c>
      <c r="G18" s="48">
        <f t="shared" si="3"/>
        <v>9.560394287109375E-2</v>
      </c>
      <c r="H18" s="48">
        <f>AVERAGE(E$3:E18)</f>
        <v>3.3381881713867188</v>
      </c>
      <c r="I18" s="48">
        <f>AVERAGE(F$3:F18)</f>
        <v>14.325495724566281</v>
      </c>
      <c r="J18" s="48">
        <f>AVERAGE(G$3:G18)</f>
        <v>9.813838173100424E-2</v>
      </c>
      <c r="K18" s="47">
        <f>AVERAGE(D$3:D18)</f>
        <v>3.3381881713867188</v>
      </c>
      <c r="L18">
        <f>IFERROR(SUM(D$3:D18)/H18,"")</f>
        <v>16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6"/>
      <c r="AM18" s="6"/>
      <c r="AN18" s="6"/>
      <c r="AO18" s="6"/>
      <c r="AP18" s="6"/>
      <c r="AQ18" s="6"/>
      <c r="AR18" s="6"/>
    </row>
    <row r="19" spans="1:61" ht="16.5" x14ac:dyDescent="0.3">
      <c r="A19" s="50">
        <v>17</v>
      </c>
      <c r="B19" s="28">
        <v>49</v>
      </c>
      <c r="C19" s="48">
        <f t="shared" si="4"/>
        <v>45.70550537109375</v>
      </c>
      <c r="D19" s="48">
        <f t="shared" si="0"/>
        <v>3.29449462890625</v>
      </c>
      <c r="E19" s="72">
        <f t="shared" si="1"/>
        <v>3.29449462890625</v>
      </c>
      <c r="F19" s="48">
        <f t="shared" si="2"/>
        <v>10.85369485989213</v>
      </c>
      <c r="G19" s="48">
        <f t="shared" si="3"/>
        <v>6.7234584263392863E-2</v>
      </c>
      <c r="H19" s="48">
        <f>AVERAGE(E$3:E19)</f>
        <v>3.3356179630055145</v>
      </c>
      <c r="I19" s="48">
        <f>AVERAGE(F$3:F19)</f>
        <v>14.12127214429133</v>
      </c>
      <c r="J19" s="48">
        <f>AVERAGE(G$3:G19)</f>
        <v>9.6320511291732983E-2</v>
      </c>
      <c r="K19" s="47">
        <f>AVERAGE(D$3:D19)</f>
        <v>3.3356179630055145</v>
      </c>
      <c r="L19">
        <f>IFERROR(SUM(D$3:D19)/H19,"")</f>
        <v>17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6"/>
      <c r="AM19" s="6"/>
      <c r="AN19" s="6"/>
      <c r="AO19" s="6"/>
      <c r="AP19" s="6"/>
      <c r="AQ19" s="6"/>
      <c r="AR19" s="6"/>
    </row>
    <row r="20" spans="1:61" ht="16.5" x14ac:dyDescent="0.3">
      <c r="A20" s="50">
        <v>18</v>
      </c>
      <c r="B20" s="28">
        <v>50</v>
      </c>
      <c r="C20" s="48">
        <f t="shared" si="4"/>
        <v>47.352752685546875</v>
      </c>
      <c r="D20" s="48">
        <f t="shared" si="0"/>
        <v>2.647247314453125</v>
      </c>
      <c r="E20" s="72">
        <f t="shared" si="1"/>
        <v>2.647247314453125</v>
      </c>
      <c r="F20" s="48">
        <f t="shared" si="2"/>
        <v>7.0079183438792825</v>
      </c>
      <c r="G20" s="48">
        <f t="shared" si="3"/>
        <v>5.2944946289062503E-2</v>
      </c>
      <c r="H20" s="48">
        <f>AVERAGE(E$3:E20)</f>
        <v>3.2973751491970487</v>
      </c>
      <c r="I20" s="48">
        <f>AVERAGE(F$3:F20)</f>
        <v>13.726085822046217</v>
      </c>
      <c r="J20" s="48">
        <f>AVERAGE(G$3:G20)</f>
        <v>9.3910757680473508E-2</v>
      </c>
      <c r="K20" s="47">
        <f>AVERAGE(D$3:D20)</f>
        <v>3.2973751491970487</v>
      </c>
      <c r="L20">
        <f>IFERROR(SUM(D$3:D20)/H20,"")</f>
        <v>18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6"/>
      <c r="AM20" s="6"/>
      <c r="AN20" s="6"/>
      <c r="AO20" s="6"/>
      <c r="AP20" s="6"/>
      <c r="AQ20" s="6"/>
      <c r="AR20" s="6"/>
    </row>
    <row r="21" spans="1:61" ht="16.5" x14ac:dyDescent="0.3">
      <c r="A21" s="50">
        <v>19</v>
      </c>
      <c r="B21" s="28">
        <v>50</v>
      </c>
      <c r="C21" s="48">
        <f t="shared" si="4"/>
        <v>48.676376342773438</v>
      </c>
      <c r="D21" s="48">
        <f t="shared" si="0"/>
        <v>1.3236236572265625</v>
      </c>
      <c r="E21" s="72">
        <f t="shared" si="1"/>
        <v>1.3236236572265625</v>
      </c>
      <c r="F21" s="48">
        <f t="shared" si="2"/>
        <v>1.7519795859698206</v>
      </c>
      <c r="G21" s="48">
        <f t="shared" si="3"/>
        <v>2.6472473144531251E-2</v>
      </c>
      <c r="H21" s="48">
        <f>AVERAGE(E$3:E21)</f>
        <v>3.1934934917249178</v>
      </c>
      <c r="I21" s="48">
        <f>AVERAGE(F$3:F21)</f>
        <v>13.095869704357986</v>
      </c>
      <c r="J21" s="48">
        <f>AVERAGE(G$3:G21)</f>
        <v>9.036137428384497E-2</v>
      </c>
      <c r="K21" s="47">
        <f>AVERAGE(D$3:D21)</f>
        <v>3.1934934917249178</v>
      </c>
      <c r="L21">
        <f>IFERROR(SUM(D$3:D21)/H21,"")</f>
        <v>19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6"/>
      <c r="AM21" s="6"/>
      <c r="AN21" s="6"/>
      <c r="AO21" s="6"/>
      <c r="AP21" s="6"/>
      <c r="AQ21" s="6"/>
      <c r="AR21" s="6"/>
    </row>
    <row r="22" spans="1:61" ht="16.5" x14ac:dyDescent="0.3">
      <c r="A22" s="50">
        <v>20</v>
      </c>
      <c r="B22" s="28">
        <v>55</v>
      </c>
      <c r="C22" s="48">
        <f t="shared" si="4"/>
        <v>49.338188171386719</v>
      </c>
      <c r="D22" s="48">
        <f t="shared" si="0"/>
        <v>5.6618118286132813</v>
      </c>
      <c r="E22" s="72">
        <f t="shared" si="1"/>
        <v>5.6618118286132813</v>
      </c>
      <c r="F22" s="48">
        <f t="shared" si="2"/>
        <v>32.056113182625268</v>
      </c>
      <c r="G22" s="48">
        <f t="shared" si="3"/>
        <v>0.10294203324751421</v>
      </c>
      <c r="H22" s="48">
        <f>AVERAGE(E$3:E22)</f>
        <v>3.316909408569336</v>
      </c>
      <c r="I22" s="48">
        <f>AVERAGE(F$3:F22)</f>
        <v>14.04388187827135</v>
      </c>
      <c r="J22" s="48">
        <f>AVERAGE(G$3:G22)</f>
        <v>9.099040723202842E-2</v>
      </c>
      <c r="K22" s="47">
        <f>AVERAGE(D$3:D22)</f>
        <v>3.316909408569336</v>
      </c>
      <c r="L22">
        <f>IFERROR(SUM(D$3:D22)/H22,"")</f>
        <v>20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6"/>
      <c r="AM22" s="6"/>
      <c r="AN22" s="6"/>
      <c r="AO22" s="6"/>
      <c r="AP22" s="6"/>
      <c r="AQ22" s="6"/>
      <c r="AR22" s="6"/>
    </row>
    <row r="23" spans="1:61" ht="16.5" x14ac:dyDescent="0.3">
      <c r="A23" s="50">
        <v>21</v>
      </c>
      <c r="B23" s="28">
        <v>55</v>
      </c>
      <c r="C23" s="48">
        <f t="shared" si="4"/>
        <v>52.169094085693359</v>
      </c>
      <c r="D23" s="48">
        <f t="shared" si="0"/>
        <v>2.8309059143066406</v>
      </c>
      <c r="E23" s="72">
        <f t="shared" si="1"/>
        <v>2.8309059143066406</v>
      </c>
      <c r="F23" s="48">
        <f t="shared" si="2"/>
        <v>8.0140282956563169</v>
      </c>
      <c r="G23" s="48">
        <f t="shared" si="3"/>
        <v>5.1471016623757103E-2</v>
      </c>
      <c r="H23" s="48">
        <f>AVERAGE(E$3:E23)</f>
        <v>3.2937663850330172</v>
      </c>
      <c r="I23" s="48">
        <f>AVERAGE(F$3:F23)</f>
        <v>13.75674599338492</v>
      </c>
      <c r="J23" s="48">
        <f>AVERAGE(G$3:G23)</f>
        <v>8.9108531488777412E-2</v>
      </c>
      <c r="K23" s="47">
        <f>AVERAGE(D$3:D23)</f>
        <v>3.2937663850330172</v>
      </c>
      <c r="L23">
        <f>IFERROR(SUM(D$3:D23)/H23,"")</f>
        <v>21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6"/>
      <c r="AM23" s="6"/>
      <c r="AN23" s="6"/>
      <c r="AO23" s="6"/>
      <c r="AP23" s="6"/>
      <c r="AQ23" s="6"/>
      <c r="AR23" s="6"/>
    </row>
    <row r="24" spans="1:61" ht="16.5" x14ac:dyDescent="0.3">
      <c r="A24" s="50">
        <v>22</v>
      </c>
      <c r="B24" s="28">
        <v>58</v>
      </c>
      <c r="C24" s="48">
        <f t="shared" si="4"/>
        <v>53.58454704284668</v>
      </c>
      <c r="D24" s="48">
        <f t="shared" si="0"/>
        <v>4.4154529571533203</v>
      </c>
      <c r="E24" s="72">
        <f t="shared" si="1"/>
        <v>4.4154529571533203</v>
      </c>
      <c r="F24" s="48">
        <f t="shared" si="2"/>
        <v>19.496224816834001</v>
      </c>
      <c r="G24" s="48">
        <f t="shared" si="3"/>
        <v>7.6128499261264138E-2</v>
      </c>
      <c r="H24" s="48">
        <f>AVERAGE(E$3:E24)</f>
        <v>3.3447521383112129</v>
      </c>
      <c r="I24" s="48">
        <f>AVERAGE(F$3:F24)</f>
        <v>14.017631394450786</v>
      </c>
      <c r="J24" s="48">
        <f>AVERAGE(G$3:G24)</f>
        <v>8.8518530023890443E-2</v>
      </c>
      <c r="K24" s="47">
        <f>AVERAGE(D$3:D24)</f>
        <v>3.3447521383112129</v>
      </c>
      <c r="L24">
        <f>IFERROR(SUM(D$3:D24)/H24,"")</f>
        <v>22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6"/>
      <c r="AM24" s="6"/>
      <c r="AN24" s="6"/>
      <c r="AO24" s="6"/>
      <c r="AP24" s="6"/>
      <c r="AQ24" s="6"/>
      <c r="AR24" s="6"/>
    </row>
    <row r="25" spans="1:61" ht="16.5" x14ac:dyDescent="0.3">
      <c r="A25" s="50">
        <v>23</v>
      </c>
      <c r="B25" s="28">
        <v>62</v>
      </c>
      <c r="C25" s="48">
        <f t="shared" si="4"/>
        <v>55.79227352142334</v>
      </c>
      <c r="D25" s="48">
        <f t="shared" si="0"/>
        <v>6.2077264785766602</v>
      </c>
      <c r="E25" s="72">
        <f t="shared" si="1"/>
        <v>6.2077264785766602</v>
      </c>
      <c r="F25" s="48">
        <f t="shared" si="2"/>
        <v>38.535868032821782</v>
      </c>
      <c r="G25" s="48">
        <f t="shared" si="3"/>
        <v>0.1001246206222042</v>
      </c>
      <c r="H25" s="48">
        <f>AVERAGE(E$3:E25)</f>
        <v>3.469229283540145</v>
      </c>
      <c r="I25" s="48">
        <f>AVERAGE(F$3:F25)</f>
        <v>15.083641683075612</v>
      </c>
      <c r="J25" s="48">
        <f>AVERAGE(G$3:G25)</f>
        <v>8.902314265859973E-2</v>
      </c>
      <c r="K25" s="47">
        <f>AVERAGE(D$3:D25)</f>
        <v>3.469229283540145</v>
      </c>
      <c r="L25">
        <f>IFERROR(SUM(D$3:D25)/H25,"")</f>
        <v>23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6"/>
      <c r="AM25" s="6"/>
      <c r="AN25" s="6"/>
      <c r="AO25" s="6"/>
      <c r="AP25" s="6"/>
      <c r="AQ25" s="6"/>
      <c r="AR25" s="6"/>
    </row>
    <row r="26" spans="1:61" ht="16.5" x14ac:dyDescent="0.3">
      <c r="A26" s="50">
        <v>24</v>
      </c>
      <c r="B26" s="28">
        <v>63</v>
      </c>
      <c r="C26" s="48">
        <f t="shared" si="4"/>
        <v>58.89613676071167</v>
      </c>
      <c r="D26" s="48">
        <f t="shared" si="0"/>
        <v>4.1038632392883301</v>
      </c>
      <c r="E26" s="72">
        <f t="shared" si="1"/>
        <v>4.1038632392883301</v>
      </c>
      <c r="F26" s="48">
        <f t="shared" si="2"/>
        <v>16.841693486782106</v>
      </c>
      <c r="G26" s="48">
        <f t="shared" si="3"/>
        <v>6.5140686337909995E-2</v>
      </c>
      <c r="H26" s="48">
        <f>AVERAGE(E$3:E26)</f>
        <v>3.4956723650296531</v>
      </c>
      <c r="I26" s="48">
        <f>AVERAGE(F$3:F26)</f>
        <v>15.156893841563383</v>
      </c>
      <c r="J26" s="48">
        <f>AVERAGE(G$3:G26)</f>
        <v>8.8028040311904324E-2</v>
      </c>
      <c r="K26" s="47">
        <f>AVERAGE(D$3:D26)</f>
        <v>3.4956723650296531</v>
      </c>
      <c r="L26">
        <f>IFERROR(SUM(D$3:D26)/H26,"")</f>
        <v>24</v>
      </c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6"/>
      <c r="AM26" s="6"/>
      <c r="AN26" s="6"/>
      <c r="AO26" s="6"/>
      <c r="AP26" s="6"/>
      <c r="AQ26" s="6"/>
      <c r="AR26" s="6"/>
    </row>
    <row r="27" spans="1:61" ht="16.5" x14ac:dyDescent="0.3">
      <c r="A27" s="50">
        <v>25</v>
      </c>
      <c r="B27" s="28">
        <v>67</v>
      </c>
      <c r="C27" s="48">
        <f t="shared" si="4"/>
        <v>60.948068380355835</v>
      </c>
      <c r="D27" s="48">
        <f t="shared" si="0"/>
        <v>6.051931619644165</v>
      </c>
      <c r="E27" s="72">
        <f t="shared" si="1"/>
        <v>6.051931619644165</v>
      </c>
      <c r="F27" s="48">
        <f t="shared" si="2"/>
        <v>36.625876328848847</v>
      </c>
      <c r="G27" s="48">
        <f t="shared" si="3"/>
        <v>9.0327337606629324E-2</v>
      </c>
      <c r="H27" s="48">
        <f>AVERAGE(E$3:E27)</f>
        <v>3.5979227352142336</v>
      </c>
      <c r="I27" s="48">
        <f>AVERAGE(F$3:F27)</f>
        <v>16.015653141054802</v>
      </c>
      <c r="J27" s="48">
        <f>AVERAGE(G$3:G27)</f>
        <v>8.8120012203693324E-2</v>
      </c>
      <c r="K27" s="47">
        <f>AVERAGE(D$3:D27)</f>
        <v>3.5979227352142336</v>
      </c>
      <c r="L27">
        <f>IFERROR(SUM(D$3:D27)/H27,"")</f>
        <v>25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6"/>
      <c r="AM27" s="6"/>
      <c r="AN27" s="6"/>
      <c r="AO27" s="6"/>
      <c r="AP27" s="6"/>
      <c r="AQ27" s="6"/>
      <c r="AR27" s="6"/>
    </row>
    <row r="28" spans="1:61" ht="16.5" x14ac:dyDescent="0.3">
      <c r="A28" s="50">
        <v>26</v>
      </c>
      <c r="B28" s="28">
        <v>72</v>
      </c>
      <c r="C28" s="48">
        <f t="shared" si="4"/>
        <v>63.974034190177917</v>
      </c>
      <c r="D28" s="48">
        <f t="shared" si="0"/>
        <v>8.0259658098220825</v>
      </c>
      <c r="E28" s="72">
        <f t="shared" si="1"/>
        <v>8.0259658098220825</v>
      </c>
      <c r="F28" s="48">
        <f t="shared" si="2"/>
        <v>64.416127180433037</v>
      </c>
      <c r="G28" s="48">
        <f t="shared" si="3"/>
        <v>0.11147174735864003</v>
      </c>
      <c r="H28" s="48">
        <f>AVERAGE(E$3:E28)</f>
        <v>3.7682320842376122</v>
      </c>
      <c r="I28" s="48">
        <f>AVERAGE(F$3:F28)</f>
        <v>17.877209834877043</v>
      </c>
      <c r="J28" s="48">
        <f>AVERAGE(G$3:G28)</f>
        <v>8.9018155863498968E-2</v>
      </c>
      <c r="K28" s="47">
        <f>AVERAGE(D$3:D28)</f>
        <v>3.7682320842376122</v>
      </c>
      <c r="L28">
        <f>IFERROR(SUM(D$3:D28)/H28,"")</f>
        <v>26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6"/>
      <c r="AM28" s="6"/>
      <c r="AN28" s="6"/>
      <c r="AO28" s="6"/>
      <c r="AP28" s="6"/>
      <c r="AQ28" s="6"/>
      <c r="AR28" s="6"/>
    </row>
    <row r="29" spans="1:61" ht="16.5" x14ac:dyDescent="0.3">
      <c r="A29" s="50">
        <v>27</v>
      </c>
      <c r="B29" s="28">
        <v>79</v>
      </c>
      <c r="C29" s="48">
        <f t="shared" si="4"/>
        <v>67.987017095088959</v>
      </c>
      <c r="D29" s="48">
        <f t="shared" si="0"/>
        <v>11.012982904911041</v>
      </c>
      <c r="E29" s="72">
        <f t="shared" si="1"/>
        <v>11.012982904911041</v>
      </c>
      <c r="F29" s="48">
        <f t="shared" si="2"/>
        <v>121.28579246386283</v>
      </c>
      <c r="G29" s="48">
        <f t="shared" si="3"/>
        <v>0.13940484689760813</v>
      </c>
      <c r="H29" s="48">
        <f>AVERAGE(E$3:E29)</f>
        <v>4.0365561887069985</v>
      </c>
      <c r="I29" s="48">
        <f>AVERAGE(F$3:F29)</f>
        <v>21.707157339654291</v>
      </c>
      <c r="J29" s="48">
        <f>AVERAGE(G$3:G29)</f>
        <v>9.0884329605503023E-2</v>
      </c>
      <c r="K29" s="47">
        <f>AVERAGE(D$3:D29)</f>
        <v>4.0365561887069985</v>
      </c>
      <c r="L29">
        <f>IFERROR(SUM(D$3:D29)/H29,"")</f>
        <v>27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6"/>
      <c r="AM29" s="6"/>
      <c r="AN29" s="6"/>
      <c r="AO29" s="6"/>
      <c r="AP29" s="6"/>
      <c r="AQ29" s="6"/>
      <c r="AR29" s="6"/>
    </row>
    <row r="30" spans="1:61" ht="16.5" x14ac:dyDescent="0.3">
      <c r="A30" s="50">
        <v>28</v>
      </c>
      <c r="B30" s="28">
        <v>86</v>
      </c>
      <c r="C30" s="48">
        <f t="shared" si="4"/>
        <v>73.493508547544479</v>
      </c>
      <c r="D30" s="48">
        <f t="shared" si="0"/>
        <v>12.506491452455521</v>
      </c>
      <c r="E30" s="72">
        <f t="shared" si="1"/>
        <v>12.506491452455521</v>
      </c>
      <c r="F30" s="48">
        <f t="shared" si="2"/>
        <v>156.41232845034301</v>
      </c>
      <c r="G30" s="48">
        <f t="shared" si="3"/>
        <v>0.14542431921459908</v>
      </c>
      <c r="H30" s="48">
        <f>AVERAGE(E$3:E30)</f>
        <v>4.3390538766980171</v>
      </c>
      <c r="I30" s="48">
        <f>AVERAGE(F$3:F30)</f>
        <v>26.518056307893175</v>
      </c>
      <c r="J30" s="48">
        <f>AVERAGE(G$3:G30)</f>
        <v>9.2832186377256445E-2</v>
      </c>
      <c r="K30" s="47">
        <f>AVERAGE(D$3:D30)</f>
        <v>4.3390538766980171</v>
      </c>
      <c r="L30">
        <f>IFERROR(SUM(D$3:D30)/H30,"")</f>
        <v>28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6"/>
      <c r="AM30" s="6"/>
      <c r="AN30" s="6"/>
      <c r="AO30" s="6"/>
      <c r="AP30" s="6"/>
      <c r="AQ30" s="6"/>
      <c r="AR30" s="6"/>
    </row>
    <row r="31" spans="1:61" ht="16.5" x14ac:dyDescent="0.3">
      <c r="A31" s="49">
        <v>29</v>
      </c>
      <c r="B31"/>
      <c r="C31" s="48">
        <f t="shared" si="4"/>
        <v>79.74675427377224</v>
      </c>
      <c r="D31" s="53"/>
      <c r="E31" s="53"/>
      <c r="F31" s="53"/>
      <c r="G31" s="48"/>
      <c r="H31"/>
      <c r="I31" s="26"/>
      <c r="J31" s="26"/>
      <c r="K31" s="47"/>
      <c r="L31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6"/>
      <c r="AM31" s="6"/>
      <c r="AN31" s="6"/>
      <c r="AO31" s="6"/>
      <c r="AP31" s="6"/>
      <c r="AQ31" s="6"/>
      <c r="AR31" s="6"/>
      <c r="BE31"/>
      <c r="BF31"/>
      <c r="BG31"/>
      <c r="BH31"/>
      <c r="BI31"/>
    </row>
    <row r="32" spans="1:61" ht="16.5" x14ac:dyDescent="0.3">
      <c r="A32" s="29">
        <v>30</v>
      </c>
      <c r="B32"/>
      <c r="C32" s="127">
        <f>C31</f>
        <v>79.74675427377224</v>
      </c>
      <c r="D32" s="43"/>
      <c r="E32" s="26"/>
      <c r="F32" s="43"/>
      <c r="G32" s="26"/>
      <c r="H32" s="26"/>
      <c r="I32" s="26"/>
      <c r="J32" s="26"/>
      <c r="K32" s="47"/>
      <c r="L32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6"/>
      <c r="AM32" s="6"/>
      <c r="AN32" s="6"/>
      <c r="AO32" s="6"/>
      <c r="AP32" s="6"/>
      <c r="AQ32" s="6"/>
      <c r="AR32" s="6"/>
      <c r="BE32"/>
      <c r="BF32"/>
      <c r="BG32"/>
      <c r="BH32"/>
      <c r="BI32"/>
    </row>
    <row r="33" spans="1:61" ht="16.5" x14ac:dyDescent="0.3">
      <c r="A33" s="29">
        <v>31</v>
      </c>
      <c r="B33"/>
      <c r="C33" s="127">
        <f t="shared" ref="C33:C34" si="6">C32</f>
        <v>79.74675427377224</v>
      </c>
      <c r="D33" s="26"/>
      <c r="E33" s="54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6"/>
      <c r="AM33" s="6"/>
      <c r="AN33" s="6"/>
      <c r="AO33" s="6"/>
      <c r="AP33" s="6"/>
      <c r="AQ33" s="6"/>
      <c r="AR33" s="6"/>
      <c r="BE33"/>
      <c r="BF33"/>
      <c r="BG33"/>
      <c r="BH33"/>
      <c r="BI33"/>
    </row>
    <row r="34" spans="1:61" ht="16.5" x14ac:dyDescent="0.3">
      <c r="A34" s="29">
        <v>32</v>
      </c>
      <c r="B34"/>
      <c r="C34" s="127">
        <f t="shared" si="6"/>
        <v>79.74675427377224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6"/>
      <c r="AM34" s="6"/>
      <c r="AN34" s="6"/>
      <c r="AO34" s="6"/>
      <c r="AP34" s="6"/>
      <c r="AQ34" s="6"/>
      <c r="AR34" s="6"/>
      <c r="BE34"/>
      <c r="BF34"/>
      <c r="BG34"/>
      <c r="BH34"/>
      <c r="BI34"/>
    </row>
    <row r="35" spans="1:61" x14ac:dyDescent="0.25">
      <c r="A35"/>
      <c r="B35"/>
      <c r="C35" s="55"/>
      <c r="D35" s="5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6"/>
      <c r="AM35" s="6"/>
      <c r="AN35" s="6"/>
      <c r="AO35" s="6"/>
      <c r="AP35" s="6"/>
      <c r="AQ35" s="6"/>
      <c r="AR35" s="6"/>
      <c r="BE35"/>
      <c r="BF35"/>
      <c r="BG35"/>
      <c r="BH35"/>
      <c r="BI35"/>
    </row>
    <row r="36" spans="1:61" x14ac:dyDescent="0.25">
      <c r="A36"/>
      <c r="B36"/>
      <c r="C36" s="55"/>
      <c r="D36" s="5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6"/>
      <c r="AM36" s="6"/>
      <c r="AN36" s="6"/>
      <c r="AO36" s="6"/>
      <c r="AP36" s="6"/>
      <c r="AQ36" s="6"/>
      <c r="AR36" s="6"/>
      <c r="BE36"/>
      <c r="BF36"/>
      <c r="BG36"/>
      <c r="BH36"/>
      <c r="BI36"/>
    </row>
    <row r="37" spans="1:61" x14ac:dyDescent="0.25">
      <c r="A37"/>
      <c r="B37"/>
      <c r="C37" s="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6"/>
      <c r="AM37" s="6"/>
      <c r="AN37" s="6"/>
      <c r="AO37" s="6"/>
      <c r="AP37" s="6"/>
      <c r="AQ37" s="6"/>
      <c r="AR37" s="6"/>
      <c r="BE37"/>
      <c r="BF37"/>
      <c r="BG37"/>
      <c r="BH37"/>
      <c r="BI37"/>
    </row>
    <row r="38" spans="1:61" x14ac:dyDescent="0.25">
      <c r="A38"/>
      <c r="B38"/>
      <c r="C38" s="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6"/>
      <c r="AM38" s="6"/>
      <c r="AN38" s="6"/>
      <c r="AO38" s="6"/>
      <c r="AP38" s="6"/>
      <c r="AQ38" s="6"/>
      <c r="AR38" s="6"/>
      <c r="BE38"/>
      <c r="BF38"/>
      <c r="BG38"/>
      <c r="BH38"/>
      <c r="BI38"/>
    </row>
    <row r="39" spans="1:61" x14ac:dyDescent="0.25">
      <c r="A39"/>
      <c r="B39"/>
      <c r="C39" s="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6"/>
      <c r="AM39" s="6"/>
      <c r="AN39" s="6"/>
      <c r="AO39" s="6"/>
      <c r="AP39" s="6"/>
      <c r="AQ39" s="6"/>
      <c r="AR39" s="6"/>
      <c r="BE39"/>
      <c r="BF39"/>
      <c r="BG39"/>
      <c r="BH39"/>
      <c r="BI39"/>
    </row>
    <row r="40" spans="1:61" x14ac:dyDescent="0.25">
      <c r="A40"/>
      <c r="B40"/>
      <c r="C40" s="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6"/>
      <c r="AM40" s="6"/>
      <c r="AN40" s="6"/>
      <c r="AO40" s="6"/>
      <c r="AP40" s="6"/>
      <c r="AQ40" s="6"/>
      <c r="AR40" s="6"/>
      <c r="BE40"/>
      <c r="BF40"/>
      <c r="BG40"/>
      <c r="BH40"/>
      <c r="BI40"/>
    </row>
    <row r="41" spans="1:61" x14ac:dyDescent="0.25">
      <c r="A41"/>
      <c r="B41"/>
      <c r="C41" s="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6"/>
      <c r="AM41" s="6"/>
      <c r="AN41" s="6"/>
      <c r="AO41" s="6"/>
      <c r="AP41" s="6"/>
      <c r="AQ41" s="6"/>
      <c r="AR41" s="6"/>
      <c r="BE41"/>
      <c r="BF41"/>
      <c r="BG41"/>
      <c r="BH41"/>
      <c r="BI41"/>
    </row>
    <row r="42" spans="1:61" x14ac:dyDescent="0.25">
      <c r="A42"/>
      <c r="B42"/>
      <c r="C42" s="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6"/>
      <c r="AM42" s="6"/>
      <c r="AN42" s="6"/>
      <c r="AO42" s="6"/>
      <c r="AP42" s="6"/>
      <c r="AQ42" s="6"/>
      <c r="AR42" s="6"/>
      <c r="BE42"/>
      <c r="BF42"/>
      <c r="BG42"/>
      <c r="BH42"/>
      <c r="BI42"/>
    </row>
    <row r="43" spans="1:61" x14ac:dyDescent="0.25">
      <c r="A43"/>
      <c r="B43"/>
      <c r="C43" s="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6"/>
      <c r="AM43" s="6"/>
      <c r="AN43" s="6"/>
      <c r="AO43" s="6"/>
      <c r="AP43" s="6"/>
      <c r="AQ43" s="6"/>
      <c r="AR43" s="6"/>
      <c r="BE43"/>
      <c r="BF43"/>
      <c r="BG43"/>
      <c r="BH43"/>
      <c r="BI43"/>
    </row>
    <row r="44" spans="1:61" x14ac:dyDescent="0.25">
      <c r="A44"/>
      <c r="B44"/>
      <c r="C44" s="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6"/>
      <c r="AM44" s="6"/>
      <c r="AN44" s="6"/>
      <c r="AO44" s="6"/>
      <c r="AP44" s="6"/>
      <c r="AQ44" s="6"/>
      <c r="AR44" s="6"/>
      <c r="BE44"/>
      <c r="BF44"/>
      <c r="BG44"/>
      <c r="BH44"/>
      <c r="BI44"/>
    </row>
    <row r="45" spans="1:61" x14ac:dyDescent="0.25">
      <c r="A45"/>
      <c r="B45"/>
      <c r="C45" s="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6"/>
      <c r="AM45" s="6"/>
      <c r="AN45" s="6"/>
      <c r="AO45" s="6"/>
      <c r="AP45" s="6"/>
      <c r="AQ45" s="6"/>
      <c r="AR45" s="6"/>
      <c r="BE45"/>
      <c r="BF45"/>
      <c r="BG45"/>
      <c r="BH45"/>
      <c r="BI45"/>
    </row>
    <row r="46" spans="1:61" x14ac:dyDescent="0.25">
      <c r="A46"/>
      <c r="B46"/>
      <c r="C46" s="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6"/>
      <c r="AM46" s="6"/>
      <c r="AN46" s="6"/>
      <c r="AO46" s="6"/>
      <c r="AP46" s="6"/>
      <c r="AQ46" s="6"/>
      <c r="AR46" s="6"/>
      <c r="BE46"/>
      <c r="BF46"/>
      <c r="BG46"/>
      <c r="BH46"/>
      <c r="BI46"/>
    </row>
    <row r="47" spans="1:61" x14ac:dyDescent="0.25">
      <c r="A47"/>
      <c r="B47"/>
      <c r="C47" s="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6"/>
      <c r="AM47" s="6"/>
      <c r="AN47" s="6"/>
      <c r="AO47" s="6"/>
      <c r="AP47" s="6"/>
      <c r="AQ47" s="6"/>
      <c r="AR47" s="6"/>
      <c r="BE47"/>
      <c r="BF47"/>
      <c r="BG47"/>
      <c r="BH47"/>
      <c r="BI47"/>
    </row>
    <row r="48" spans="1:61" x14ac:dyDescent="0.25">
      <c r="A48"/>
      <c r="B48"/>
      <c r="C48" s="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6"/>
      <c r="AM48" s="6"/>
      <c r="AN48" s="6"/>
      <c r="AO48" s="6"/>
      <c r="AP48" s="6"/>
      <c r="AQ48" s="6"/>
      <c r="AR48" s="6"/>
      <c r="BE48"/>
      <c r="BF48"/>
      <c r="BG48"/>
      <c r="BH48"/>
      <c r="BI48"/>
    </row>
    <row r="49" spans="1:61" x14ac:dyDescent="0.25">
      <c r="A49"/>
      <c r="B49"/>
      <c r="C49" s="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6"/>
      <c r="AM49" s="6"/>
      <c r="AN49" s="6"/>
      <c r="AO49" s="6"/>
      <c r="AP49" s="6"/>
      <c r="AQ49" s="6"/>
      <c r="AR49" s="6"/>
      <c r="BE49"/>
      <c r="BF49"/>
      <c r="BG49"/>
      <c r="BH49"/>
      <c r="BI49"/>
    </row>
    <row r="50" spans="1:61" x14ac:dyDescent="0.25">
      <c r="A50"/>
      <c r="B50"/>
      <c r="C50" s="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6"/>
      <c r="AM50" s="6"/>
      <c r="AN50" s="6"/>
      <c r="AO50" s="6"/>
      <c r="AP50" s="6"/>
      <c r="AQ50" s="6"/>
      <c r="AR50" s="6"/>
      <c r="BE50"/>
      <c r="BF50"/>
      <c r="BG50"/>
      <c r="BH50"/>
      <c r="BI50"/>
    </row>
    <row r="51" spans="1:61" x14ac:dyDescent="0.25">
      <c r="A51"/>
      <c r="B51"/>
      <c r="C51" s="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6"/>
      <c r="AM51" s="6"/>
      <c r="AN51" s="6"/>
      <c r="AO51" s="6"/>
      <c r="AP51" s="6"/>
      <c r="AQ51" s="6"/>
      <c r="AR51" s="6"/>
      <c r="BE51"/>
      <c r="BF51"/>
      <c r="BG51"/>
      <c r="BH51"/>
      <c r="BI51"/>
    </row>
    <row r="52" spans="1:61" x14ac:dyDescent="0.25">
      <c r="A52"/>
      <c r="B52"/>
      <c r="C52" s="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6"/>
      <c r="AM52" s="6"/>
      <c r="AN52" s="6"/>
      <c r="AO52" s="6"/>
      <c r="AP52" s="6"/>
      <c r="AQ52" s="6"/>
      <c r="AR52" s="6"/>
      <c r="BE52"/>
      <c r="BF52"/>
      <c r="BG52"/>
      <c r="BH52"/>
      <c r="BI52"/>
    </row>
    <row r="53" spans="1:61" x14ac:dyDescent="0.25">
      <c r="A53"/>
      <c r="B53"/>
      <c r="C53" s="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6"/>
      <c r="AM53" s="6"/>
      <c r="AN53" s="6"/>
      <c r="AO53" s="6"/>
      <c r="AP53" s="6"/>
      <c r="AQ53" s="6"/>
      <c r="AR53" s="6"/>
      <c r="BE53"/>
      <c r="BF53"/>
      <c r="BG53"/>
      <c r="BH53"/>
      <c r="BI53"/>
    </row>
    <row r="54" spans="1:61" x14ac:dyDescent="0.25">
      <c r="A54"/>
      <c r="B54"/>
      <c r="C54" s="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6"/>
      <c r="AM54" s="6"/>
      <c r="AN54" s="6"/>
      <c r="AO54" s="6"/>
      <c r="AP54" s="6"/>
      <c r="AQ54" s="6"/>
      <c r="AR54" s="6"/>
      <c r="BE54"/>
      <c r="BF54"/>
      <c r="BG54"/>
      <c r="BH54"/>
      <c r="BI54"/>
    </row>
    <row r="55" spans="1:61" x14ac:dyDescent="0.25">
      <c r="A55"/>
      <c r="B55"/>
      <c r="C55" s="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6"/>
      <c r="AM55" s="6"/>
      <c r="AN55" s="6"/>
      <c r="AO55" s="6"/>
      <c r="AP55" s="6"/>
      <c r="AQ55" s="6"/>
      <c r="AR55" s="6"/>
      <c r="BE55"/>
      <c r="BF55"/>
      <c r="BG55"/>
      <c r="BH55"/>
      <c r="BI55"/>
    </row>
    <row r="56" spans="1:61" x14ac:dyDescent="0.25">
      <c r="A56"/>
      <c r="B56"/>
      <c r="C56" s="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6"/>
      <c r="AM56" s="6"/>
      <c r="AN56" s="6"/>
      <c r="AO56" s="6"/>
      <c r="AP56" s="6"/>
      <c r="AQ56" s="6"/>
      <c r="AR56" s="6"/>
      <c r="BE56"/>
      <c r="BF56"/>
      <c r="BG56"/>
      <c r="BH56"/>
      <c r="BI56"/>
    </row>
    <row r="57" spans="1:61" x14ac:dyDescent="0.25">
      <c r="A57"/>
      <c r="B57"/>
      <c r="C57" s="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6"/>
      <c r="AM57" s="6"/>
      <c r="AN57" s="6"/>
      <c r="AO57" s="6"/>
      <c r="AP57" s="6"/>
      <c r="AQ57" s="6"/>
      <c r="AR57" s="6"/>
      <c r="BE57"/>
      <c r="BF57"/>
      <c r="BG57"/>
      <c r="BH57"/>
      <c r="BI57"/>
    </row>
    <row r="58" spans="1:61" x14ac:dyDescent="0.25">
      <c r="A58"/>
      <c r="B58"/>
      <c r="C58" s="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6"/>
      <c r="AM58" s="6"/>
      <c r="AN58" s="6"/>
      <c r="AO58" s="6"/>
      <c r="AP58" s="6"/>
      <c r="AQ58" s="6"/>
      <c r="AR58" s="6"/>
      <c r="BE58"/>
      <c r="BF58"/>
      <c r="BG58"/>
      <c r="BH58"/>
      <c r="BI58"/>
    </row>
    <row r="59" spans="1:61" x14ac:dyDescent="0.25">
      <c r="A59"/>
      <c r="B59"/>
      <c r="C59" s="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6"/>
      <c r="AM59" s="6"/>
      <c r="AN59" s="6"/>
      <c r="AO59" s="6"/>
      <c r="AP59" s="6"/>
      <c r="AQ59" s="6"/>
      <c r="AR59" s="6"/>
      <c r="BE59"/>
      <c r="BF59"/>
      <c r="BG59"/>
      <c r="BH59"/>
      <c r="BI59"/>
    </row>
    <row r="60" spans="1:61" x14ac:dyDescent="0.25">
      <c r="A60"/>
      <c r="B60"/>
      <c r="C60" s="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6"/>
      <c r="AM60" s="6"/>
      <c r="AN60" s="6"/>
      <c r="AO60" s="6"/>
      <c r="AP60" s="6"/>
      <c r="AQ60" s="6"/>
      <c r="AR60" s="6"/>
      <c r="BE60"/>
      <c r="BF60"/>
      <c r="BG60"/>
      <c r="BH60"/>
      <c r="BI60"/>
    </row>
    <row r="61" spans="1:61" x14ac:dyDescent="0.25">
      <c r="A61"/>
      <c r="B61"/>
      <c r="C61" s="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6"/>
      <c r="AM61" s="6"/>
      <c r="AN61" s="6"/>
      <c r="AO61" s="6"/>
      <c r="AP61" s="6"/>
      <c r="AQ61" s="6"/>
      <c r="AR61" s="6"/>
      <c r="BE61"/>
      <c r="BF61"/>
      <c r="BG61"/>
      <c r="BH61"/>
      <c r="BI61"/>
    </row>
    <row r="62" spans="1:61" x14ac:dyDescent="0.25">
      <c r="A62"/>
      <c r="B62"/>
      <c r="C62" s="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6"/>
      <c r="AM62" s="6"/>
      <c r="AN62" s="6"/>
      <c r="AO62" s="6"/>
      <c r="AP62" s="6"/>
      <c r="AQ62" s="6"/>
      <c r="AR62" s="6"/>
      <c r="BE62"/>
      <c r="BF62"/>
      <c r="BG62"/>
      <c r="BH62"/>
      <c r="BI62"/>
    </row>
    <row r="63" spans="1:61" x14ac:dyDescent="0.25">
      <c r="A63"/>
      <c r="B63"/>
      <c r="C63" s="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6"/>
      <c r="AM63" s="6"/>
      <c r="AN63" s="6"/>
      <c r="AO63" s="6"/>
      <c r="AP63" s="6"/>
      <c r="AQ63" s="6"/>
      <c r="AR63" s="6"/>
      <c r="BE63"/>
      <c r="BF63"/>
      <c r="BG63"/>
      <c r="BH63"/>
      <c r="BI63"/>
    </row>
    <row r="64" spans="1:61" x14ac:dyDescent="0.25">
      <c r="A64"/>
      <c r="B64"/>
      <c r="C64" s="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6"/>
      <c r="AM64" s="6"/>
      <c r="AN64" s="6"/>
      <c r="AO64" s="6"/>
      <c r="AP64" s="6"/>
      <c r="AQ64" s="6"/>
      <c r="AR64" s="6"/>
      <c r="BE64"/>
      <c r="BF64"/>
      <c r="BG64"/>
      <c r="BH64"/>
      <c r="BI64"/>
    </row>
    <row r="65" spans="1:61" x14ac:dyDescent="0.25">
      <c r="A65"/>
      <c r="B65"/>
      <c r="C65" s="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6"/>
      <c r="AM65" s="6"/>
      <c r="AN65" s="6"/>
      <c r="AO65" s="6"/>
      <c r="AP65" s="6"/>
      <c r="AQ65" s="6"/>
      <c r="AR65" s="6"/>
      <c r="BE65"/>
      <c r="BF65"/>
      <c r="BG65"/>
      <c r="BH65"/>
      <c r="BI65"/>
    </row>
    <row r="66" spans="1:61" x14ac:dyDescent="0.25">
      <c r="A66"/>
      <c r="B66"/>
      <c r="C66" s="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6"/>
      <c r="AM66" s="6"/>
      <c r="AN66" s="6"/>
      <c r="AO66" s="6"/>
      <c r="AP66" s="6"/>
      <c r="AQ66" s="6"/>
      <c r="AR66" s="6"/>
      <c r="BE66"/>
      <c r="BF66"/>
      <c r="BG66"/>
      <c r="BH66"/>
      <c r="BI66"/>
    </row>
    <row r="67" spans="1:61" x14ac:dyDescent="0.25">
      <c r="A67"/>
      <c r="B67"/>
      <c r="C67" s="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6"/>
      <c r="AM67" s="6"/>
      <c r="AN67" s="6"/>
      <c r="AO67" s="6"/>
      <c r="AP67" s="6"/>
      <c r="AQ67" s="6"/>
      <c r="AR67" s="6"/>
      <c r="BE67"/>
      <c r="BF67"/>
      <c r="BG67"/>
      <c r="BH67"/>
      <c r="BI67"/>
    </row>
    <row r="68" spans="1:61" x14ac:dyDescent="0.25">
      <c r="A68"/>
      <c r="B68"/>
      <c r="C68" s="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6"/>
      <c r="AM68" s="6"/>
      <c r="AN68" s="6"/>
      <c r="AO68" s="6"/>
      <c r="AP68" s="6"/>
      <c r="AQ68" s="6"/>
      <c r="AR68" s="6"/>
      <c r="BE68"/>
      <c r="BF68"/>
      <c r="BG68"/>
      <c r="BH68"/>
      <c r="BI68"/>
    </row>
    <row r="69" spans="1:61" x14ac:dyDescent="0.25">
      <c r="A69"/>
      <c r="B69"/>
      <c r="C69" s="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6"/>
      <c r="AM69" s="6"/>
      <c r="AN69" s="6"/>
      <c r="AO69" s="6"/>
      <c r="AP69" s="6"/>
      <c r="AQ69" s="6"/>
      <c r="AR69" s="6"/>
      <c r="BE69"/>
      <c r="BF69"/>
      <c r="BG69"/>
      <c r="BH69"/>
      <c r="BI69"/>
    </row>
    <row r="70" spans="1:61" x14ac:dyDescent="0.25">
      <c r="A70"/>
      <c r="B70"/>
      <c r="C70" s="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6"/>
      <c r="AM70" s="6"/>
      <c r="AN70" s="6"/>
      <c r="AO70" s="6"/>
      <c r="AP70" s="6"/>
      <c r="AQ70" s="6"/>
      <c r="AR70" s="6"/>
      <c r="BE70"/>
      <c r="BF70"/>
      <c r="BG70"/>
      <c r="BH70"/>
      <c r="BI70"/>
    </row>
    <row r="71" spans="1:61" x14ac:dyDescent="0.25">
      <c r="A71"/>
      <c r="B71"/>
      <c r="C71" s="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6"/>
      <c r="AM71" s="6"/>
      <c r="AN71" s="6"/>
      <c r="AO71" s="6"/>
      <c r="AP71" s="6"/>
      <c r="AQ71" s="6"/>
      <c r="AR71" s="6"/>
      <c r="BE71"/>
      <c r="BF71"/>
      <c r="BG71"/>
      <c r="BH71"/>
      <c r="BI71"/>
    </row>
    <row r="72" spans="1:61" x14ac:dyDescent="0.25">
      <c r="A72"/>
      <c r="B72"/>
      <c r="C72" s="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6"/>
      <c r="AM72" s="6"/>
      <c r="AN72" s="6"/>
      <c r="AO72" s="6"/>
      <c r="AP72" s="6"/>
      <c r="AQ72" s="6"/>
      <c r="AR72" s="6"/>
      <c r="BE72"/>
      <c r="BF72"/>
      <c r="BG72"/>
      <c r="BH72"/>
      <c r="BI72"/>
    </row>
    <row r="73" spans="1:61" x14ac:dyDescent="0.25">
      <c r="A73"/>
      <c r="B73"/>
      <c r="C73"/>
      <c r="BE73"/>
      <c r="BF73"/>
      <c r="BG73"/>
      <c r="BH73"/>
      <c r="BI73"/>
    </row>
    <row r="74" spans="1:61" x14ac:dyDescent="0.25">
      <c r="A74"/>
      <c r="B74"/>
      <c r="C74"/>
      <c r="BE74"/>
      <c r="BF74"/>
      <c r="BG74"/>
      <c r="BH74"/>
      <c r="BI74"/>
    </row>
    <row r="75" spans="1:61" x14ac:dyDescent="0.25">
      <c r="A75"/>
      <c r="B75"/>
      <c r="C75"/>
      <c r="BE75"/>
      <c r="BF75"/>
      <c r="BG75"/>
      <c r="BH75"/>
      <c r="BI75"/>
    </row>
    <row r="76" spans="1:61" x14ac:dyDescent="0.25">
      <c r="A76"/>
      <c r="B76"/>
      <c r="C76"/>
      <c r="BE76"/>
      <c r="BF76"/>
      <c r="BG76"/>
      <c r="BH76"/>
      <c r="BI76"/>
    </row>
    <row r="77" spans="1:61" x14ac:dyDescent="0.25">
      <c r="A77"/>
      <c r="B77"/>
      <c r="C77"/>
      <c r="BE77"/>
      <c r="BF77"/>
      <c r="BG77"/>
      <c r="BH77"/>
      <c r="BI77"/>
    </row>
    <row r="78" spans="1:61" ht="16.5" x14ac:dyDescent="0.3">
      <c r="A78"/>
      <c r="B78"/>
      <c r="C78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BE78"/>
      <c r="BF78"/>
      <c r="BG78"/>
      <c r="BH78"/>
      <c r="BI78"/>
    </row>
    <row r="79" spans="1:61" ht="16.5" x14ac:dyDescent="0.3">
      <c r="A79"/>
      <c r="B79"/>
      <c r="C79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BE79"/>
      <c r="BF79"/>
      <c r="BG79"/>
      <c r="BH79"/>
      <c r="BI79"/>
    </row>
    <row r="80" spans="1:61" ht="16.5" x14ac:dyDescent="0.3">
      <c r="A80"/>
      <c r="B80"/>
      <c r="C80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BE80"/>
      <c r="BF80"/>
      <c r="BG80"/>
      <c r="BH80"/>
      <c r="BI80"/>
    </row>
    <row r="81" spans="1:61" ht="16.5" x14ac:dyDescent="0.3">
      <c r="A81"/>
      <c r="B81"/>
      <c r="C8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BE81"/>
      <c r="BF81"/>
      <c r="BG81"/>
      <c r="BH81"/>
      <c r="BI81"/>
    </row>
    <row r="82" spans="1:61" ht="16.5" x14ac:dyDescent="0.3">
      <c r="A82"/>
      <c r="B82"/>
      <c r="C82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BE82"/>
      <c r="BF82"/>
      <c r="BG82"/>
      <c r="BH82"/>
      <c r="BI82"/>
    </row>
    <row r="83" spans="1:61" ht="16.5" x14ac:dyDescent="0.3">
      <c r="A83"/>
      <c r="B83"/>
      <c r="C83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BE83"/>
      <c r="BF83"/>
      <c r="BG83"/>
      <c r="BH83"/>
      <c r="BI83"/>
    </row>
    <row r="84" spans="1:61" ht="16.5" x14ac:dyDescent="0.3">
      <c r="A84"/>
      <c r="B84"/>
      <c r="C84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BE84"/>
      <c r="BF84"/>
      <c r="BG84"/>
      <c r="BH84"/>
      <c r="BI84"/>
    </row>
    <row r="85" spans="1:61" ht="16.5" x14ac:dyDescent="0.3">
      <c r="A85"/>
      <c r="B85"/>
      <c r="C85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BE85"/>
      <c r="BF85"/>
      <c r="BG85"/>
      <c r="BH85"/>
      <c r="BI85"/>
    </row>
    <row r="86" spans="1:61" ht="16.5" x14ac:dyDescent="0.3">
      <c r="A86"/>
      <c r="B86"/>
      <c r="C86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BE86"/>
      <c r="BF86"/>
      <c r="BG86"/>
      <c r="BH86"/>
      <c r="BI86"/>
    </row>
    <row r="87" spans="1:61" ht="16.5" x14ac:dyDescent="0.3">
      <c r="A87"/>
      <c r="B87"/>
      <c r="C87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</row>
    <row r="88" spans="1:61" ht="16.5" x14ac:dyDescent="0.3">
      <c r="A88"/>
      <c r="B88"/>
      <c r="C88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</row>
    <row r="89" spans="1:61" ht="16.5" x14ac:dyDescent="0.3">
      <c r="A89"/>
      <c r="B89"/>
      <c r="C89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</row>
    <row r="90" spans="1:61" x14ac:dyDescent="0.25">
      <c r="A90"/>
      <c r="B90"/>
      <c r="C90"/>
    </row>
    <row r="91" spans="1:61" x14ac:dyDescent="0.25">
      <c r="A91"/>
      <c r="B91"/>
      <c r="C91"/>
    </row>
    <row r="92" spans="1:61" x14ac:dyDescent="0.25">
      <c r="A92"/>
      <c r="B92"/>
      <c r="C92"/>
    </row>
    <row r="93" spans="1:61" x14ac:dyDescent="0.25">
      <c r="A93"/>
      <c r="B93"/>
      <c r="C93"/>
    </row>
    <row r="94" spans="1:61" x14ac:dyDescent="0.25">
      <c r="A94"/>
      <c r="B94"/>
      <c r="C94"/>
    </row>
    <row r="95" spans="1:61" x14ac:dyDescent="0.25">
      <c r="A95"/>
      <c r="B95"/>
      <c r="C95"/>
    </row>
    <row r="96" spans="1:61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N6:N16">
    <cfRule type="cellIs" dxfId="14" priority="1" operator="equal">
      <formula>$N$17</formula>
    </cfRule>
  </conditionalFormatting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1E19D-C2B6-422C-81F8-86BC68206959}">
  <sheetPr>
    <tabColor rgb="FFFFFF00"/>
  </sheetPr>
  <dimension ref="A1:R61"/>
  <sheetViews>
    <sheetView topLeftCell="A4" zoomScale="95" zoomScaleNormal="95" workbookViewId="0">
      <selection activeCell="AC4" sqref="AC4"/>
    </sheetView>
  </sheetViews>
  <sheetFormatPr defaultColWidth="9.140625" defaultRowHeight="15.75" x14ac:dyDescent="0.25"/>
  <cols>
    <col min="1" max="1" width="9.140625" style="173"/>
    <col min="2" max="2" width="6.7109375" style="173" bestFit="1" customWidth="1"/>
    <col min="3" max="3" width="20" style="173" bestFit="1" customWidth="1"/>
    <col min="4" max="4" width="9.28515625" style="173" bestFit="1" customWidth="1"/>
    <col min="5" max="5" width="8" style="174" bestFit="1" customWidth="1"/>
    <col min="6" max="6" width="6.42578125" style="174" bestFit="1" customWidth="1"/>
    <col min="7" max="7" width="12.7109375" style="174" bestFit="1" customWidth="1"/>
    <col min="8" max="8" width="9" style="174" bestFit="1" customWidth="1"/>
    <col min="9" max="9" width="12.42578125" style="174" bestFit="1" customWidth="1"/>
    <col min="10" max="10" width="8" style="174" bestFit="1" customWidth="1"/>
    <col min="11" max="11" width="8" style="174" customWidth="1"/>
    <col min="12" max="12" width="12.42578125" style="174" bestFit="1" customWidth="1"/>
    <col min="13" max="13" width="11.42578125" style="174" customWidth="1"/>
    <col min="14" max="14" width="15.42578125" style="173" bestFit="1" customWidth="1"/>
    <col min="15" max="16384" width="9.140625" style="173"/>
  </cols>
  <sheetData>
    <row r="1" spans="1:18" ht="16.5" thickBot="1" x14ac:dyDescent="0.3">
      <c r="A1" s="173" t="s">
        <v>135</v>
      </c>
      <c r="E1" s="173"/>
      <c r="F1" s="173"/>
      <c r="G1" s="173"/>
      <c r="H1" s="173"/>
      <c r="I1" s="173"/>
      <c r="J1" s="185">
        <v>1</v>
      </c>
      <c r="K1" s="185"/>
      <c r="L1"/>
      <c r="M1" s="173" t="s">
        <v>113</v>
      </c>
      <c r="N1" s="184"/>
      <c r="O1" s="174"/>
      <c r="P1" s="173" t="s">
        <v>112</v>
      </c>
      <c r="Q1" s="174" t="s">
        <v>111</v>
      </c>
      <c r="R1" s="174" t="s">
        <v>110</v>
      </c>
    </row>
    <row r="2" spans="1:18" x14ac:dyDescent="0.25">
      <c r="A2" s="173" t="s">
        <v>109</v>
      </c>
      <c r="E2" s="173"/>
      <c r="F2" s="173"/>
      <c r="G2" s="173"/>
      <c r="H2" s="173"/>
      <c r="I2" s="173"/>
      <c r="J2" s="173"/>
      <c r="K2" s="173"/>
      <c r="L2"/>
      <c r="M2" s="173"/>
      <c r="O2" s="174">
        <v>0</v>
      </c>
      <c r="P2" s="173">
        <v>0</v>
      </c>
      <c r="Q2" s="174">
        <v>5</v>
      </c>
      <c r="R2" s="174">
        <v>-5</v>
      </c>
    </row>
    <row r="3" spans="1:18" x14ac:dyDescent="0.25">
      <c r="A3" s="173" t="s">
        <v>134</v>
      </c>
      <c r="E3" s="173"/>
      <c r="F3" s="173"/>
      <c r="G3" s="173"/>
      <c r="H3" s="173"/>
      <c r="I3" s="173"/>
      <c r="J3" s="173"/>
      <c r="K3" s="173"/>
      <c r="L3" s="173"/>
      <c r="M3" s="173"/>
      <c r="O3" s="174">
        <v>30</v>
      </c>
      <c r="P3" s="173">
        <v>0</v>
      </c>
      <c r="Q3" s="174">
        <v>5</v>
      </c>
      <c r="R3" s="174">
        <v>-5</v>
      </c>
    </row>
    <row r="4" spans="1:18" x14ac:dyDescent="0.25">
      <c r="A4" s="173" t="s">
        <v>108</v>
      </c>
      <c r="E4" s="173"/>
      <c r="F4" s="173"/>
      <c r="G4" s="173"/>
      <c r="H4" s="173"/>
      <c r="I4" s="173"/>
      <c r="J4" s="173"/>
      <c r="K4" s="173"/>
      <c r="L4" s="173"/>
      <c r="M4"/>
      <c r="N4" s="173">
        <v>0</v>
      </c>
      <c r="O4"/>
    </row>
    <row r="5" spans="1:18" x14ac:dyDescent="0.25">
      <c r="E5" s="173"/>
      <c r="F5" s="173"/>
      <c r="G5" s="173"/>
      <c r="H5" s="173"/>
      <c r="I5" s="173"/>
      <c r="J5" s="173"/>
      <c r="K5" s="173"/>
      <c r="L5" s="173"/>
      <c r="M5" s="173"/>
      <c r="N5" s="173">
        <v>0.1</v>
      </c>
    </row>
    <row r="6" spans="1:18" x14ac:dyDescent="0.25">
      <c r="L6" s="173"/>
      <c r="N6" s="174"/>
      <c r="O6" s="186">
        <f>I35</f>
        <v>12.964285714285714</v>
      </c>
    </row>
    <row r="7" spans="1:18" ht="16.5" x14ac:dyDescent="0.3">
      <c r="A7" s="174" t="s">
        <v>69</v>
      </c>
      <c r="B7" s="183" t="s">
        <v>0</v>
      </c>
      <c r="C7" s="175" t="s">
        <v>107</v>
      </c>
      <c r="D7" s="175" t="s">
        <v>106</v>
      </c>
      <c r="E7" s="175" t="s">
        <v>2</v>
      </c>
      <c r="F7" s="175" t="s">
        <v>39</v>
      </c>
      <c r="G7" s="175" t="s">
        <v>105</v>
      </c>
      <c r="H7" s="175" t="s">
        <v>1</v>
      </c>
      <c r="I7" s="175" t="s">
        <v>41</v>
      </c>
      <c r="J7" s="175" t="s">
        <v>42</v>
      </c>
      <c r="K7" s="175" t="s">
        <v>133</v>
      </c>
      <c r="L7" s="174" t="s">
        <v>8</v>
      </c>
      <c r="M7" s="175"/>
      <c r="N7" s="206">
        <f>N4</f>
        <v>0</v>
      </c>
      <c r="O7" s="173">
        <f t="dataTable" ref="O7:O17" dt2D="0" dtr="0" r1="J1"/>
        <v>997.85714285714289</v>
      </c>
    </row>
    <row r="8" spans="1:18" ht="16.5" x14ac:dyDescent="0.3">
      <c r="A8" s="182">
        <v>1</v>
      </c>
      <c r="B8" s="208">
        <f>'[1]1.RegLineDataAnalyFormula'!B2</f>
        <v>21</v>
      </c>
      <c r="C8" s="178">
        <f>B8+$N$1</f>
        <v>21</v>
      </c>
      <c r="D8" s="178">
        <f t="shared" ref="D8:D35" si="0">B8-C8</f>
        <v>0</v>
      </c>
      <c r="E8" s="177">
        <f t="shared" ref="E8:E35" si="1">ABS(D8)</f>
        <v>0</v>
      </c>
      <c r="F8" s="177">
        <f t="shared" ref="F8:F35" si="2">D8^2</f>
        <v>0</v>
      </c>
      <c r="G8" s="177">
        <f t="shared" ref="G8:G35" si="3">IFERROR(E8/B8,"")</f>
        <v>0</v>
      </c>
      <c r="H8" s="177">
        <f>AVERAGE(E$8:E8)</f>
        <v>0</v>
      </c>
      <c r="I8" s="177">
        <f>AVERAGE(F$8:F8)</f>
        <v>0</v>
      </c>
      <c r="J8" s="206">
        <f>AVERAGE(G$8:G8)</f>
        <v>0</v>
      </c>
      <c r="K8" s="206">
        <f>SUM(D$8:D8)</f>
        <v>0</v>
      </c>
      <c r="L8" s="179">
        <f>IFERROR(K8/H8,0)</f>
        <v>0</v>
      </c>
      <c r="M8" s="177"/>
      <c r="N8" s="206">
        <f t="shared" ref="N8:N17" si="4">N7+$N$5</f>
        <v>0.1</v>
      </c>
      <c r="O8" s="173">
        <v>218.41483955587452</v>
      </c>
      <c r="P8"/>
      <c r="Q8"/>
      <c r="R8"/>
    </row>
    <row r="9" spans="1:18" ht="16.5" x14ac:dyDescent="0.3">
      <c r="A9" s="182">
        <v>2</v>
      </c>
      <c r="B9" s="208">
        <f>'[1]1.RegLineDataAnalyFormula'!B3</f>
        <v>28</v>
      </c>
      <c r="C9" s="178">
        <f t="shared" ref="C9:C36" si="5">(1-$J$1)*C8+$J$1*B8+$N$1</f>
        <v>21</v>
      </c>
      <c r="D9" s="178">
        <f t="shared" si="0"/>
        <v>7</v>
      </c>
      <c r="E9" s="177">
        <f t="shared" si="1"/>
        <v>7</v>
      </c>
      <c r="F9" s="177">
        <f t="shared" si="2"/>
        <v>49</v>
      </c>
      <c r="G9" s="177">
        <f t="shared" si="3"/>
        <v>0.25</v>
      </c>
      <c r="H9" s="177">
        <f>AVERAGE(E$8:E9)</f>
        <v>3.5</v>
      </c>
      <c r="I9" s="177">
        <f>AVERAGE(F$8:F9)</f>
        <v>24.5</v>
      </c>
      <c r="J9" s="206">
        <f>AVERAGE(G$8:G9)</f>
        <v>0.125</v>
      </c>
      <c r="K9" s="206">
        <f>SUM(D$8:D9)</f>
        <v>7</v>
      </c>
      <c r="L9" s="179">
        <f t="shared" ref="L9:L35" si="6">IFERROR(K9/H9,"")</f>
        <v>2</v>
      </c>
      <c r="M9" s="177"/>
      <c r="N9" s="206">
        <f t="shared" si="4"/>
        <v>0.2</v>
      </c>
      <c r="O9" s="173">
        <v>96.745233621531412</v>
      </c>
      <c r="P9"/>
      <c r="Q9"/>
      <c r="R9"/>
    </row>
    <row r="10" spans="1:18" ht="16.5" x14ac:dyDescent="0.3">
      <c r="A10" s="182">
        <v>3</v>
      </c>
      <c r="B10" s="208">
        <f>'[1]1.RegLineDataAnalyFormula'!B4</f>
        <v>32</v>
      </c>
      <c r="C10" s="178">
        <f t="shared" si="5"/>
        <v>28</v>
      </c>
      <c r="D10" s="178">
        <f t="shared" si="0"/>
        <v>4</v>
      </c>
      <c r="E10" s="177">
        <f t="shared" si="1"/>
        <v>4</v>
      </c>
      <c r="F10" s="177">
        <f t="shared" si="2"/>
        <v>16</v>
      </c>
      <c r="G10" s="177">
        <f t="shared" si="3"/>
        <v>0.125</v>
      </c>
      <c r="H10" s="177">
        <f>AVERAGE(E$8:E10)</f>
        <v>3.6666666666666665</v>
      </c>
      <c r="I10" s="177">
        <f>AVERAGE(F$8:F10)</f>
        <v>21.666666666666668</v>
      </c>
      <c r="J10" s="206">
        <f>AVERAGE(G$8:G10)</f>
        <v>0.125</v>
      </c>
      <c r="K10" s="206">
        <f>SUM(D$8:D10)</f>
        <v>11</v>
      </c>
      <c r="L10" s="179">
        <f t="shared" si="6"/>
        <v>3</v>
      </c>
      <c r="M10" s="177"/>
      <c r="N10" s="206">
        <f t="shared" si="4"/>
        <v>0.30000000000000004</v>
      </c>
      <c r="O10" s="173">
        <v>58.140071996331599</v>
      </c>
      <c r="P10"/>
      <c r="Q10"/>
      <c r="R10"/>
    </row>
    <row r="11" spans="1:18" ht="16.5" x14ac:dyDescent="0.3">
      <c r="A11" s="182">
        <v>4</v>
      </c>
      <c r="B11" s="208">
        <f>'[1]1.RegLineDataAnalyFormula'!B5</f>
        <v>34</v>
      </c>
      <c r="C11" s="178">
        <f t="shared" si="5"/>
        <v>32</v>
      </c>
      <c r="D11" s="178">
        <f t="shared" si="0"/>
        <v>2</v>
      </c>
      <c r="E11" s="177">
        <f t="shared" si="1"/>
        <v>2</v>
      </c>
      <c r="F11" s="177">
        <f t="shared" si="2"/>
        <v>4</v>
      </c>
      <c r="G11" s="177">
        <f t="shared" si="3"/>
        <v>5.8823529411764705E-2</v>
      </c>
      <c r="H11" s="177">
        <f>AVERAGE(E$8:E11)</f>
        <v>3.25</v>
      </c>
      <c r="I11" s="177">
        <f>AVERAGE(F$8:F11)</f>
        <v>17.25</v>
      </c>
      <c r="J11" s="206">
        <f>AVERAGE(G$8:G11)</f>
        <v>0.10845588235294118</v>
      </c>
      <c r="K11" s="206">
        <f>SUM(D$8:D11)</f>
        <v>13</v>
      </c>
      <c r="L11" s="179">
        <f t="shared" si="6"/>
        <v>4</v>
      </c>
      <c r="M11" s="177"/>
      <c r="N11" s="206">
        <f t="shared" si="4"/>
        <v>0.4</v>
      </c>
      <c r="O11" s="173">
        <v>40.175986045301315</v>
      </c>
      <c r="P11"/>
      <c r="Q11"/>
      <c r="R11"/>
    </row>
    <row r="12" spans="1:18" ht="16.5" x14ac:dyDescent="0.3">
      <c r="A12" s="182">
        <v>5</v>
      </c>
      <c r="B12" s="208">
        <f>'[1]1.RegLineDataAnalyFormula'!B6</f>
        <v>36</v>
      </c>
      <c r="C12" s="178">
        <f t="shared" si="5"/>
        <v>34</v>
      </c>
      <c r="D12" s="178">
        <f t="shared" si="0"/>
        <v>2</v>
      </c>
      <c r="E12" s="177">
        <f t="shared" si="1"/>
        <v>2</v>
      </c>
      <c r="F12" s="177">
        <f t="shared" si="2"/>
        <v>4</v>
      </c>
      <c r="G12" s="177">
        <f t="shared" si="3"/>
        <v>5.5555555555555552E-2</v>
      </c>
      <c r="H12" s="177">
        <f>AVERAGE(E$8:E12)</f>
        <v>3</v>
      </c>
      <c r="I12" s="177">
        <f>AVERAGE(F$8:F12)</f>
        <v>14.6</v>
      </c>
      <c r="J12" s="206">
        <f>AVERAGE(G$8:G12)</f>
        <v>9.7875816993464065E-2</v>
      </c>
      <c r="K12" s="206">
        <f>SUM(D$8:D12)</f>
        <v>15</v>
      </c>
      <c r="L12" s="179">
        <f t="shared" si="6"/>
        <v>5</v>
      </c>
      <c r="M12" s="177"/>
      <c r="N12" s="206">
        <f t="shared" si="4"/>
        <v>0.5</v>
      </c>
      <c r="O12" s="173">
        <v>30.059052864081032</v>
      </c>
      <c r="P12"/>
      <c r="Q12"/>
      <c r="R12"/>
    </row>
    <row r="13" spans="1:18" ht="16.5" x14ac:dyDescent="0.3">
      <c r="A13" s="182">
        <v>6</v>
      </c>
      <c r="B13" s="208">
        <f>'[1]1.RegLineDataAnalyFormula'!B7</f>
        <v>37</v>
      </c>
      <c r="C13" s="178">
        <f t="shared" si="5"/>
        <v>36</v>
      </c>
      <c r="D13" s="178">
        <f t="shared" si="0"/>
        <v>1</v>
      </c>
      <c r="E13" s="177">
        <f t="shared" si="1"/>
        <v>1</v>
      </c>
      <c r="F13" s="177">
        <f t="shared" si="2"/>
        <v>1</v>
      </c>
      <c r="G13" s="177">
        <f t="shared" si="3"/>
        <v>2.7027027027027029E-2</v>
      </c>
      <c r="H13" s="177">
        <f>AVERAGE(E$8:E13)</f>
        <v>2.6666666666666665</v>
      </c>
      <c r="I13" s="177">
        <f>AVERAGE(F$8:F13)</f>
        <v>12.333333333333334</v>
      </c>
      <c r="J13" s="206">
        <f>AVERAGE(G$8:G13)</f>
        <v>8.6067685332391217E-2</v>
      </c>
      <c r="K13" s="206">
        <f>SUM(D$8:D13)</f>
        <v>16</v>
      </c>
      <c r="L13" s="179">
        <f t="shared" si="6"/>
        <v>6</v>
      </c>
      <c r="M13" s="177"/>
      <c r="N13" s="206">
        <f t="shared" si="4"/>
        <v>0.6</v>
      </c>
      <c r="O13" s="173">
        <v>23.722015896179112</v>
      </c>
      <c r="P13"/>
      <c r="Q13"/>
      <c r="R13"/>
    </row>
    <row r="14" spans="1:18" ht="16.5" x14ac:dyDescent="0.3">
      <c r="A14" s="182">
        <v>7</v>
      </c>
      <c r="B14" s="208">
        <f>'[1]1.RegLineDataAnalyFormula'!B8</f>
        <v>39</v>
      </c>
      <c r="C14" s="178">
        <f t="shared" si="5"/>
        <v>37</v>
      </c>
      <c r="D14" s="178">
        <f t="shared" si="0"/>
        <v>2</v>
      </c>
      <c r="E14" s="177">
        <f t="shared" si="1"/>
        <v>2</v>
      </c>
      <c r="F14" s="177">
        <f t="shared" si="2"/>
        <v>4</v>
      </c>
      <c r="G14" s="177">
        <f t="shared" si="3"/>
        <v>5.128205128205128E-2</v>
      </c>
      <c r="H14" s="177">
        <f>AVERAGE(E$8:E14)</f>
        <v>2.5714285714285716</v>
      </c>
      <c r="I14" s="177">
        <f>AVERAGE(F$8:F14)</f>
        <v>11.142857142857142</v>
      </c>
      <c r="J14" s="206">
        <f>AVERAGE(G$8:G14)</f>
        <v>8.1098309039485519E-2</v>
      </c>
      <c r="K14" s="206">
        <f>SUM(D$8:D14)</f>
        <v>18</v>
      </c>
      <c r="L14" s="179">
        <f t="shared" si="6"/>
        <v>6.9999999999999991</v>
      </c>
      <c r="M14" s="177"/>
      <c r="N14" s="206">
        <f t="shared" si="4"/>
        <v>0.7</v>
      </c>
      <c r="O14" s="173">
        <v>19.486274946754381</v>
      </c>
      <c r="P14"/>
      <c r="Q14"/>
      <c r="R14"/>
    </row>
    <row r="15" spans="1:18" ht="16.5" x14ac:dyDescent="0.3">
      <c r="A15" s="182">
        <v>8</v>
      </c>
      <c r="B15" s="208">
        <f>'[1]1.RegLineDataAnalyFormula'!B9</f>
        <v>40</v>
      </c>
      <c r="C15" s="178">
        <f t="shared" si="5"/>
        <v>39</v>
      </c>
      <c r="D15" s="178">
        <f t="shared" si="0"/>
        <v>1</v>
      </c>
      <c r="E15" s="177">
        <f t="shared" si="1"/>
        <v>1</v>
      </c>
      <c r="F15" s="177">
        <f t="shared" si="2"/>
        <v>1</v>
      </c>
      <c r="G15" s="177">
        <f t="shared" si="3"/>
        <v>2.5000000000000001E-2</v>
      </c>
      <c r="H15" s="177">
        <f>AVERAGE(E$8:E15)</f>
        <v>2.375</v>
      </c>
      <c r="I15" s="177">
        <f>AVERAGE(F$8:F15)</f>
        <v>9.875</v>
      </c>
      <c r="J15" s="206">
        <f>AVERAGE(G$8:G15)</f>
        <v>7.4086020409549827E-2</v>
      </c>
      <c r="K15" s="206">
        <f>SUM(D$8:D15)</f>
        <v>19</v>
      </c>
      <c r="L15" s="179">
        <f t="shared" si="6"/>
        <v>8</v>
      </c>
      <c r="M15" s="177"/>
      <c r="N15" s="206">
        <f t="shared" si="4"/>
        <v>0.79999999999999993</v>
      </c>
      <c r="O15" s="173">
        <v>16.54015092040623</v>
      </c>
      <c r="P15"/>
      <c r="Q15"/>
      <c r="R15"/>
    </row>
    <row r="16" spans="1:18" ht="16.5" x14ac:dyDescent="0.3">
      <c r="A16" s="182">
        <v>9</v>
      </c>
      <c r="B16" s="208">
        <f>'[1]1.RegLineDataAnalyFormula'!B10</f>
        <v>40</v>
      </c>
      <c r="C16" s="178">
        <f t="shared" si="5"/>
        <v>40</v>
      </c>
      <c r="D16" s="178">
        <f t="shared" si="0"/>
        <v>0</v>
      </c>
      <c r="E16" s="177">
        <f t="shared" si="1"/>
        <v>0</v>
      </c>
      <c r="F16" s="177">
        <f t="shared" si="2"/>
        <v>0</v>
      </c>
      <c r="G16" s="177">
        <f t="shared" si="3"/>
        <v>0</v>
      </c>
      <c r="H16" s="177">
        <f>AVERAGE(E$8:E16)</f>
        <v>2.1111111111111112</v>
      </c>
      <c r="I16" s="177">
        <f>AVERAGE(F$8:F16)</f>
        <v>8.7777777777777786</v>
      </c>
      <c r="J16" s="206">
        <f>AVERAGE(G$8:G16)</f>
        <v>6.5854240364044289E-2</v>
      </c>
      <c r="K16" s="206">
        <f>SUM(D$8:D16)</f>
        <v>19</v>
      </c>
      <c r="L16" s="179">
        <f t="shared" si="6"/>
        <v>9</v>
      </c>
      <c r="M16" s="177"/>
      <c r="N16" s="206">
        <f t="shared" si="4"/>
        <v>0.89999999999999991</v>
      </c>
      <c r="O16" s="173">
        <v>14.448837901288966</v>
      </c>
      <c r="P16"/>
      <c r="Q16"/>
      <c r="R16"/>
    </row>
    <row r="17" spans="1:18" ht="16.5" x14ac:dyDescent="0.3">
      <c r="A17" s="182">
        <v>10</v>
      </c>
      <c r="B17" s="208">
        <f>'[1]1.RegLineDataAnalyFormula'!B11</f>
        <v>40</v>
      </c>
      <c r="C17" s="178">
        <f t="shared" si="5"/>
        <v>40</v>
      </c>
      <c r="D17" s="178">
        <f t="shared" si="0"/>
        <v>0</v>
      </c>
      <c r="E17" s="177">
        <f t="shared" si="1"/>
        <v>0</v>
      </c>
      <c r="F17" s="177">
        <f t="shared" si="2"/>
        <v>0</v>
      </c>
      <c r="G17" s="177">
        <f t="shared" si="3"/>
        <v>0</v>
      </c>
      <c r="H17" s="177">
        <f>AVERAGE(E$8:E17)</f>
        <v>1.9</v>
      </c>
      <c r="I17" s="177">
        <f>AVERAGE(F$8:F17)</f>
        <v>7.9</v>
      </c>
      <c r="J17" s="206">
        <f>AVERAGE(G$8:G17)</f>
        <v>5.9268816327639862E-2</v>
      </c>
      <c r="K17" s="206">
        <f>SUM(D$8:D17)</f>
        <v>19</v>
      </c>
      <c r="L17" s="179">
        <f t="shared" si="6"/>
        <v>10</v>
      </c>
      <c r="M17" s="177"/>
      <c r="N17" s="206">
        <f t="shared" si="4"/>
        <v>0.99999999999999989</v>
      </c>
      <c r="O17" s="173">
        <v>12.964285714285714</v>
      </c>
      <c r="P17"/>
      <c r="Q17"/>
      <c r="R17"/>
    </row>
    <row r="18" spans="1:18" ht="16.5" x14ac:dyDescent="0.3">
      <c r="A18" s="182">
        <v>11</v>
      </c>
      <c r="B18" s="208">
        <f>'[1]1.RegLineDataAnalyFormula'!B12</f>
        <v>41</v>
      </c>
      <c r="C18" s="178">
        <f t="shared" si="5"/>
        <v>40</v>
      </c>
      <c r="D18" s="178">
        <f t="shared" si="0"/>
        <v>1</v>
      </c>
      <c r="E18" s="177">
        <f t="shared" si="1"/>
        <v>1</v>
      </c>
      <c r="F18" s="177">
        <f t="shared" si="2"/>
        <v>1</v>
      </c>
      <c r="G18" s="177">
        <f t="shared" si="3"/>
        <v>2.4390243902439025E-2</v>
      </c>
      <c r="H18" s="177">
        <f>AVERAGE(E$8:E18)</f>
        <v>1.8181818181818181</v>
      </c>
      <c r="I18" s="177">
        <f>AVERAGE(F$8:F18)</f>
        <v>7.2727272727272725</v>
      </c>
      <c r="J18" s="206">
        <f>AVERAGE(G$8:G18)</f>
        <v>5.6098037016257971E-2</v>
      </c>
      <c r="K18" s="206">
        <f>SUM(D$8:D18)</f>
        <v>20</v>
      </c>
      <c r="L18" s="179">
        <f t="shared" si="6"/>
        <v>11</v>
      </c>
      <c r="M18" s="177"/>
      <c r="N18" s="177"/>
      <c r="O18" s="173">
        <f>MIN(O7:O17)</f>
        <v>12.964285714285714</v>
      </c>
      <c r="P18"/>
      <c r="Q18"/>
      <c r="R18"/>
    </row>
    <row r="19" spans="1:18" ht="16.5" x14ac:dyDescent="0.3">
      <c r="A19" s="182">
        <v>12</v>
      </c>
      <c r="B19" s="208">
        <f>'[1]1.RegLineDataAnalyFormula'!B13</f>
        <v>43</v>
      </c>
      <c r="C19" s="178">
        <f t="shared" si="5"/>
        <v>41</v>
      </c>
      <c r="D19" s="178">
        <f t="shared" si="0"/>
        <v>2</v>
      </c>
      <c r="E19" s="177">
        <f t="shared" si="1"/>
        <v>2</v>
      </c>
      <c r="F19" s="177">
        <f t="shared" si="2"/>
        <v>4</v>
      </c>
      <c r="G19" s="177">
        <f t="shared" si="3"/>
        <v>4.6511627906976744E-2</v>
      </c>
      <c r="H19" s="177">
        <f>AVERAGE(E$8:E19)</f>
        <v>1.8333333333333333</v>
      </c>
      <c r="I19" s="177">
        <f>AVERAGE(F$8:F19)</f>
        <v>7</v>
      </c>
      <c r="J19" s="206">
        <f>AVERAGE(G$8:G19)</f>
        <v>5.5299169590484532E-2</v>
      </c>
      <c r="K19" s="206">
        <f>SUM(D$8:D19)</f>
        <v>22</v>
      </c>
      <c r="L19" s="179">
        <f t="shared" si="6"/>
        <v>12</v>
      </c>
      <c r="M19" s="177"/>
      <c r="N19" s="177"/>
      <c r="P19"/>
      <c r="Q19"/>
      <c r="R19"/>
    </row>
    <row r="20" spans="1:18" ht="16.5" x14ac:dyDescent="0.3">
      <c r="A20" s="182">
        <v>13</v>
      </c>
      <c r="B20" s="208">
        <f>'[1]1.RegLineDataAnalyFormula'!B14</f>
        <v>44</v>
      </c>
      <c r="C20" s="178">
        <f t="shared" si="5"/>
        <v>43</v>
      </c>
      <c r="D20" s="178">
        <f t="shared" si="0"/>
        <v>1</v>
      </c>
      <c r="E20" s="177">
        <f t="shared" si="1"/>
        <v>1</v>
      </c>
      <c r="F20" s="177">
        <f t="shared" si="2"/>
        <v>1</v>
      </c>
      <c r="G20" s="177">
        <f t="shared" si="3"/>
        <v>2.2727272727272728E-2</v>
      </c>
      <c r="H20" s="177">
        <f>AVERAGE(E$8:E20)</f>
        <v>1.7692307692307692</v>
      </c>
      <c r="I20" s="177">
        <f>AVERAGE(F$8:F20)</f>
        <v>6.5384615384615383</v>
      </c>
      <c r="J20" s="206">
        <f>AVERAGE(G$8:G20)</f>
        <v>5.279363906254516E-2</v>
      </c>
      <c r="K20" s="206">
        <f>SUM(D$8:D20)</f>
        <v>23</v>
      </c>
      <c r="L20" s="179">
        <f t="shared" si="6"/>
        <v>13</v>
      </c>
      <c r="M20" s="177"/>
      <c r="N20" s="177"/>
      <c r="P20"/>
      <c r="Q20"/>
      <c r="R20"/>
    </row>
    <row r="21" spans="1:18" ht="16.5" x14ac:dyDescent="0.3">
      <c r="A21" s="182">
        <v>14</v>
      </c>
      <c r="B21" s="208">
        <f>'[1]1.RegLineDataAnalyFormula'!B15</f>
        <v>44</v>
      </c>
      <c r="C21" s="178">
        <f t="shared" si="5"/>
        <v>44</v>
      </c>
      <c r="D21" s="178">
        <f t="shared" si="0"/>
        <v>0</v>
      </c>
      <c r="E21" s="177">
        <f t="shared" si="1"/>
        <v>0</v>
      </c>
      <c r="F21" s="177">
        <f t="shared" si="2"/>
        <v>0</v>
      </c>
      <c r="G21" s="177">
        <f t="shared" si="3"/>
        <v>0</v>
      </c>
      <c r="H21" s="177">
        <f>AVERAGE(E$8:E21)</f>
        <v>1.6428571428571428</v>
      </c>
      <c r="I21" s="177">
        <f>AVERAGE(F$8:F21)</f>
        <v>6.0714285714285712</v>
      </c>
      <c r="J21" s="206">
        <f>AVERAGE(G$8:G21)</f>
        <v>4.9022664843791933E-2</v>
      </c>
      <c r="K21" s="206">
        <f>SUM(D$8:D21)</f>
        <v>23</v>
      </c>
      <c r="L21" s="179">
        <f t="shared" si="6"/>
        <v>14</v>
      </c>
      <c r="M21" s="177"/>
      <c r="N21" s="177"/>
      <c r="P21"/>
      <c r="Q21"/>
      <c r="R21"/>
    </row>
    <row r="22" spans="1:18" ht="16.5" x14ac:dyDescent="0.3">
      <c r="A22" s="182">
        <v>15</v>
      </c>
      <c r="B22" s="208">
        <f>'[1]1.RegLineDataAnalyFormula'!B16</f>
        <v>45</v>
      </c>
      <c r="C22" s="178">
        <f t="shared" si="5"/>
        <v>44</v>
      </c>
      <c r="D22" s="178">
        <f t="shared" si="0"/>
        <v>1</v>
      </c>
      <c r="E22" s="177">
        <f t="shared" si="1"/>
        <v>1</v>
      </c>
      <c r="F22" s="177">
        <f t="shared" si="2"/>
        <v>1</v>
      </c>
      <c r="G22" s="177">
        <f t="shared" si="3"/>
        <v>2.2222222222222223E-2</v>
      </c>
      <c r="H22" s="177">
        <f>AVERAGE(E$8:E22)</f>
        <v>1.6</v>
      </c>
      <c r="I22" s="177">
        <f>AVERAGE(F$8:F22)</f>
        <v>5.7333333333333334</v>
      </c>
      <c r="J22" s="206">
        <f>AVERAGE(G$8:G22)</f>
        <v>4.723596866902062E-2</v>
      </c>
      <c r="K22" s="206">
        <f>SUM(D$8:D22)</f>
        <v>24</v>
      </c>
      <c r="L22" s="179">
        <f t="shared" si="6"/>
        <v>15</v>
      </c>
      <c r="M22" s="177"/>
      <c r="N22" s="177"/>
      <c r="P22"/>
      <c r="Q22"/>
      <c r="R22"/>
    </row>
    <row r="23" spans="1:18" ht="16.5" x14ac:dyDescent="0.3">
      <c r="A23" s="182">
        <v>16</v>
      </c>
      <c r="B23" s="208">
        <f>'[1]1.RegLineDataAnalyFormula'!B17</f>
        <v>46</v>
      </c>
      <c r="C23" s="178">
        <f t="shared" si="5"/>
        <v>45</v>
      </c>
      <c r="D23" s="178">
        <f t="shared" si="0"/>
        <v>1</v>
      </c>
      <c r="E23" s="177">
        <f t="shared" si="1"/>
        <v>1</v>
      </c>
      <c r="F23" s="177">
        <f t="shared" si="2"/>
        <v>1</v>
      </c>
      <c r="G23" s="177">
        <f t="shared" si="3"/>
        <v>2.1739130434782608E-2</v>
      </c>
      <c r="H23" s="177">
        <f>AVERAGE(E$8:E23)</f>
        <v>1.5625</v>
      </c>
      <c r="I23" s="177">
        <f>AVERAGE(F$8:F23)</f>
        <v>5.4375</v>
      </c>
      <c r="J23" s="206">
        <f>AVERAGE(G$8:G23)</f>
        <v>4.5642416279380746E-2</v>
      </c>
      <c r="K23" s="206">
        <f>SUM(D$8:D23)</f>
        <v>25</v>
      </c>
      <c r="L23" s="179">
        <f t="shared" si="6"/>
        <v>16</v>
      </c>
      <c r="M23" s="177"/>
      <c r="N23" s="177"/>
      <c r="P23"/>
      <c r="Q23"/>
      <c r="R23"/>
    </row>
    <row r="24" spans="1:18" ht="16.5" x14ac:dyDescent="0.3">
      <c r="A24" s="182">
        <v>17</v>
      </c>
      <c r="B24" s="208">
        <f>'[1]1.RegLineDataAnalyFormula'!B18</f>
        <v>48</v>
      </c>
      <c r="C24" s="178">
        <f t="shared" si="5"/>
        <v>46</v>
      </c>
      <c r="D24" s="178">
        <f t="shared" si="0"/>
        <v>2</v>
      </c>
      <c r="E24" s="177">
        <f t="shared" si="1"/>
        <v>2</v>
      </c>
      <c r="F24" s="177">
        <f t="shared" si="2"/>
        <v>4</v>
      </c>
      <c r="G24" s="177">
        <f t="shared" si="3"/>
        <v>4.1666666666666664E-2</v>
      </c>
      <c r="H24" s="177">
        <f>AVERAGE(E$8:E24)</f>
        <v>1.588235294117647</v>
      </c>
      <c r="I24" s="177">
        <f>AVERAGE(F$8:F24)</f>
        <v>5.3529411764705879</v>
      </c>
      <c r="J24" s="206">
        <f>AVERAGE(G$8:G24)</f>
        <v>4.5408548655103444E-2</v>
      </c>
      <c r="K24" s="206">
        <f>SUM(D$8:D24)</f>
        <v>27</v>
      </c>
      <c r="L24" s="179">
        <f t="shared" si="6"/>
        <v>17</v>
      </c>
      <c r="M24" s="177"/>
      <c r="N24" s="177"/>
      <c r="P24"/>
      <c r="Q24"/>
      <c r="R24"/>
    </row>
    <row r="25" spans="1:18" ht="16.5" x14ac:dyDescent="0.3">
      <c r="A25" s="182">
        <v>18</v>
      </c>
      <c r="B25" s="208">
        <f>'[1]1.RegLineDataAnalyFormula'!B19</f>
        <v>50</v>
      </c>
      <c r="C25" s="178">
        <f t="shared" si="5"/>
        <v>48</v>
      </c>
      <c r="D25" s="178">
        <f t="shared" si="0"/>
        <v>2</v>
      </c>
      <c r="E25" s="177">
        <f t="shared" si="1"/>
        <v>2</v>
      </c>
      <c r="F25" s="177">
        <f t="shared" si="2"/>
        <v>4</v>
      </c>
      <c r="G25" s="177">
        <f t="shared" si="3"/>
        <v>0.04</v>
      </c>
      <c r="H25" s="177">
        <f>AVERAGE(E$8:E25)</f>
        <v>1.6111111111111112</v>
      </c>
      <c r="I25" s="177">
        <f>AVERAGE(F$8:F25)</f>
        <v>5.2777777777777777</v>
      </c>
      <c r="J25" s="206">
        <f>AVERAGE(G$8:G25)</f>
        <v>4.5108073729819925E-2</v>
      </c>
      <c r="K25" s="206">
        <f>SUM(D$8:D25)</f>
        <v>29</v>
      </c>
      <c r="L25" s="179">
        <f t="shared" si="6"/>
        <v>18</v>
      </c>
      <c r="M25" s="177"/>
      <c r="N25" s="177"/>
    </row>
    <row r="26" spans="1:18" ht="16.5" x14ac:dyDescent="0.3">
      <c r="A26" s="182">
        <v>19</v>
      </c>
      <c r="B26" s="208">
        <f>'[1]1.RegLineDataAnalyFormula'!B20</f>
        <v>54</v>
      </c>
      <c r="C26" s="178">
        <f t="shared" si="5"/>
        <v>50</v>
      </c>
      <c r="D26" s="178">
        <f t="shared" si="0"/>
        <v>4</v>
      </c>
      <c r="E26" s="177">
        <f t="shared" si="1"/>
        <v>4</v>
      </c>
      <c r="F26" s="177">
        <f t="shared" si="2"/>
        <v>16</v>
      </c>
      <c r="G26" s="177">
        <f t="shared" si="3"/>
        <v>7.407407407407407E-2</v>
      </c>
      <c r="H26" s="177">
        <f>AVERAGE(E$8:E26)</f>
        <v>1.736842105263158</v>
      </c>
      <c r="I26" s="177">
        <f>AVERAGE(F$8:F26)</f>
        <v>5.8421052631578947</v>
      </c>
      <c r="J26" s="206">
        <f>AVERAGE(G$8:G26)</f>
        <v>4.6632600063728033E-2</v>
      </c>
      <c r="K26" s="206">
        <f>SUM(D$8:D26)</f>
        <v>33</v>
      </c>
      <c r="L26" s="179">
        <f t="shared" si="6"/>
        <v>19</v>
      </c>
      <c r="M26" s="177"/>
      <c r="N26" s="177"/>
    </row>
    <row r="27" spans="1:18" ht="16.5" x14ac:dyDescent="0.3">
      <c r="A27" s="182">
        <v>20</v>
      </c>
      <c r="B27" s="208">
        <f>'[1]1.RegLineDataAnalyFormula'!B21</f>
        <v>54</v>
      </c>
      <c r="C27" s="178">
        <f t="shared" si="5"/>
        <v>54</v>
      </c>
      <c r="D27" s="178">
        <f t="shared" si="0"/>
        <v>0</v>
      </c>
      <c r="E27" s="177">
        <f t="shared" si="1"/>
        <v>0</v>
      </c>
      <c r="F27" s="177">
        <f t="shared" si="2"/>
        <v>0</v>
      </c>
      <c r="G27" s="177">
        <f t="shared" si="3"/>
        <v>0</v>
      </c>
      <c r="H27" s="177">
        <f>AVERAGE(E$8:E27)</f>
        <v>1.65</v>
      </c>
      <c r="I27" s="177">
        <f>AVERAGE(F$8:F27)</f>
        <v>5.55</v>
      </c>
      <c r="J27" s="206">
        <f>AVERAGE(G$8:G27)</f>
        <v>4.4300970060541636E-2</v>
      </c>
      <c r="K27" s="206">
        <f>SUM(D$8:D27)</f>
        <v>33</v>
      </c>
      <c r="L27" s="179">
        <f t="shared" si="6"/>
        <v>20</v>
      </c>
      <c r="M27" s="177"/>
      <c r="N27" s="177"/>
    </row>
    <row r="28" spans="1:18" ht="16.5" x14ac:dyDescent="0.3">
      <c r="A28" s="182">
        <v>21</v>
      </c>
      <c r="B28" s="208">
        <f>'[1]1.RegLineDataAnalyFormula'!B22</f>
        <v>55</v>
      </c>
      <c r="C28" s="178">
        <f t="shared" si="5"/>
        <v>54</v>
      </c>
      <c r="D28" s="178">
        <f t="shared" si="0"/>
        <v>1</v>
      </c>
      <c r="E28" s="177">
        <f t="shared" si="1"/>
        <v>1</v>
      </c>
      <c r="F28" s="177">
        <f t="shared" si="2"/>
        <v>1</v>
      </c>
      <c r="G28" s="177">
        <f t="shared" si="3"/>
        <v>1.8181818181818181E-2</v>
      </c>
      <c r="H28" s="177">
        <f>AVERAGE(E$8:E28)</f>
        <v>1.6190476190476191</v>
      </c>
      <c r="I28" s="177">
        <f>AVERAGE(F$8:F28)</f>
        <v>5.333333333333333</v>
      </c>
      <c r="J28" s="206">
        <f>AVERAGE(G$8:G28)</f>
        <v>4.3057200923459563E-2</v>
      </c>
      <c r="K28" s="206">
        <f>SUM(D$8:D28)</f>
        <v>34</v>
      </c>
      <c r="L28" s="179">
        <f t="shared" si="6"/>
        <v>21</v>
      </c>
      <c r="M28" s="177"/>
      <c r="N28" s="177"/>
    </row>
    <row r="29" spans="1:18" ht="16.5" x14ac:dyDescent="0.3">
      <c r="A29" s="182">
        <v>22</v>
      </c>
      <c r="B29" s="208">
        <f>'[1]1.RegLineDataAnalyFormula'!B23</f>
        <v>58</v>
      </c>
      <c r="C29" s="178">
        <f t="shared" si="5"/>
        <v>55</v>
      </c>
      <c r="D29" s="178">
        <f t="shared" si="0"/>
        <v>3</v>
      </c>
      <c r="E29" s="177">
        <f t="shared" si="1"/>
        <v>3</v>
      </c>
      <c r="F29" s="177">
        <f t="shared" si="2"/>
        <v>9</v>
      </c>
      <c r="G29" s="177">
        <f t="shared" si="3"/>
        <v>5.1724137931034482E-2</v>
      </c>
      <c r="H29" s="177">
        <f>AVERAGE(E$8:E29)</f>
        <v>1.6818181818181819</v>
      </c>
      <c r="I29" s="177">
        <f>AVERAGE(F$8:F29)</f>
        <v>5.5</v>
      </c>
      <c r="J29" s="206">
        <f>AVERAGE(G$8:G29)</f>
        <v>4.3451152605622059E-2</v>
      </c>
      <c r="K29" s="206">
        <f>SUM(D$8:D29)</f>
        <v>37</v>
      </c>
      <c r="L29" s="179">
        <f t="shared" si="6"/>
        <v>22</v>
      </c>
      <c r="M29" s="177"/>
      <c r="N29" s="177"/>
    </row>
    <row r="30" spans="1:18" ht="16.5" x14ac:dyDescent="0.3">
      <c r="A30" s="182">
        <v>23</v>
      </c>
      <c r="B30" s="208">
        <f>'[1]1.RegLineDataAnalyFormula'!B24</f>
        <v>60</v>
      </c>
      <c r="C30" s="178">
        <f t="shared" si="5"/>
        <v>58</v>
      </c>
      <c r="D30" s="178">
        <f t="shared" si="0"/>
        <v>2</v>
      </c>
      <c r="E30" s="177">
        <f t="shared" si="1"/>
        <v>2</v>
      </c>
      <c r="F30" s="177">
        <f t="shared" si="2"/>
        <v>4</v>
      </c>
      <c r="G30" s="177">
        <f t="shared" si="3"/>
        <v>3.3333333333333333E-2</v>
      </c>
      <c r="H30" s="177">
        <f>AVERAGE(E$8:E30)</f>
        <v>1.6956521739130435</v>
      </c>
      <c r="I30" s="177">
        <f>AVERAGE(F$8:F30)</f>
        <v>5.4347826086956523</v>
      </c>
      <c r="J30" s="206">
        <f>AVERAGE(G$8:G30)</f>
        <v>4.3011247419870377E-2</v>
      </c>
      <c r="K30" s="206">
        <f>SUM(D$8:D30)</f>
        <v>39</v>
      </c>
      <c r="L30" s="179">
        <f t="shared" si="6"/>
        <v>23</v>
      </c>
      <c r="M30" s="177"/>
      <c r="N30" s="177"/>
    </row>
    <row r="31" spans="1:18" customFormat="1" ht="16.5" x14ac:dyDescent="0.3">
      <c r="A31" s="182">
        <v>24</v>
      </c>
      <c r="B31" s="208">
        <f>'[1]1.RegLineDataAnalyFormula'!B25</f>
        <v>63</v>
      </c>
      <c r="C31" s="178">
        <f t="shared" si="5"/>
        <v>60</v>
      </c>
      <c r="D31" s="178">
        <f t="shared" si="0"/>
        <v>3</v>
      </c>
      <c r="E31" s="177">
        <f t="shared" si="1"/>
        <v>3</v>
      </c>
      <c r="F31" s="177">
        <f t="shared" si="2"/>
        <v>9</v>
      </c>
      <c r="G31" s="177">
        <f t="shared" si="3"/>
        <v>4.7619047619047616E-2</v>
      </c>
      <c r="H31" s="177">
        <f>AVERAGE(E$8:E31)</f>
        <v>1.75</v>
      </c>
      <c r="I31" s="177">
        <f>AVERAGE(F$8:F31)</f>
        <v>5.583333333333333</v>
      </c>
      <c r="J31" s="206">
        <f>AVERAGE(G$8:G31)</f>
        <v>4.3203239094836095E-2</v>
      </c>
      <c r="K31" s="206">
        <f>SUM(D$8:D31)</f>
        <v>42</v>
      </c>
      <c r="L31" s="179">
        <f t="shared" si="6"/>
        <v>24</v>
      </c>
    </row>
    <row r="32" spans="1:18" customFormat="1" ht="16.5" x14ac:dyDescent="0.3">
      <c r="A32" s="182">
        <v>25</v>
      </c>
      <c r="B32" s="208">
        <f>'[1]1.RegLineDataAnalyFormula'!B26</f>
        <v>70</v>
      </c>
      <c r="C32" s="178">
        <f t="shared" si="5"/>
        <v>63</v>
      </c>
      <c r="D32" s="178">
        <f t="shared" si="0"/>
        <v>7</v>
      </c>
      <c r="E32" s="177">
        <f t="shared" si="1"/>
        <v>7</v>
      </c>
      <c r="F32" s="177">
        <f t="shared" si="2"/>
        <v>49</v>
      </c>
      <c r="G32" s="177">
        <f t="shared" si="3"/>
        <v>0.1</v>
      </c>
      <c r="H32" s="177">
        <f>AVERAGE(E$8:E32)</f>
        <v>1.96</v>
      </c>
      <c r="I32" s="177">
        <f>AVERAGE(F$8:F32)</f>
        <v>7.32</v>
      </c>
      <c r="J32" s="206">
        <f>AVERAGE(G$8:G32)</f>
        <v>4.5475109531042654E-2</v>
      </c>
      <c r="K32" s="206">
        <f>SUM(D$8:D32)</f>
        <v>49</v>
      </c>
      <c r="L32" s="179">
        <f t="shared" si="6"/>
        <v>25</v>
      </c>
    </row>
    <row r="33" spans="1:12" customFormat="1" ht="16.5" x14ac:dyDescent="0.3">
      <c r="A33" s="182">
        <v>26</v>
      </c>
      <c r="B33" s="208">
        <f>'[1]1.RegLineDataAnalyFormula'!B27</f>
        <v>70</v>
      </c>
      <c r="C33" s="178">
        <f t="shared" si="5"/>
        <v>70</v>
      </c>
      <c r="D33" s="178">
        <f t="shared" si="0"/>
        <v>0</v>
      </c>
      <c r="E33" s="177">
        <f t="shared" si="1"/>
        <v>0</v>
      </c>
      <c r="F33" s="177">
        <f t="shared" si="2"/>
        <v>0</v>
      </c>
      <c r="G33" s="177">
        <f t="shared" si="3"/>
        <v>0</v>
      </c>
      <c r="H33" s="177">
        <f>AVERAGE(E$8:E33)</f>
        <v>1.8846153846153846</v>
      </c>
      <c r="I33" s="177">
        <f>AVERAGE(F$8:F33)</f>
        <v>7.0384615384615383</v>
      </c>
      <c r="J33" s="206">
        <f>AVERAGE(G$8:G33)</f>
        <v>4.3726066856771786E-2</v>
      </c>
      <c r="K33" s="206">
        <f>SUM(D$8:D33)</f>
        <v>49</v>
      </c>
      <c r="L33" s="179">
        <f t="shared" si="6"/>
        <v>26</v>
      </c>
    </row>
    <row r="34" spans="1:12" customFormat="1" ht="16.5" x14ac:dyDescent="0.3">
      <c r="A34" s="182">
        <v>27</v>
      </c>
      <c r="B34" s="208">
        <f>'[1]1.RegLineDataAnalyFormula'!B28</f>
        <v>82</v>
      </c>
      <c r="C34" s="178">
        <f t="shared" si="5"/>
        <v>70</v>
      </c>
      <c r="D34" s="178">
        <f t="shared" si="0"/>
        <v>12</v>
      </c>
      <c r="E34" s="177">
        <f t="shared" si="1"/>
        <v>12</v>
      </c>
      <c r="F34" s="177">
        <f t="shared" si="2"/>
        <v>144</v>
      </c>
      <c r="G34" s="177">
        <f t="shared" si="3"/>
        <v>0.14634146341463414</v>
      </c>
      <c r="H34" s="177">
        <f>AVERAGE(E$8:E34)</f>
        <v>2.2592592592592591</v>
      </c>
      <c r="I34" s="177">
        <f>AVERAGE(F$8:F34)</f>
        <v>12.111111111111111</v>
      </c>
      <c r="J34" s="206">
        <f>AVERAGE(G$8:G34)</f>
        <v>4.7526637099655572E-2</v>
      </c>
      <c r="K34" s="206">
        <f>SUM(D$8:D34)</f>
        <v>61</v>
      </c>
      <c r="L34" s="179">
        <f t="shared" si="6"/>
        <v>27.000000000000004</v>
      </c>
    </row>
    <row r="35" spans="1:12" customFormat="1" ht="16.5" x14ac:dyDescent="0.3">
      <c r="A35" s="182">
        <v>28</v>
      </c>
      <c r="B35" s="208">
        <f>'[1]1.RegLineDataAnalyFormula'!B29</f>
        <v>88</v>
      </c>
      <c r="C35" s="178">
        <f t="shared" si="5"/>
        <v>82</v>
      </c>
      <c r="D35" s="178">
        <f t="shared" si="0"/>
        <v>6</v>
      </c>
      <c r="E35" s="177">
        <f t="shared" si="1"/>
        <v>6</v>
      </c>
      <c r="F35" s="177">
        <f t="shared" si="2"/>
        <v>36</v>
      </c>
      <c r="G35" s="177">
        <f t="shared" si="3"/>
        <v>6.8181818181818177E-2</v>
      </c>
      <c r="H35" s="177">
        <f>AVERAGE(E$8:E35)</f>
        <v>2.3928571428571428</v>
      </c>
      <c r="I35" s="207">
        <f>AVERAGE(F$8:F35)</f>
        <v>12.964285714285714</v>
      </c>
      <c r="J35" s="206">
        <f>AVERAGE(G$8:G35)</f>
        <v>4.8264322138304235E-2</v>
      </c>
      <c r="K35" s="206">
        <f>SUM(D$8:D35)</f>
        <v>67</v>
      </c>
      <c r="L35" s="179">
        <f t="shared" si="6"/>
        <v>28</v>
      </c>
    </row>
    <row r="36" spans="1:12" customFormat="1" ht="16.5" x14ac:dyDescent="0.3">
      <c r="A36" s="182">
        <v>29</v>
      </c>
      <c r="C36" s="178">
        <f t="shared" si="5"/>
        <v>88</v>
      </c>
    </row>
    <row r="37" spans="1:12" customFormat="1" x14ac:dyDescent="0.25">
      <c r="A37" s="182">
        <v>30</v>
      </c>
    </row>
    <row r="38" spans="1:12" customFormat="1" ht="15" x14ac:dyDescent="0.25"/>
    <row r="39" spans="1:12" customFormat="1" ht="15" x14ac:dyDescent="0.25"/>
    <row r="40" spans="1:12" customFormat="1" ht="15" x14ac:dyDescent="0.25"/>
    <row r="41" spans="1:12" customFormat="1" ht="15" x14ac:dyDescent="0.25"/>
    <row r="42" spans="1:12" customFormat="1" ht="15" x14ac:dyDescent="0.25"/>
    <row r="43" spans="1:12" customFormat="1" ht="15" x14ac:dyDescent="0.25"/>
    <row r="44" spans="1:12" customFormat="1" ht="15" x14ac:dyDescent="0.25"/>
    <row r="45" spans="1:12" customFormat="1" ht="15" x14ac:dyDescent="0.25"/>
    <row r="46" spans="1:12" customFormat="1" ht="15" x14ac:dyDescent="0.25"/>
    <row r="47" spans="1:12" customFormat="1" ht="15" x14ac:dyDescent="0.25"/>
    <row r="48" spans="1:12" customFormat="1" ht="15" x14ac:dyDescent="0.25"/>
    <row r="49" customFormat="1" ht="15" x14ac:dyDescent="0.25"/>
    <row r="50" customFormat="1" ht="15.75" customHeight="1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</sheetData>
  <conditionalFormatting sqref="O7:O17">
    <cfRule type="cellIs" dxfId="13" priority="1" operator="equal">
      <formula>$O$18</formula>
    </cfRule>
  </conditionalFormatting>
  <pageMargins left="0.7" right="0.7" top="0.75" bottom="0.75" header="0.3" footer="0.3"/>
  <pageSetup orientation="portrait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77ED-78CA-4C48-85AC-14AAFB9FCB40}">
  <dimension ref="A1:BF299"/>
  <sheetViews>
    <sheetView zoomScale="96" zoomScaleNormal="96" workbookViewId="0">
      <selection activeCell="E33" sqref="E33"/>
    </sheetView>
  </sheetViews>
  <sheetFormatPr defaultColWidth="9.140625" defaultRowHeight="15" x14ac:dyDescent="0.25"/>
  <cols>
    <col min="1" max="1" width="4.5703125" style="22" bestFit="1" customWidth="1"/>
    <col min="2" max="2" width="9.7109375" style="22" bestFit="1" customWidth="1"/>
    <col min="3" max="3" width="13" style="22" customWidth="1"/>
    <col min="4" max="4" width="8.7109375" style="22" customWidth="1"/>
    <col min="5" max="5" width="12.42578125" style="22" bestFit="1" customWidth="1"/>
    <col min="6" max="6" width="9.7109375" style="22" customWidth="1"/>
    <col min="7" max="7" width="9.140625" style="22"/>
    <col min="8" max="8" width="12.140625" style="22" bestFit="1" customWidth="1"/>
    <col min="9" max="9" width="23.85546875" style="22" bestFit="1" customWidth="1"/>
    <col min="10" max="10" width="27.85546875" style="22" bestFit="1" customWidth="1"/>
    <col min="11" max="11" width="16.85546875" style="22" customWidth="1"/>
    <col min="12" max="12" width="4.140625" style="22" bestFit="1" customWidth="1"/>
    <col min="13" max="13" width="5.140625" style="22" bestFit="1" customWidth="1"/>
    <col min="14" max="14" width="9.28515625" style="22" bestFit="1" customWidth="1"/>
    <col min="15" max="25" width="6.42578125" style="22" customWidth="1"/>
    <col min="26" max="30" width="9.140625" style="22"/>
    <col min="31" max="31" width="9.140625" style="22" customWidth="1"/>
    <col min="32" max="34" width="9.140625" style="22"/>
    <col min="35" max="35" width="9.28515625" bestFit="1" customWidth="1"/>
    <col min="36" max="36" width="14" customWidth="1"/>
    <col min="37" max="37" width="12.28515625" customWidth="1"/>
    <col min="38" max="38" width="10.140625" bestFit="1" customWidth="1"/>
    <col min="39" max="39" width="10.140625" customWidth="1"/>
    <col min="40" max="42" width="9.28515625" customWidth="1"/>
    <col min="43" max="43" width="9.28515625" bestFit="1" customWidth="1"/>
    <col min="44" max="44" width="12.28515625" bestFit="1" customWidth="1"/>
    <col min="54" max="16384" width="9.140625" style="22"/>
  </cols>
  <sheetData>
    <row r="1" spans="1:58" customFormat="1" ht="17.25" thickBot="1" x14ac:dyDescent="0.35">
      <c r="A1" s="23" t="s">
        <v>69</v>
      </c>
      <c r="B1" s="25" t="s">
        <v>0</v>
      </c>
      <c r="C1" s="31" t="s">
        <v>19</v>
      </c>
      <c r="D1" s="31" t="s">
        <v>5</v>
      </c>
      <c r="E1" s="1" t="s">
        <v>36</v>
      </c>
      <c r="F1" s="1" t="s">
        <v>39</v>
      </c>
      <c r="G1" s="1" t="s">
        <v>41</v>
      </c>
      <c r="H1" s="22"/>
      <c r="I1" s="22"/>
      <c r="J1" s="22"/>
      <c r="K1" s="22"/>
      <c r="O1" s="22" t="s">
        <v>59</v>
      </c>
      <c r="P1" s="69" t="s">
        <v>60</v>
      </c>
      <c r="Q1" s="52">
        <v>0.5</v>
      </c>
      <c r="R1" s="22" t="s">
        <v>99</v>
      </c>
    </row>
    <row r="2" spans="1:58" customFormat="1" x14ac:dyDescent="0.25">
      <c r="A2" s="22">
        <v>0</v>
      </c>
      <c r="B2" s="22"/>
      <c r="C2" s="129">
        <f>B3</f>
        <v>19</v>
      </c>
      <c r="D2" s="131">
        <f>(B30-B3)/(A30-1)</f>
        <v>2.4814814814814814</v>
      </c>
      <c r="E2" s="31"/>
      <c r="F2" s="31"/>
      <c r="G2" s="31"/>
      <c r="H2" s="22"/>
      <c r="I2" s="128" t="str">
        <f ca="1">_xlfn.FORMULATEXT(C2)</f>
        <v>=B3</v>
      </c>
      <c r="J2" s="130" t="str">
        <f ca="1">_xlfn.FORMULATEXT(D2)</f>
        <v>=(B30-B3)/(A30-1)</v>
      </c>
      <c r="K2" s="7"/>
      <c r="O2" s="22" t="s">
        <v>57</v>
      </c>
      <c r="P2" s="69" t="s">
        <v>62</v>
      </c>
      <c r="Q2" s="7">
        <v>0.3</v>
      </c>
      <c r="AA2" s="22"/>
      <c r="AB2" s="22"/>
      <c r="AC2" s="22"/>
      <c r="AD2" s="22"/>
      <c r="AE2" s="22"/>
      <c r="AF2" s="22"/>
      <c r="AG2" s="22"/>
      <c r="AH2" s="22"/>
      <c r="BB2" s="22"/>
      <c r="BC2" s="22"/>
      <c r="BD2" s="22"/>
      <c r="BE2" s="22"/>
      <c r="BF2" s="22"/>
    </row>
    <row r="3" spans="1:58" customFormat="1" ht="16.5" x14ac:dyDescent="0.3">
      <c r="A3" s="50">
        <v>1</v>
      </c>
      <c r="B3" s="28">
        <v>19</v>
      </c>
      <c r="C3" s="133">
        <f>(1-$Q$1)*E3+$Q$1*B3</f>
        <v>20.24074074074074</v>
      </c>
      <c r="D3" s="135">
        <f>(1-$Q$2)*D2+$Q$2*(C3-C2)</f>
        <v>2.1092592592592592</v>
      </c>
      <c r="E3" s="137">
        <f>C2+D2</f>
        <v>21.481481481481481</v>
      </c>
      <c r="F3" s="48">
        <f t="shared" ref="F3:F30" si="0">(B3-E3)^2</f>
        <v>6.1577503429355254</v>
      </c>
      <c r="G3" s="48">
        <f>AVERAGE(F$3:F3)</f>
        <v>6.1577503429355254</v>
      </c>
      <c r="H3" s="22"/>
      <c r="I3" s="132" t="str">
        <f ca="1">_xlfn.FORMULATEXT(C3)</f>
        <v>=(1-$Q$1)*E3+$Q$1*B3</v>
      </c>
      <c r="J3" s="134" t="str">
        <f ca="1">_xlfn.FORMULATEXT(D3)</f>
        <v>=(1-$Q$2)*D2+$Q$2*(C3-C2)</v>
      </c>
      <c r="K3" s="136" t="str">
        <f ca="1">_xlfn.FORMULATEXT(E3)</f>
        <v>=C2+D2</v>
      </c>
      <c r="L3" s="22"/>
      <c r="N3">
        <v>0.8</v>
      </c>
      <c r="AA3" s="22"/>
      <c r="AB3" s="22"/>
      <c r="AC3" s="22"/>
      <c r="AD3" s="22"/>
      <c r="AE3" s="22"/>
      <c r="AF3" s="22"/>
      <c r="AG3" s="22"/>
      <c r="AH3" s="22"/>
      <c r="BB3" s="22"/>
      <c r="BC3" s="22"/>
      <c r="BD3" s="22"/>
      <c r="BE3" s="22"/>
      <c r="BF3" s="22"/>
    </row>
    <row r="4" spans="1:58" customFormat="1" ht="16.5" x14ac:dyDescent="0.3">
      <c r="A4" s="50">
        <v>2</v>
      </c>
      <c r="B4" s="28">
        <v>21</v>
      </c>
      <c r="C4" s="171">
        <f>(1-$Q$1)*E4+$Q$1*B4</f>
        <v>21.675000000000001</v>
      </c>
      <c r="D4" s="53">
        <f>(1-$Q$2)*D3+$Q$2*(C4-C3)</f>
        <v>1.9067592592592593</v>
      </c>
      <c r="E4" s="48">
        <f>C3+D3</f>
        <v>22.35</v>
      </c>
      <c r="F4" s="48">
        <f t="shared" si="0"/>
        <v>1.8225000000000038</v>
      </c>
      <c r="G4" s="48">
        <f>AVERAGE(F$3:F4)</f>
        <v>3.9901251714677644</v>
      </c>
      <c r="H4" s="22"/>
      <c r="I4" s="48"/>
      <c r="J4" s="22"/>
      <c r="K4" s="22"/>
      <c r="L4" s="22"/>
      <c r="N4">
        <v>0.01</v>
      </c>
      <c r="AA4" s="22"/>
      <c r="AB4" s="22"/>
      <c r="AC4" s="22"/>
      <c r="AD4" s="22"/>
      <c r="AE4" s="22"/>
      <c r="AF4" s="22"/>
      <c r="AG4" s="22"/>
      <c r="AH4" s="22"/>
      <c r="BB4" s="22"/>
      <c r="BC4" s="22"/>
      <c r="BD4" s="22"/>
      <c r="BE4" s="22"/>
      <c r="BF4" s="22"/>
    </row>
    <row r="5" spans="1:58" customFormat="1" ht="16.5" x14ac:dyDescent="0.3">
      <c r="A5" s="50">
        <v>3</v>
      </c>
      <c r="B5" s="28">
        <v>25</v>
      </c>
      <c r="C5" s="171">
        <f t="shared" ref="C5:C12" si="1">(1-$Q$1)*E5+$Q$1*B5</f>
        <v>24.290879629629629</v>
      </c>
      <c r="D5" s="53">
        <f t="shared" ref="D5:D12" si="2">(1-$Q$2)*D4+$Q$2*(C5-C4)</f>
        <v>2.1194953703703696</v>
      </c>
      <c r="E5" s="48">
        <f t="shared" ref="E5:E12" si="3">C4+D4</f>
        <v>23.581759259259261</v>
      </c>
      <c r="F5" s="48">
        <f t="shared" si="0"/>
        <v>2.0114067986968398</v>
      </c>
      <c r="G5" s="48">
        <f>AVERAGE(F$3:F5)</f>
        <v>3.3305523805441228</v>
      </c>
      <c r="H5" s="22"/>
      <c r="I5" s="48"/>
      <c r="J5" s="22"/>
      <c r="K5" s="22"/>
      <c r="L5" s="22">
        <v>0.5</v>
      </c>
      <c r="M5">
        <v>0.01</v>
      </c>
      <c r="N5" s="47">
        <f>G30</f>
        <v>5.5312808166363157</v>
      </c>
      <c r="O5">
        <f>L5</f>
        <v>0.5</v>
      </c>
      <c r="P5">
        <f>O5+$M$5</f>
        <v>0.51</v>
      </c>
      <c r="Q5">
        <f t="shared" ref="Q5:Y5" si="4">P5+$M$5</f>
        <v>0.52</v>
      </c>
      <c r="R5">
        <f t="shared" si="4"/>
        <v>0.53</v>
      </c>
      <c r="S5">
        <f t="shared" si="4"/>
        <v>0.54</v>
      </c>
      <c r="T5">
        <f t="shared" si="4"/>
        <v>0.55000000000000004</v>
      </c>
      <c r="U5">
        <f t="shared" si="4"/>
        <v>0.56000000000000005</v>
      </c>
      <c r="V5">
        <f t="shared" si="4"/>
        <v>0.57000000000000006</v>
      </c>
      <c r="W5">
        <f>V5+$M$5</f>
        <v>0.58000000000000007</v>
      </c>
      <c r="X5">
        <f t="shared" si="4"/>
        <v>0.59000000000000008</v>
      </c>
      <c r="Y5">
        <f t="shared" si="4"/>
        <v>0.60000000000000009</v>
      </c>
      <c r="AA5" s="22"/>
      <c r="AB5" s="22"/>
      <c r="AC5" s="22"/>
      <c r="AD5" s="22"/>
      <c r="AE5" s="22"/>
      <c r="AF5" s="22"/>
      <c r="AG5" s="22"/>
      <c r="AH5" s="22"/>
      <c r="BB5" s="22"/>
      <c r="BC5" s="22"/>
      <c r="BD5" s="22"/>
      <c r="BE5" s="22"/>
      <c r="BF5" s="22"/>
    </row>
    <row r="6" spans="1:58" customFormat="1" ht="16.5" x14ac:dyDescent="0.3">
      <c r="A6" s="50">
        <v>4</v>
      </c>
      <c r="B6" s="28">
        <v>29</v>
      </c>
      <c r="C6" s="171">
        <f t="shared" si="1"/>
        <v>27.705187500000001</v>
      </c>
      <c r="D6" s="53">
        <f t="shared" si="2"/>
        <v>2.50793912037037</v>
      </c>
      <c r="E6" s="48">
        <f t="shared" si="3"/>
        <v>26.410374999999998</v>
      </c>
      <c r="F6" s="48">
        <f t="shared" si="0"/>
        <v>6.7061576406250083</v>
      </c>
      <c r="G6" s="48">
        <f>AVERAGE(F$3:F6)</f>
        <v>4.1744536955643436</v>
      </c>
      <c r="H6" s="22"/>
      <c r="I6" s="48"/>
      <c r="J6" s="22"/>
      <c r="K6" s="22"/>
      <c r="L6" s="22"/>
      <c r="N6">
        <f>N3</f>
        <v>0.8</v>
      </c>
      <c r="O6" s="125">
        <f t="dataTable" ref="O6:Y16" dt2D="1" dtr="1" r1="Q2" r2="Q1"/>
        <v>3.6540933430495377</v>
      </c>
      <c r="P6" s="125">
        <v>3.6503812974238885</v>
      </c>
      <c r="Q6" s="125">
        <v>3.6473066019605072</v>
      </c>
      <c r="R6" s="125">
        <v>3.6448489281501648</v>
      </c>
      <c r="S6" s="125">
        <v>3.6429893895316079</v>
      </c>
      <c r="T6" s="125">
        <v>3.6417104461138368</v>
      </c>
      <c r="U6" s="125">
        <v>3.6409958160271261</v>
      </c>
      <c r="V6" s="125">
        <v>3.6408303938501163</v>
      </c>
      <c r="W6" s="125">
        <v>3.6412001750660572</v>
      </c>
      <c r="X6" s="125">
        <v>3.6420921861215043</v>
      </c>
      <c r="Y6" s="125">
        <v>3.64349441959124</v>
      </c>
      <c r="AA6" s="22"/>
      <c r="AB6" s="22"/>
      <c r="AC6" s="22"/>
      <c r="AD6" s="22"/>
      <c r="AE6" s="22"/>
      <c r="AF6" s="22"/>
      <c r="AG6" s="22"/>
      <c r="AH6" s="22"/>
      <c r="BB6" s="22"/>
      <c r="BC6" s="22"/>
      <c r="BD6" s="22"/>
      <c r="BE6" s="22"/>
      <c r="BF6" s="22"/>
    </row>
    <row r="7" spans="1:58" customFormat="1" ht="16.5" x14ac:dyDescent="0.3">
      <c r="A7" s="50">
        <v>5</v>
      </c>
      <c r="B7" s="28">
        <v>30</v>
      </c>
      <c r="C7" s="171">
        <f t="shared" si="1"/>
        <v>30.106563310185187</v>
      </c>
      <c r="D7" s="53">
        <f t="shared" si="2"/>
        <v>2.4759701273148149</v>
      </c>
      <c r="E7" s="48">
        <f t="shared" si="3"/>
        <v>30.213126620370371</v>
      </c>
      <c r="F7" s="48">
        <f t="shared" si="0"/>
        <v>4.542295631049624E-2</v>
      </c>
      <c r="G7" s="48">
        <f>AVERAGE(F$3:F7)</f>
        <v>3.3486475477135742</v>
      </c>
      <c r="H7" s="22"/>
      <c r="I7" s="48"/>
      <c r="J7" s="22"/>
      <c r="K7" s="22"/>
      <c r="L7" s="22"/>
      <c r="N7">
        <f>N6+$N$4</f>
        <v>0.81</v>
      </c>
      <c r="O7" s="125">
        <v>3.6473290471800262</v>
      </c>
      <c r="P7" s="125">
        <v>3.6443747098206414</v>
      </c>
      <c r="Q7" s="125">
        <v>3.6420589225764886</v>
      </c>
      <c r="R7" s="125">
        <v>3.640361960272144</v>
      </c>
      <c r="S7" s="125">
        <v>3.6392655155474825</v>
      </c>
      <c r="T7" s="125">
        <v>3.6387526049664278</v>
      </c>
      <c r="U7" s="125">
        <v>3.6388074821387408</v>
      </c>
      <c r="V7" s="125">
        <v>3.6394155573285354</v>
      </c>
      <c r="W7" s="125">
        <v>3.6405633230299483</v>
      </c>
      <c r="X7" s="125">
        <v>3.6422382850095896</v>
      </c>
      <c r="Y7" s="125">
        <v>3.6444288983445423</v>
      </c>
      <c r="AA7" s="22"/>
      <c r="AB7" s="22"/>
      <c r="AC7" s="22"/>
      <c r="AD7" s="22"/>
      <c r="AE7" s="22"/>
      <c r="AF7" s="22"/>
      <c r="AG7" s="22"/>
      <c r="AH7" s="22"/>
      <c r="BB7" s="22"/>
      <c r="BC7" s="22"/>
      <c r="BD7" s="22"/>
      <c r="BE7" s="22"/>
      <c r="BF7" s="22"/>
    </row>
    <row r="8" spans="1:58" customFormat="1" ht="16.5" x14ac:dyDescent="0.3">
      <c r="A8" s="50">
        <v>6</v>
      </c>
      <c r="B8" s="28">
        <v>35</v>
      </c>
      <c r="C8" s="171">
        <f t="shared" si="1"/>
        <v>33.791266718750002</v>
      </c>
      <c r="D8" s="53">
        <f t="shared" si="2"/>
        <v>2.8385901116898147</v>
      </c>
      <c r="E8" s="48">
        <f t="shared" si="3"/>
        <v>32.582533437500004</v>
      </c>
      <c r="F8" s="48">
        <f t="shared" si="0"/>
        <v>5.8441445808055468</v>
      </c>
      <c r="G8" s="48">
        <f>AVERAGE(F$3:F8)</f>
        <v>3.7645637198955697</v>
      </c>
      <c r="H8" s="22"/>
      <c r="I8" s="48"/>
      <c r="J8" s="22"/>
      <c r="K8" s="22"/>
      <c r="L8" s="22"/>
      <c r="N8">
        <f t="shared" ref="N8:N16" si="5">N7+$N$4</f>
        <v>0.82000000000000006</v>
      </c>
      <c r="O8" s="125">
        <v>3.6422420237298776</v>
      </c>
      <c r="P8" s="125">
        <v>3.6400600277210358</v>
      </c>
      <c r="Q8" s="125">
        <v>3.6385184386290375</v>
      </c>
      <c r="R8" s="125">
        <v>3.6375981278823795</v>
      </c>
      <c r="S8" s="125">
        <v>3.6372813609639496</v>
      </c>
      <c r="T8" s="125">
        <v>3.6375517051497774</v>
      </c>
      <c r="U8" s="125">
        <v>3.6383939440665629</v>
      </c>
      <c r="V8" s="125">
        <v>3.6397939985663803</v>
      </c>
      <c r="W8" s="125">
        <v>3.6417388534231163</v>
      </c>
      <c r="X8" s="125">
        <v>3.6442164893744047</v>
      </c>
      <c r="Y8" s="125">
        <v>3.6472158200596962</v>
      </c>
      <c r="AA8" s="22"/>
      <c r="AB8" s="22"/>
      <c r="AC8" s="22"/>
      <c r="AD8" s="22"/>
      <c r="AE8" s="22"/>
      <c r="AF8" s="22"/>
      <c r="AG8" s="22"/>
      <c r="AH8" s="22"/>
      <c r="BB8" s="22"/>
      <c r="BC8" s="22"/>
      <c r="BD8" s="22"/>
      <c r="BE8" s="22"/>
      <c r="BF8" s="22"/>
    </row>
    <row r="9" spans="1:58" customFormat="1" ht="16.5" x14ac:dyDescent="0.3">
      <c r="A9" s="50">
        <v>7</v>
      </c>
      <c r="B9" s="28">
        <v>35</v>
      </c>
      <c r="C9" s="171">
        <f t="shared" si="1"/>
        <v>35.81492841521991</v>
      </c>
      <c r="D9" s="53">
        <f t="shared" si="2"/>
        <v>2.5941115871238427</v>
      </c>
      <c r="E9" s="48">
        <f t="shared" si="3"/>
        <v>36.62985683043982</v>
      </c>
      <c r="F9" s="48">
        <f t="shared" si="0"/>
        <v>2.6564332877313368</v>
      </c>
      <c r="G9" s="48">
        <f>AVERAGE(F$3:F9)</f>
        <v>3.6062593724435361</v>
      </c>
      <c r="H9" s="22"/>
      <c r="I9" s="48"/>
      <c r="J9" s="22"/>
      <c r="K9" s="22"/>
      <c r="L9" s="22"/>
      <c r="N9">
        <f t="shared" si="5"/>
        <v>0.83000000000000007</v>
      </c>
      <c r="O9" s="125">
        <v>3.6388299808147457</v>
      </c>
      <c r="P9" s="125">
        <v>3.6374358338923369</v>
      </c>
      <c r="Q9" s="125">
        <v>3.6366846137367781</v>
      </c>
      <c r="R9" s="125">
        <v>3.6365577825472757</v>
      </c>
      <c r="S9" s="125">
        <v>3.6370381733602293</v>
      </c>
      <c r="T9" s="125">
        <v>3.6381098993749008</v>
      </c>
      <c r="U9" s="125">
        <v>3.6397582699227864</v>
      </c>
      <c r="V9" s="125">
        <v>3.6419697126010631</v>
      </c>
      <c r="W9" s="125">
        <v>3.6447317010972244</v>
      </c>
      <c r="X9" s="125">
        <v>3.6480326882495846</v>
      </c>
      <c r="Y9" s="125">
        <v>3.6518620439145941</v>
      </c>
      <c r="AA9" s="22"/>
      <c r="AB9" s="22"/>
      <c r="AC9" s="22"/>
      <c r="AD9" s="22"/>
      <c r="AE9" s="22"/>
      <c r="AF9" s="22"/>
      <c r="AG9" s="22"/>
      <c r="AH9" s="22"/>
      <c r="BB9" s="22"/>
      <c r="BC9" s="22"/>
      <c r="BD9" s="22"/>
      <c r="BE9" s="22"/>
      <c r="BF9" s="22"/>
    </row>
    <row r="10" spans="1:58" customFormat="1" ht="16.5" x14ac:dyDescent="0.3">
      <c r="A10" s="50">
        <v>8</v>
      </c>
      <c r="B10" s="28">
        <v>36</v>
      </c>
      <c r="C10" s="171">
        <f t="shared" si="1"/>
        <v>37.204520001171872</v>
      </c>
      <c r="D10" s="53">
        <f t="shared" si="2"/>
        <v>2.2327555867722784</v>
      </c>
      <c r="E10" s="48">
        <f t="shared" si="3"/>
        <v>38.409040002343751</v>
      </c>
      <c r="F10" s="48">
        <f t="shared" si="0"/>
        <v>5.80347373289238</v>
      </c>
      <c r="G10" s="48">
        <f>AVERAGE(F$3:F10)</f>
        <v>3.8809111674996419</v>
      </c>
      <c r="H10" s="22"/>
      <c r="I10" s="48"/>
      <c r="J10" s="22"/>
      <c r="K10" s="22"/>
      <c r="L10" s="22"/>
      <c r="N10">
        <f t="shared" si="5"/>
        <v>0.84000000000000008</v>
      </c>
      <c r="O10" s="125">
        <v>3.6370928108363532</v>
      </c>
      <c r="P10" s="125">
        <v>3.6365029312230162</v>
      </c>
      <c r="Q10" s="125">
        <v>3.6365591708180083</v>
      </c>
      <c r="R10" s="125">
        <v>3.6372435778796772</v>
      </c>
      <c r="S10" s="125">
        <v>3.6385395489091681</v>
      </c>
      <c r="T10" s="125">
        <v>3.6404317395314449</v>
      </c>
      <c r="U10" s="125">
        <v>3.6429059818616403</v>
      </c>
      <c r="V10" s="125">
        <v>3.6459492078972739</v>
      </c>
      <c r="W10" s="125">
        <v>3.6495493784831994</v>
      </c>
      <c r="X10" s="125">
        <v>3.6536954174135494</v>
      </c>
      <c r="Y10" s="125">
        <v>3.6583771502590059</v>
      </c>
      <c r="AA10" s="22"/>
      <c r="AB10" s="22"/>
      <c r="AC10" s="22"/>
      <c r="AD10" s="22"/>
      <c r="AE10" s="22"/>
      <c r="AF10" s="22"/>
      <c r="AG10" s="22"/>
      <c r="AH10" s="22"/>
      <c r="BB10" s="22"/>
      <c r="BC10" s="22"/>
      <c r="BD10" s="22"/>
      <c r="BE10" s="22"/>
      <c r="BF10" s="22"/>
    </row>
    <row r="11" spans="1:58" customFormat="1" ht="16.5" x14ac:dyDescent="0.3">
      <c r="A11" s="50">
        <v>9</v>
      </c>
      <c r="B11" s="28">
        <v>36</v>
      </c>
      <c r="C11" s="171">
        <f t="shared" si="1"/>
        <v>37.718637793972078</v>
      </c>
      <c r="D11" s="53">
        <f t="shared" si="2"/>
        <v>1.7171642485806569</v>
      </c>
      <c r="E11" s="48">
        <f t="shared" si="3"/>
        <v>39.43727558794415</v>
      </c>
      <c r="F11" s="48">
        <f t="shared" si="0"/>
        <v>11.814863467476801</v>
      </c>
      <c r="G11" s="48">
        <f>AVERAGE(F$3:F11)</f>
        <v>4.7624614230526596</v>
      </c>
      <c r="H11" s="22"/>
      <c r="I11" s="48"/>
      <c r="J11" s="22"/>
      <c r="K11" s="22"/>
      <c r="L11" s="22"/>
      <c r="N11">
        <f t="shared" si="5"/>
        <v>0.85000000000000009</v>
      </c>
      <c r="O11" s="125">
        <v>3.6370326421092942</v>
      </c>
      <c r="P11" s="125">
        <v>3.6372644025661702</v>
      </c>
      <c r="Q11" s="125">
        <v>3.6381461605499363</v>
      </c>
      <c r="R11" s="125">
        <v>3.639660547018837</v>
      </c>
      <c r="S11" s="125">
        <v>3.6417915192881027</v>
      </c>
      <c r="T11" s="125">
        <v>3.6445242734450995</v>
      </c>
      <c r="U11" s="125">
        <v>3.6478451631060671</v>
      </c>
      <c r="V11" s="125">
        <v>3.6517416240731473</v>
      </c>
      <c r="W11" s="125">
        <v>3.6562021044568569</v>
      </c>
      <c r="X11" s="125">
        <v>3.6612159998454019</v>
      </c>
      <c r="Y11" s="125">
        <v>3.6667735931252268</v>
      </c>
      <c r="AA11" s="22"/>
      <c r="AB11" s="22"/>
      <c r="AC11" s="22"/>
      <c r="AD11" s="22"/>
      <c r="AE11" s="22"/>
      <c r="AF11" s="22"/>
      <c r="AG11" s="22"/>
      <c r="AH11" s="22"/>
      <c r="BB11" s="22"/>
      <c r="BC11" s="22"/>
      <c r="BD11" s="22"/>
      <c r="BE11" s="22"/>
      <c r="BF11" s="22"/>
    </row>
    <row r="12" spans="1:58" customFormat="1" ht="16.5" x14ac:dyDescent="0.3">
      <c r="A12" s="50">
        <v>10</v>
      </c>
      <c r="B12" s="28">
        <v>37</v>
      </c>
      <c r="C12" s="171">
        <f t="shared" si="1"/>
        <v>38.217901021276369</v>
      </c>
      <c r="D12" s="53">
        <f t="shared" si="2"/>
        <v>1.3517939421977467</v>
      </c>
      <c r="E12" s="48">
        <f t="shared" si="3"/>
        <v>39.435802042552737</v>
      </c>
      <c r="F12" s="48">
        <f t="shared" si="0"/>
        <v>5.933131590504086</v>
      </c>
      <c r="G12" s="48">
        <f>AVERAGE(F$3:F12)</f>
        <v>4.8795284397978023</v>
      </c>
      <c r="H12" s="22"/>
      <c r="I12" s="48"/>
      <c r="J12" s="22"/>
      <c r="K12" s="22"/>
      <c r="L12" s="22"/>
      <c r="N12">
        <f t="shared" si="5"/>
        <v>0.8600000000000001</v>
      </c>
      <c r="O12" s="125">
        <v>3.6386539057873155</v>
      </c>
      <c r="P12" s="125">
        <v>3.6397256862885969</v>
      </c>
      <c r="Q12" s="125">
        <v>3.6414520459472071</v>
      </c>
      <c r="R12" s="125">
        <v>3.643816196652264</v>
      </c>
      <c r="S12" s="125">
        <v>3.6468026555658182</v>
      </c>
      <c r="T12" s="125">
        <v>3.6503971590600934</v>
      </c>
      <c r="U12" s="125">
        <v>3.6545865828652873</v>
      </c>
      <c r="V12" s="125">
        <v>3.6593588680035287</v>
      </c>
      <c r="W12" s="125">
        <v>3.6647029520905035</v>
      </c>
      <c r="X12" s="125">
        <v>3.6706087056017624</v>
      </c>
      <c r="Y12" s="125">
        <v>3.6770668727224605</v>
      </c>
      <c r="AA12" s="22"/>
      <c r="AB12" s="22"/>
      <c r="AC12" s="22"/>
      <c r="AD12" s="22"/>
      <c r="AE12" s="22"/>
      <c r="AF12" s="22"/>
      <c r="AG12" s="22"/>
      <c r="AH12" s="22"/>
      <c r="BB12" s="22"/>
      <c r="BC12" s="22"/>
      <c r="BD12" s="22"/>
      <c r="BE12" s="22"/>
      <c r="BF12" s="22"/>
    </row>
    <row r="13" spans="1:58" customFormat="1" ht="16.5" x14ac:dyDescent="0.3">
      <c r="A13" s="50">
        <v>11</v>
      </c>
      <c r="B13" s="28">
        <v>39</v>
      </c>
      <c r="C13" s="171">
        <f>(1-$Q$1)*E13+$Q$1*B13</f>
        <v>39.28484748173706</v>
      </c>
      <c r="D13" s="53">
        <f>(1-$Q$2)*D12+$Q$2*(C13-C12)</f>
        <v>1.2663396976766301</v>
      </c>
      <c r="E13" s="48">
        <f>C12+D12</f>
        <v>39.569694963474113</v>
      </c>
      <c r="F13" s="48">
        <f t="shared" si="0"/>
        <v>0.32455235140777106</v>
      </c>
      <c r="G13" s="48">
        <f>AVERAGE(F$3:F13)</f>
        <v>4.4654397044896177</v>
      </c>
      <c r="H13" s="22"/>
      <c r="I13" s="48"/>
      <c r="J13" s="22"/>
      <c r="K13" s="22"/>
      <c r="L13" s="22"/>
      <c r="N13">
        <f t="shared" si="5"/>
        <v>0.87000000000000011</v>
      </c>
      <c r="O13" s="125">
        <v>3.6419634178917071</v>
      </c>
      <c r="P13" s="125">
        <v>3.6438946673473986</v>
      </c>
      <c r="Q13" s="125">
        <v>3.6464858029045284</v>
      </c>
      <c r="R13" s="125">
        <v>3.6497206174521013</v>
      </c>
      <c r="S13" s="125">
        <v>3.6535841889708287</v>
      </c>
      <c r="T13" s="125">
        <v>3.6580627959884606</v>
      </c>
      <c r="U13" s="125">
        <v>3.6631438391265179</v>
      </c>
      <c r="V13" s="125">
        <v>3.6688157683288933</v>
      </c>
      <c r="W13" s="125">
        <v>3.6750680153690172</v>
      </c>
      <c r="X13" s="125">
        <v>3.6818909312464352</v>
      </c>
      <c r="Y13" s="125">
        <v>3.6892757281048683</v>
      </c>
      <c r="AA13" s="22"/>
      <c r="AB13" s="22"/>
      <c r="AC13" s="22"/>
      <c r="AD13" s="22"/>
      <c r="AE13" s="22"/>
      <c r="AF13" s="22"/>
      <c r="AG13" s="22"/>
      <c r="AH13" s="22"/>
      <c r="BB13" s="22"/>
      <c r="BC13" s="22"/>
      <c r="BD13" s="22"/>
      <c r="BE13" s="22"/>
      <c r="BF13" s="22"/>
    </row>
    <row r="14" spans="1:58" customFormat="1" ht="16.5" x14ac:dyDescent="0.3">
      <c r="A14" s="50">
        <v>12</v>
      </c>
      <c r="B14" s="28">
        <v>41</v>
      </c>
      <c r="C14" s="171">
        <f t="shared" ref="C14:C18" si="6">(1-$Q$1)*E14+$Q$1*B14</f>
        <v>40.775593589706844</v>
      </c>
      <c r="D14" s="53">
        <f t="shared" ref="D14:D18" si="7">(1-$Q$2)*D13+$Q$2*(C14-C13)</f>
        <v>1.3336616207645762</v>
      </c>
      <c r="E14" s="48">
        <f t="shared" ref="E14:E18" si="8">C13+D13</f>
        <v>40.551187179413688</v>
      </c>
      <c r="F14" s="48">
        <f t="shared" si="0"/>
        <v>0.20143294792264108</v>
      </c>
      <c r="G14" s="48">
        <f>AVERAGE(F$3:F14)</f>
        <v>4.1101058081090365</v>
      </c>
      <c r="H14" s="22"/>
      <c r="I14" s="48"/>
      <c r="J14" s="22"/>
      <c r="K14" s="22"/>
      <c r="L14" s="22"/>
      <c r="N14">
        <f t="shared" si="5"/>
        <v>0.88000000000000012</v>
      </c>
      <c r="O14" s="125">
        <v>3.6469704763718562</v>
      </c>
      <c r="P14" s="125">
        <v>3.6497817838522204</v>
      </c>
      <c r="Q14" s="125">
        <v>3.6532590366948794</v>
      </c>
      <c r="R14" s="125">
        <v>3.6573866109559012</v>
      </c>
      <c r="S14" s="125">
        <v>3.6621501486137711</v>
      </c>
      <c r="T14" s="125">
        <v>3.6675364745471457</v>
      </c>
      <c r="U14" s="125">
        <v>3.6735335194948</v>
      </c>
      <c r="V14" s="125">
        <v>3.6801302486024126</v>
      </c>
      <c r="W14" s="125">
        <v>3.6873165951662448</v>
      </c>
      <c r="X14" s="125">
        <v>3.6950833991978356</v>
      </c>
      <c r="Y14" s="125">
        <v>3.70342235045299</v>
      </c>
      <c r="AA14" s="22"/>
      <c r="AB14" s="22"/>
      <c r="AC14" s="22"/>
      <c r="AD14" s="22"/>
      <c r="AE14" s="22"/>
      <c r="AF14" s="22"/>
      <c r="AG14" s="22"/>
      <c r="AH14" s="22"/>
      <c r="BB14" s="22"/>
      <c r="BC14" s="22"/>
      <c r="BD14" s="22"/>
      <c r="BE14" s="22"/>
      <c r="BF14" s="22"/>
    </row>
    <row r="15" spans="1:58" customFormat="1" ht="16.5" x14ac:dyDescent="0.3">
      <c r="A15" s="50">
        <v>13</v>
      </c>
      <c r="B15" s="28">
        <v>42</v>
      </c>
      <c r="C15" s="171">
        <f t="shared" si="6"/>
        <v>42.054627605235709</v>
      </c>
      <c r="D15" s="53">
        <f t="shared" si="7"/>
        <v>1.3172733391938627</v>
      </c>
      <c r="E15" s="48">
        <f t="shared" si="8"/>
        <v>42.109255210471417</v>
      </c>
      <c r="F15" s="48">
        <f t="shared" si="0"/>
        <v>1.193670101515369E-2</v>
      </c>
      <c r="G15" s="48">
        <f>AVERAGE(F$3:F15)</f>
        <v>3.7948620306402763</v>
      </c>
      <c r="H15" s="22"/>
      <c r="I15" s="48"/>
      <c r="J15" s="22"/>
      <c r="K15" s="22"/>
      <c r="L15" s="22"/>
      <c r="N15">
        <f t="shared" si="5"/>
        <v>0.89000000000000012</v>
      </c>
      <c r="O15" s="125">
        <v>3.6536869732695294</v>
      </c>
      <c r="P15" s="125">
        <v>3.6574001492240735</v>
      </c>
      <c r="Q15" s="125">
        <v>3.6617861145788164</v>
      </c>
      <c r="R15" s="125">
        <v>3.6668298330966493</v>
      </c>
      <c r="S15" s="125">
        <v>3.6725175164244619</v>
      </c>
      <c r="T15" s="125">
        <v>3.6788365426048943</v>
      </c>
      <c r="U15" s="125">
        <v>3.6857753804705169</v>
      </c>
      <c r="V15" s="125">
        <v>3.6933235195381555</v>
      </c>
      <c r="W15" s="125">
        <v>3.7014714050254311</v>
      </c>
      <c r="X15" s="125">
        <v>3.7102103776256508</v>
      </c>
      <c r="Y15" s="125">
        <v>3.7195326176950618</v>
      </c>
      <c r="AA15" s="22"/>
      <c r="AB15" s="22"/>
      <c r="AC15" s="22"/>
      <c r="AD15" s="22"/>
      <c r="AE15" s="22"/>
      <c r="AF15" s="22"/>
      <c r="AG15" s="22"/>
      <c r="AH15" s="22"/>
      <c r="BB15" s="22"/>
      <c r="BC15" s="22"/>
      <c r="BD15" s="22"/>
      <c r="BE15" s="22"/>
      <c r="BF15" s="22"/>
    </row>
    <row r="16" spans="1:58" customFormat="1" ht="16.5" x14ac:dyDescent="0.3">
      <c r="A16" s="50">
        <v>14</v>
      </c>
      <c r="B16" s="28">
        <v>43</v>
      </c>
      <c r="C16" s="171">
        <f t="shared" si="6"/>
        <v>43.185950472214785</v>
      </c>
      <c r="D16" s="53">
        <f t="shared" si="7"/>
        <v>1.2614881975294265</v>
      </c>
      <c r="E16" s="48">
        <f t="shared" si="8"/>
        <v>43.371900944429569</v>
      </c>
      <c r="F16" s="48">
        <f t="shared" si="0"/>
        <v>0.13831031246760561</v>
      </c>
      <c r="G16" s="48">
        <f>AVERAGE(F$3:F16)</f>
        <v>3.5336797650565139</v>
      </c>
      <c r="H16" s="22"/>
      <c r="I16" s="48"/>
      <c r="J16" s="22"/>
      <c r="K16" s="22"/>
      <c r="L16" s="22"/>
      <c r="M16" s="6"/>
      <c r="N16">
        <f t="shared" si="5"/>
        <v>0.90000000000000013</v>
      </c>
      <c r="O16" s="125">
        <v>3.6621275222153931</v>
      </c>
      <c r="P16" s="126">
        <v>3.6667656902305081</v>
      </c>
      <c r="Q16" s="126">
        <v>3.6720843148614151</v>
      </c>
      <c r="R16" s="126">
        <v>3.6780689547825558</v>
      </c>
      <c r="S16" s="126">
        <v>3.6847063997739324</v>
      </c>
      <c r="T16" s="126">
        <v>3.6919845907858848</v>
      </c>
      <c r="U16" s="126">
        <v>3.6998925457955485</v>
      </c>
      <c r="V16" s="126">
        <v>3.708420291083848</v>
      </c>
      <c r="W16" s="126">
        <v>3.7175587975670012</v>
      </c>
      <c r="X16" s="126">
        <v>3.7272999218290672</v>
      </c>
      <c r="Y16" s="126">
        <v>3.737636351519662</v>
      </c>
      <c r="Z16" s="6"/>
      <c r="AA16" s="26"/>
      <c r="AB16" s="26"/>
      <c r="AC16" s="26"/>
      <c r="AD16" s="26"/>
      <c r="AE16" s="26"/>
      <c r="AF16" s="26"/>
      <c r="AG16" s="26"/>
      <c r="AH16" s="26"/>
      <c r="AI16" s="6"/>
      <c r="AJ16" s="6"/>
      <c r="AK16" s="6"/>
      <c r="AL16" s="6"/>
      <c r="AM16" s="6"/>
      <c r="AN16" s="6"/>
      <c r="AO16" s="6"/>
      <c r="BB16" s="22"/>
      <c r="BC16" s="22"/>
      <c r="BD16" s="22"/>
      <c r="BE16" s="22"/>
      <c r="BF16" s="22"/>
    </row>
    <row r="17" spans="1:58" ht="16.5" x14ac:dyDescent="0.3">
      <c r="A17" s="50">
        <v>15</v>
      </c>
      <c r="B17" s="28">
        <v>45</v>
      </c>
      <c r="C17" s="171">
        <f t="shared" si="6"/>
        <v>44.723719334872101</v>
      </c>
      <c r="D17" s="53">
        <f t="shared" si="7"/>
        <v>1.3443723970677932</v>
      </c>
      <c r="E17" s="48">
        <f t="shared" si="8"/>
        <v>44.447438669744209</v>
      </c>
      <c r="F17" s="48">
        <f t="shared" si="0"/>
        <v>0.30532402369404982</v>
      </c>
      <c r="G17" s="48">
        <f>AVERAGE(F$3:F17)</f>
        <v>3.3184560489656829</v>
      </c>
      <c r="I17" s="48"/>
      <c r="M17" s="26"/>
      <c r="N17"/>
      <c r="O17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>
        <f>MIN(O6:Y16)</f>
        <v>3.6365029312230162</v>
      </c>
      <c r="AA17" s="26"/>
      <c r="AB17" s="26"/>
      <c r="AC17" s="26"/>
      <c r="AD17" s="26"/>
      <c r="AE17" s="26"/>
      <c r="AF17" s="26"/>
      <c r="AG17" s="26"/>
      <c r="AH17" s="26"/>
      <c r="AI17" s="6"/>
      <c r="AJ17" s="6"/>
      <c r="AK17" s="6"/>
      <c r="AL17" s="6"/>
      <c r="AM17" s="6"/>
      <c r="AN17" s="6"/>
      <c r="AO17" s="6"/>
    </row>
    <row r="18" spans="1:58" ht="16.5" x14ac:dyDescent="0.3">
      <c r="A18" s="50">
        <v>16</v>
      </c>
      <c r="B18" s="28">
        <v>48</v>
      </c>
      <c r="C18" s="171">
        <f t="shared" si="6"/>
        <v>47.034045865969944</v>
      </c>
      <c r="D18" s="53">
        <f t="shared" si="7"/>
        <v>1.634158637276808</v>
      </c>
      <c r="E18" s="48">
        <f t="shared" si="8"/>
        <v>46.068091731939894</v>
      </c>
      <c r="F18" s="48">
        <f t="shared" si="0"/>
        <v>3.7322695561989971</v>
      </c>
      <c r="G18" s="48">
        <f>AVERAGE(F$3:F18)</f>
        <v>3.3443193931677651</v>
      </c>
      <c r="I18" s="48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6"/>
      <c r="AJ18" s="6"/>
      <c r="AK18" s="6"/>
      <c r="AL18" s="6"/>
      <c r="AM18" s="6"/>
      <c r="AN18" s="6"/>
      <c r="AO18" s="6"/>
    </row>
    <row r="19" spans="1:58" ht="16.5" x14ac:dyDescent="0.3">
      <c r="A19" s="50">
        <v>17</v>
      </c>
      <c r="B19" s="28">
        <v>49</v>
      </c>
      <c r="C19" s="171">
        <f>(1-$Q$1)*E19+$Q$1*B19</f>
        <v>48.834102251623378</v>
      </c>
      <c r="D19" s="53">
        <f>(1-$Q$2)*D18+$Q$2*(C19-C18)</f>
        <v>1.683927961789796</v>
      </c>
      <c r="E19" s="48">
        <f>C18+D18</f>
        <v>48.668204503246749</v>
      </c>
      <c r="F19" s="48">
        <f t="shared" si="0"/>
        <v>0.11008825166573692</v>
      </c>
      <c r="G19" s="48">
        <f>AVERAGE(F$3:F19)</f>
        <v>3.1540705024911753</v>
      </c>
      <c r="I19" s="48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6"/>
      <c r="AJ19" s="6"/>
      <c r="AK19" s="6"/>
      <c r="AL19" s="6"/>
      <c r="AM19" s="6"/>
      <c r="AN19" s="6"/>
      <c r="AO19" s="6"/>
    </row>
    <row r="20" spans="1:58" ht="16.5" x14ac:dyDescent="0.3">
      <c r="A20" s="50">
        <v>18</v>
      </c>
      <c r="B20" s="28">
        <v>50</v>
      </c>
      <c r="C20" s="171">
        <f t="shared" ref="C20:C27" si="9">(1-$Q$1)*E20+$Q$1*B20</f>
        <v>50.259015106706585</v>
      </c>
      <c r="D20" s="53">
        <f t="shared" ref="D20:D27" si="10">(1-$Q$2)*D19+$Q$2*(C20-C19)</f>
        <v>1.6062234297778191</v>
      </c>
      <c r="E20" s="48">
        <f t="shared" ref="E20:E27" si="11">C19+D19</f>
        <v>50.518030213413176</v>
      </c>
      <c r="F20" s="48">
        <f t="shared" si="0"/>
        <v>0.26835530200890112</v>
      </c>
      <c r="G20" s="48">
        <f>AVERAGE(F$3:F20)</f>
        <v>2.9937529913532708</v>
      </c>
      <c r="I20" s="48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6"/>
      <c r="AJ20" s="6"/>
      <c r="AK20" s="6"/>
      <c r="AL20" s="6"/>
      <c r="AM20" s="6"/>
      <c r="AN20" s="6"/>
      <c r="AO20" s="6"/>
    </row>
    <row r="21" spans="1:58" ht="16.5" x14ac:dyDescent="0.3">
      <c r="A21" s="50">
        <v>19</v>
      </c>
      <c r="B21" s="28">
        <v>50</v>
      </c>
      <c r="C21" s="171">
        <f t="shared" si="9"/>
        <v>50.932619268242206</v>
      </c>
      <c r="D21" s="53">
        <f t="shared" si="10"/>
        <v>1.3264376493051597</v>
      </c>
      <c r="E21" s="48">
        <f t="shared" si="11"/>
        <v>51.865238536484405</v>
      </c>
      <c r="F21" s="48">
        <f t="shared" si="0"/>
        <v>3.4791147979864854</v>
      </c>
      <c r="G21" s="48">
        <f>AVERAGE(F$3:F21)</f>
        <v>3.0192983495971242</v>
      </c>
      <c r="I21" s="48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6"/>
      <c r="AJ21" s="6"/>
      <c r="AK21" s="6"/>
      <c r="AL21" s="6"/>
      <c r="AM21" s="6"/>
      <c r="AN21" s="6"/>
      <c r="AO21" s="6"/>
    </row>
    <row r="22" spans="1:58" ht="16.5" x14ac:dyDescent="0.3">
      <c r="A22" s="50">
        <v>20</v>
      </c>
      <c r="B22" s="28">
        <v>55</v>
      </c>
      <c r="C22" s="171">
        <f t="shared" si="9"/>
        <v>53.629528458773684</v>
      </c>
      <c r="D22" s="53">
        <f t="shared" si="10"/>
        <v>1.7375791116730552</v>
      </c>
      <c r="E22" s="48">
        <f t="shared" si="11"/>
        <v>52.259056917547369</v>
      </c>
      <c r="F22" s="48">
        <f t="shared" si="0"/>
        <v>7.512768981244931</v>
      </c>
      <c r="G22" s="48">
        <f>AVERAGE(F$3:F22)</f>
        <v>3.2439718811795144</v>
      </c>
      <c r="I22" s="4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6"/>
      <c r="AJ22" s="6"/>
      <c r="AK22" s="6"/>
      <c r="AL22" s="6"/>
      <c r="AM22" s="6"/>
      <c r="AN22" s="6"/>
      <c r="AO22" s="6"/>
    </row>
    <row r="23" spans="1:58" ht="16.5" x14ac:dyDescent="0.3">
      <c r="A23" s="50">
        <v>21</v>
      </c>
      <c r="B23" s="28">
        <v>55</v>
      </c>
      <c r="C23" s="171">
        <f t="shared" si="9"/>
        <v>55.183553785223367</v>
      </c>
      <c r="D23" s="53">
        <f t="shared" si="10"/>
        <v>1.6825129761060433</v>
      </c>
      <c r="E23" s="48">
        <f t="shared" si="11"/>
        <v>55.367107570446741</v>
      </c>
      <c r="F23" s="48">
        <f t="shared" si="0"/>
        <v>0.13476796827930909</v>
      </c>
      <c r="G23" s="48">
        <f>AVERAGE(F$3:F23)</f>
        <v>3.0959145519937903</v>
      </c>
      <c r="I23" s="48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6"/>
      <c r="AJ23" s="6"/>
      <c r="AK23" s="6"/>
      <c r="AL23" s="6"/>
      <c r="AM23" s="6"/>
      <c r="AN23" s="6"/>
      <c r="AO23" s="6"/>
    </row>
    <row r="24" spans="1:58" ht="16.5" x14ac:dyDescent="0.3">
      <c r="A24" s="50">
        <v>22</v>
      </c>
      <c r="B24" s="28">
        <v>58</v>
      </c>
      <c r="C24" s="171">
        <f t="shared" si="9"/>
        <v>57.43303338066471</v>
      </c>
      <c r="D24" s="53">
        <f t="shared" si="10"/>
        <v>1.8526029619066331</v>
      </c>
      <c r="E24" s="48">
        <f t="shared" si="11"/>
        <v>56.866066761329414</v>
      </c>
      <c r="F24" s="48">
        <f t="shared" si="0"/>
        <v>1.2858045897619648</v>
      </c>
      <c r="G24" s="48">
        <f>AVERAGE(F$3:F24)</f>
        <v>3.0136368264377982</v>
      </c>
      <c r="I24" s="48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6"/>
      <c r="AJ24" s="6"/>
      <c r="AK24" s="6"/>
      <c r="AL24" s="6"/>
      <c r="AM24" s="6"/>
      <c r="AN24" s="6"/>
      <c r="AO24" s="6"/>
    </row>
    <row r="25" spans="1:58" ht="16.5" x14ac:dyDescent="0.3">
      <c r="A25" s="50">
        <v>23</v>
      </c>
      <c r="B25" s="28">
        <v>62</v>
      </c>
      <c r="C25" s="171">
        <f t="shared" si="9"/>
        <v>60.642818171285668</v>
      </c>
      <c r="D25" s="53">
        <f t="shared" si="10"/>
        <v>2.2597575105209304</v>
      </c>
      <c r="E25" s="48">
        <f t="shared" si="11"/>
        <v>59.285636342571344</v>
      </c>
      <c r="F25" s="48">
        <f t="shared" si="0"/>
        <v>7.3677700647694708</v>
      </c>
      <c r="G25" s="48">
        <f>AVERAGE(F$3:F25)</f>
        <v>3.2029469672348276</v>
      </c>
      <c r="I25" s="48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6"/>
      <c r="AJ25" s="6"/>
      <c r="AK25" s="6"/>
      <c r="AL25" s="6"/>
      <c r="AM25" s="6"/>
      <c r="AN25" s="6"/>
      <c r="AO25" s="6"/>
    </row>
    <row r="26" spans="1:58" ht="16.5" x14ac:dyDescent="0.3">
      <c r="A26" s="50">
        <v>24</v>
      </c>
      <c r="B26" s="28">
        <v>63</v>
      </c>
      <c r="C26" s="171">
        <f t="shared" si="9"/>
        <v>62.951287840903298</v>
      </c>
      <c r="D26" s="53">
        <f t="shared" si="10"/>
        <v>2.2743711582499402</v>
      </c>
      <c r="E26" s="48">
        <f t="shared" si="11"/>
        <v>62.902575681806596</v>
      </c>
      <c r="F26" s="48">
        <f t="shared" si="0"/>
        <v>9.4914977754496782E-3</v>
      </c>
      <c r="G26" s="48">
        <f>AVERAGE(F$3:F26)</f>
        <v>3.0698863226740198</v>
      </c>
      <c r="I26" s="48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6"/>
      <c r="AJ26" s="6"/>
      <c r="AK26" s="6"/>
      <c r="AL26" s="6"/>
      <c r="AM26" s="6"/>
      <c r="AN26" s="6"/>
      <c r="AO26" s="6"/>
    </row>
    <row r="27" spans="1:58" ht="16.5" x14ac:dyDescent="0.3">
      <c r="A27" s="50">
        <v>25</v>
      </c>
      <c r="B27" s="28">
        <v>67</v>
      </c>
      <c r="C27" s="171">
        <f t="shared" si="9"/>
        <v>66.11282949957662</v>
      </c>
      <c r="D27" s="53">
        <f t="shared" si="10"/>
        <v>2.5405223083769544</v>
      </c>
      <c r="E27" s="48">
        <f t="shared" si="11"/>
        <v>65.225658999153239</v>
      </c>
      <c r="F27" s="48">
        <f t="shared" si="0"/>
        <v>3.1482859872858842</v>
      </c>
      <c r="G27" s="48">
        <f>AVERAGE(F$3:F27)</f>
        <v>3.0730223092584947</v>
      </c>
      <c r="I27" s="48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6"/>
      <c r="AJ27" s="6"/>
      <c r="AK27" s="6"/>
      <c r="AL27" s="6"/>
      <c r="AM27" s="6"/>
      <c r="AN27" s="6"/>
      <c r="AO27" s="6"/>
    </row>
    <row r="28" spans="1:58" ht="16.5" x14ac:dyDescent="0.3">
      <c r="A28" s="50">
        <v>26</v>
      </c>
      <c r="B28" s="28">
        <v>72</v>
      </c>
      <c r="C28" s="171">
        <f>(1-$Q$1)*E28+$Q$1*B28</f>
        <v>70.326675903976792</v>
      </c>
      <c r="D28" s="53">
        <f>(1-$Q$2)*D27+$Q$2*(C28-C27)</f>
        <v>3.0425195371839195</v>
      </c>
      <c r="E28" s="48">
        <f>C27+D27</f>
        <v>68.65335180795357</v>
      </c>
      <c r="F28" s="48">
        <f t="shared" si="0"/>
        <v>11.200054121327641</v>
      </c>
      <c r="G28" s="48">
        <f>AVERAGE(F$3:F28)</f>
        <v>3.3856004558765389</v>
      </c>
      <c r="I28" s="48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6"/>
      <c r="AJ28" s="6"/>
      <c r="AK28" s="6"/>
      <c r="AL28" s="6"/>
      <c r="AM28" s="6"/>
      <c r="AN28" s="6"/>
      <c r="AO28" s="6"/>
    </row>
    <row r="29" spans="1:58" ht="16.5" x14ac:dyDescent="0.3">
      <c r="A29" s="50">
        <v>27</v>
      </c>
      <c r="B29" s="28">
        <v>79</v>
      </c>
      <c r="C29" s="171">
        <f t="shared" ref="C29:C30" si="12">(1-$Q$1)*E29+$Q$1*B29</f>
        <v>76.184597720580356</v>
      </c>
      <c r="D29" s="53">
        <f t="shared" ref="D29:D30" si="13">(1-$Q$2)*D28+$Q$2*(C29-C28)</f>
        <v>3.8871402210098127</v>
      </c>
      <c r="E29" s="48">
        <f t="shared" ref="E29:E30" si="14">C28+D28</f>
        <v>73.369195441160713</v>
      </c>
      <c r="F29" s="48">
        <f t="shared" si="0"/>
        <v>31.7059599798453</v>
      </c>
      <c r="G29" s="48">
        <f>AVERAGE(F$3:F29)</f>
        <v>4.4345026604679747</v>
      </c>
      <c r="I29" s="48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6"/>
      <c r="AJ29" s="6"/>
      <c r="AK29" s="6"/>
      <c r="AL29" s="6"/>
      <c r="AM29" s="6"/>
      <c r="AN29" s="6"/>
      <c r="AO29" s="6"/>
    </row>
    <row r="30" spans="1:58" ht="16.5" x14ac:dyDescent="0.3">
      <c r="A30" s="50">
        <v>28</v>
      </c>
      <c r="B30" s="28">
        <v>86</v>
      </c>
      <c r="C30" s="171">
        <f t="shared" si="12"/>
        <v>83.035868970795093</v>
      </c>
      <c r="D30" s="53">
        <f t="shared" si="13"/>
        <v>4.7763795297712903</v>
      </c>
      <c r="E30" s="48">
        <f t="shared" si="14"/>
        <v>80.071737941590172</v>
      </c>
      <c r="F30" s="48">
        <f t="shared" si="0"/>
        <v>35.144291033181531</v>
      </c>
      <c r="G30" s="48">
        <f>AVERAGE(F$3:F30)</f>
        <v>5.5312808166363157</v>
      </c>
      <c r="I30" s="7" t="str">
        <f ca="1">_xlfn.FORMULATEXT(C30)</f>
        <v>=(1-$Q$1)*E30+$Q$1*B30</v>
      </c>
      <c r="J30" s="7" t="str">
        <f ca="1">_xlfn.FORMULATEXT(D30)</f>
        <v>=(1-$Q$2)*D29+$Q$2*(C30-C29)</v>
      </c>
      <c r="K30" s="7" t="str">
        <f ca="1">_xlfn.FORMULATEXT(E30)</f>
        <v>=C29+D29</v>
      </c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6"/>
      <c r="AJ30" s="6"/>
      <c r="AK30" s="6"/>
      <c r="AL30" s="6"/>
      <c r="AM30" s="6"/>
      <c r="AN30" s="6"/>
      <c r="AO30" s="6"/>
    </row>
    <row r="31" spans="1:58" ht="16.5" x14ac:dyDescent="0.3">
      <c r="A31" s="49">
        <v>30</v>
      </c>
      <c r="B31"/>
      <c r="E31" s="48">
        <f>C30+$D$30</f>
        <v>87.812248500566383</v>
      </c>
      <c r="F31" s="43"/>
      <c r="G31"/>
      <c r="H31" s="26"/>
      <c r="I31" s="5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6"/>
      <c r="AJ31" s="6"/>
      <c r="AK31" s="6"/>
      <c r="AL31" s="6"/>
      <c r="AM31" s="6"/>
      <c r="AN31" s="6"/>
      <c r="AO31" s="6"/>
      <c r="BB31"/>
      <c r="BC31"/>
      <c r="BD31"/>
      <c r="BE31"/>
      <c r="BF31"/>
    </row>
    <row r="32" spans="1:58" ht="16.5" x14ac:dyDescent="0.3">
      <c r="A32" s="29">
        <v>31</v>
      </c>
      <c r="B32"/>
      <c r="C32" s="6"/>
      <c r="D32" s="26"/>
      <c r="E32" s="48">
        <f>E31+$D$30</f>
        <v>92.588628030337674</v>
      </c>
      <c r="F32" s="26"/>
      <c r="G32" s="26"/>
      <c r="H32" s="26"/>
      <c r="I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6"/>
      <c r="AJ32" s="6"/>
      <c r="AK32" s="6"/>
      <c r="AL32" s="6"/>
      <c r="AM32" s="6"/>
      <c r="AN32" s="6"/>
      <c r="AO32" s="6"/>
      <c r="BB32"/>
      <c r="BC32"/>
      <c r="BD32"/>
      <c r="BE32"/>
      <c r="BF32"/>
    </row>
    <row r="33" spans="1:58" ht="16.5" x14ac:dyDescent="0.3">
      <c r="A33" s="29">
        <v>32</v>
      </c>
      <c r="B33"/>
      <c r="C33" s="6"/>
      <c r="D33" s="26"/>
      <c r="E33" s="48">
        <f t="shared" ref="E33:E34" si="15">E32+$D$30</f>
        <v>97.365007560108964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6"/>
      <c r="AJ33" s="6"/>
      <c r="AK33" s="6"/>
      <c r="AL33" s="6"/>
      <c r="AM33" s="6"/>
      <c r="AN33" s="6"/>
      <c r="AO33" s="6"/>
      <c r="BB33"/>
      <c r="BC33"/>
      <c r="BD33"/>
      <c r="BE33"/>
      <c r="BF33"/>
    </row>
    <row r="34" spans="1:58" ht="16.5" x14ac:dyDescent="0.3">
      <c r="A34" s="29">
        <v>33</v>
      </c>
      <c r="B34"/>
      <c r="C34" s="6"/>
      <c r="D34" s="26"/>
      <c r="E34" s="48">
        <f t="shared" si="15"/>
        <v>102.14138708988025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6"/>
      <c r="AJ34" s="6"/>
      <c r="AK34" s="6"/>
      <c r="AL34" s="6"/>
      <c r="AM34" s="6"/>
      <c r="AN34" s="6"/>
      <c r="AO34" s="6"/>
      <c r="BB34"/>
      <c r="BC34"/>
      <c r="BD34"/>
      <c r="BE34"/>
      <c r="BF34"/>
    </row>
    <row r="35" spans="1:58" x14ac:dyDescent="0.25">
      <c r="A35"/>
      <c r="B35"/>
      <c r="C35" s="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6"/>
      <c r="AJ35" s="6"/>
      <c r="AK35" s="6"/>
      <c r="AL35" s="6"/>
      <c r="AM35" s="6"/>
      <c r="AN35" s="6"/>
      <c r="AO35" s="6"/>
      <c r="BB35"/>
      <c r="BC35"/>
      <c r="BD35"/>
      <c r="BE35"/>
      <c r="BF35"/>
    </row>
    <row r="36" spans="1:58" x14ac:dyDescent="0.25">
      <c r="A36"/>
      <c r="B36"/>
      <c r="C36" s="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6"/>
      <c r="AJ36" s="6"/>
      <c r="AK36" s="6"/>
      <c r="AL36" s="6"/>
      <c r="AM36" s="6"/>
      <c r="AN36" s="6"/>
      <c r="AO36" s="6"/>
      <c r="BB36"/>
      <c r="BC36"/>
      <c r="BD36"/>
      <c r="BE36"/>
      <c r="BF36"/>
    </row>
    <row r="37" spans="1:58" x14ac:dyDescent="0.25">
      <c r="A37"/>
      <c r="B37"/>
      <c r="C37" s="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6"/>
      <c r="AJ37" s="6"/>
      <c r="AK37" s="6"/>
      <c r="AL37" s="6"/>
      <c r="AM37" s="6"/>
      <c r="AN37" s="6"/>
      <c r="AO37" s="6"/>
      <c r="BB37"/>
      <c r="BC37"/>
      <c r="BD37"/>
      <c r="BE37"/>
      <c r="BF37"/>
    </row>
    <row r="38" spans="1:58" x14ac:dyDescent="0.25">
      <c r="A38"/>
      <c r="B38"/>
      <c r="C38" s="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6"/>
      <c r="AJ38" s="6"/>
      <c r="AK38" s="6"/>
      <c r="AL38" s="6"/>
      <c r="AM38" s="6"/>
      <c r="AN38" s="6"/>
      <c r="AO38" s="6"/>
      <c r="BB38"/>
      <c r="BC38"/>
      <c r="BD38"/>
      <c r="BE38"/>
      <c r="BF38"/>
    </row>
    <row r="39" spans="1:58" x14ac:dyDescent="0.25">
      <c r="A39"/>
      <c r="B39"/>
      <c r="C39" s="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6"/>
      <c r="AJ39" s="6"/>
      <c r="AK39" s="6"/>
      <c r="AL39" s="6"/>
      <c r="AM39" s="6"/>
      <c r="AN39" s="6"/>
      <c r="AO39" s="6"/>
      <c r="BB39"/>
      <c r="BC39"/>
      <c r="BD39"/>
      <c r="BE39"/>
      <c r="BF39"/>
    </row>
    <row r="40" spans="1:58" x14ac:dyDescent="0.25">
      <c r="A40"/>
      <c r="B40"/>
      <c r="C40" s="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6"/>
      <c r="AJ40" s="6"/>
      <c r="AK40" s="6"/>
      <c r="AL40" s="6"/>
      <c r="AM40" s="6"/>
      <c r="AN40" s="6"/>
      <c r="AO40" s="6"/>
      <c r="BB40"/>
      <c r="BC40"/>
      <c r="BD40"/>
      <c r="BE40"/>
      <c r="BF40"/>
    </row>
    <row r="41" spans="1:58" x14ac:dyDescent="0.25">
      <c r="A41"/>
      <c r="B41"/>
      <c r="C41" s="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6"/>
      <c r="AJ41" s="6"/>
      <c r="AK41" s="6"/>
      <c r="AL41" s="6"/>
      <c r="AM41" s="6"/>
      <c r="AN41" s="6"/>
      <c r="AO41" s="6"/>
      <c r="BB41"/>
      <c r="BC41"/>
      <c r="BD41"/>
      <c r="BE41"/>
      <c r="BF41"/>
    </row>
    <row r="42" spans="1:58" x14ac:dyDescent="0.25">
      <c r="A42"/>
      <c r="B42"/>
      <c r="C42" s="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6"/>
      <c r="AJ42" s="6"/>
      <c r="AK42" s="6"/>
      <c r="AL42" s="6"/>
      <c r="AM42" s="6"/>
      <c r="AN42" s="6"/>
      <c r="AO42" s="6"/>
      <c r="BB42"/>
      <c r="BC42"/>
      <c r="BD42"/>
      <c r="BE42"/>
      <c r="BF42"/>
    </row>
    <row r="43" spans="1:58" x14ac:dyDescent="0.25">
      <c r="A43"/>
      <c r="B43"/>
      <c r="C43" s="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6"/>
      <c r="AJ43" s="6"/>
      <c r="AK43" s="6"/>
      <c r="AL43" s="6"/>
      <c r="AM43" s="6"/>
      <c r="AN43" s="6"/>
      <c r="AO43" s="6"/>
      <c r="BB43"/>
      <c r="BC43"/>
      <c r="BD43"/>
      <c r="BE43"/>
      <c r="BF43"/>
    </row>
    <row r="44" spans="1:58" x14ac:dyDescent="0.25">
      <c r="A44"/>
      <c r="B44"/>
      <c r="C44" s="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6"/>
      <c r="AJ44" s="6"/>
      <c r="AK44" s="6"/>
      <c r="AL44" s="6"/>
      <c r="AM44" s="6"/>
      <c r="AN44" s="6"/>
      <c r="AO44" s="6"/>
      <c r="BB44"/>
      <c r="BC44"/>
      <c r="BD44"/>
      <c r="BE44"/>
      <c r="BF44"/>
    </row>
    <row r="45" spans="1:58" x14ac:dyDescent="0.25">
      <c r="A45"/>
      <c r="B45"/>
      <c r="C45" s="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6"/>
      <c r="AJ45" s="6"/>
      <c r="AK45" s="6"/>
      <c r="AL45" s="6"/>
      <c r="AM45" s="6"/>
      <c r="AN45" s="6"/>
      <c r="AO45" s="6"/>
      <c r="BB45"/>
      <c r="BC45"/>
      <c r="BD45"/>
      <c r="BE45"/>
      <c r="BF45"/>
    </row>
    <row r="46" spans="1:58" x14ac:dyDescent="0.25">
      <c r="A46"/>
      <c r="B46"/>
      <c r="C46" s="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6"/>
      <c r="AJ46" s="6"/>
      <c r="AK46" s="6"/>
      <c r="AL46" s="6"/>
      <c r="AM46" s="6"/>
      <c r="AN46" s="6"/>
      <c r="AO46" s="6"/>
      <c r="BB46"/>
      <c r="BC46"/>
      <c r="BD46"/>
      <c r="BE46"/>
      <c r="BF46"/>
    </row>
    <row r="47" spans="1:58" x14ac:dyDescent="0.25">
      <c r="A47"/>
      <c r="B47"/>
      <c r="C47" s="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6"/>
      <c r="AJ47" s="6"/>
      <c r="AK47" s="6"/>
      <c r="AL47" s="6"/>
      <c r="AM47" s="6"/>
      <c r="AN47" s="6"/>
      <c r="AO47" s="6"/>
      <c r="BB47"/>
      <c r="BC47"/>
      <c r="BD47"/>
      <c r="BE47"/>
      <c r="BF47"/>
    </row>
    <row r="48" spans="1:58" x14ac:dyDescent="0.25">
      <c r="A48"/>
      <c r="B48"/>
      <c r="C48" s="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6"/>
      <c r="AJ48" s="6"/>
      <c r="AK48" s="6"/>
      <c r="AL48" s="6"/>
      <c r="AM48" s="6"/>
      <c r="AN48" s="6"/>
      <c r="AO48" s="6"/>
      <c r="BB48"/>
      <c r="BC48"/>
      <c r="BD48"/>
      <c r="BE48"/>
      <c r="BF48"/>
    </row>
    <row r="49" spans="1:58" x14ac:dyDescent="0.25">
      <c r="A49"/>
      <c r="B49"/>
      <c r="C49" s="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6"/>
      <c r="AJ49" s="6"/>
      <c r="AK49" s="6"/>
      <c r="AL49" s="6"/>
      <c r="AM49" s="6"/>
      <c r="AN49" s="6"/>
      <c r="AO49" s="6"/>
      <c r="BB49"/>
      <c r="BC49"/>
      <c r="BD49"/>
      <c r="BE49"/>
      <c r="BF49"/>
    </row>
    <row r="50" spans="1:58" x14ac:dyDescent="0.25">
      <c r="A50"/>
      <c r="B50"/>
      <c r="C50" s="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6"/>
      <c r="AJ50" s="6"/>
      <c r="AK50" s="6"/>
      <c r="AL50" s="6"/>
      <c r="AM50" s="6"/>
      <c r="AN50" s="6"/>
      <c r="AO50" s="6"/>
      <c r="BB50"/>
      <c r="BC50"/>
      <c r="BD50"/>
      <c r="BE50"/>
      <c r="BF50"/>
    </row>
    <row r="51" spans="1:58" x14ac:dyDescent="0.25">
      <c r="A51"/>
      <c r="B51"/>
      <c r="C51" s="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6"/>
      <c r="AJ51" s="6"/>
      <c r="AK51" s="6"/>
      <c r="AL51" s="6"/>
      <c r="AM51" s="6"/>
      <c r="AN51" s="6"/>
      <c r="AO51" s="6"/>
      <c r="BB51"/>
      <c r="BC51"/>
      <c r="BD51"/>
      <c r="BE51"/>
      <c r="BF51"/>
    </row>
    <row r="52" spans="1:58" x14ac:dyDescent="0.25">
      <c r="A52"/>
      <c r="B52"/>
      <c r="C52" s="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6"/>
      <c r="AJ52" s="6"/>
      <c r="AK52" s="6"/>
      <c r="AL52" s="6"/>
      <c r="AM52" s="6"/>
      <c r="AN52" s="6"/>
      <c r="AO52" s="6"/>
      <c r="BB52"/>
      <c r="BC52"/>
      <c r="BD52"/>
      <c r="BE52"/>
      <c r="BF52"/>
    </row>
    <row r="53" spans="1:58" x14ac:dyDescent="0.25">
      <c r="A53"/>
      <c r="B53"/>
      <c r="C53" s="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6"/>
      <c r="AJ53" s="6"/>
      <c r="AK53" s="6"/>
      <c r="AL53" s="6"/>
      <c r="AM53" s="6"/>
      <c r="AN53" s="6"/>
      <c r="AO53" s="6"/>
      <c r="BB53"/>
      <c r="BC53"/>
      <c r="BD53"/>
      <c r="BE53"/>
      <c r="BF53"/>
    </row>
    <row r="54" spans="1:58" x14ac:dyDescent="0.25">
      <c r="A54"/>
      <c r="B54"/>
      <c r="C54" s="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6"/>
      <c r="AJ54" s="6"/>
      <c r="AK54" s="6"/>
      <c r="AL54" s="6"/>
      <c r="AM54" s="6"/>
      <c r="AN54" s="6"/>
      <c r="AO54" s="6"/>
      <c r="BB54"/>
      <c r="BC54"/>
      <c r="BD54"/>
      <c r="BE54"/>
      <c r="BF54"/>
    </row>
    <row r="55" spans="1:58" x14ac:dyDescent="0.25">
      <c r="A55"/>
      <c r="B55"/>
      <c r="C55" s="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6"/>
      <c r="AJ55" s="6"/>
      <c r="AK55" s="6"/>
      <c r="AL55" s="6"/>
      <c r="AM55" s="6"/>
      <c r="AN55" s="6"/>
      <c r="AO55" s="6"/>
      <c r="BB55"/>
      <c r="BC55"/>
      <c r="BD55"/>
      <c r="BE55"/>
      <c r="BF55"/>
    </row>
    <row r="56" spans="1:58" x14ac:dyDescent="0.25">
      <c r="A56"/>
      <c r="B56"/>
      <c r="C56" s="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6"/>
      <c r="AJ56" s="6"/>
      <c r="AK56" s="6"/>
      <c r="AL56" s="6"/>
      <c r="AM56" s="6"/>
      <c r="AN56" s="6"/>
      <c r="AO56" s="6"/>
      <c r="BB56"/>
      <c r="BC56"/>
      <c r="BD56"/>
      <c r="BE56"/>
      <c r="BF56"/>
    </row>
    <row r="57" spans="1:58" x14ac:dyDescent="0.25">
      <c r="A57"/>
      <c r="B57"/>
      <c r="C57" s="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6"/>
      <c r="AJ57" s="6"/>
      <c r="AK57" s="6"/>
      <c r="AL57" s="6"/>
      <c r="AM57" s="6"/>
      <c r="AN57" s="6"/>
      <c r="AO57" s="6"/>
      <c r="BB57"/>
      <c r="BC57"/>
      <c r="BD57"/>
      <c r="BE57"/>
      <c r="BF57"/>
    </row>
    <row r="58" spans="1:58" x14ac:dyDescent="0.25">
      <c r="A58"/>
      <c r="B58"/>
      <c r="C58" s="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6"/>
      <c r="AJ58" s="6"/>
      <c r="AK58" s="6"/>
      <c r="AL58" s="6"/>
      <c r="AM58" s="6"/>
      <c r="AN58" s="6"/>
      <c r="AO58" s="6"/>
      <c r="BB58"/>
      <c r="BC58"/>
      <c r="BD58"/>
      <c r="BE58"/>
      <c r="BF58"/>
    </row>
    <row r="59" spans="1:58" x14ac:dyDescent="0.25">
      <c r="A59"/>
      <c r="B59"/>
      <c r="C59" s="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6"/>
      <c r="AJ59" s="6"/>
      <c r="AK59" s="6"/>
      <c r="AL59" s="6"/>
      <c r="AM59" s="6"/>
      <c r="AN59" s="6"/>
      <c r="AO59" s="6"/>
      <c r="BB59"/>
      <c r="BC59"/>
      <c r="BD59"/>
      <c r="BE59"/>
      <c r="BF59"/>
    </row>
    <row r="60" spans="1:58" x14ac:dyDescent="0.25">
      <c r="A60"/>
      <c r="B60"/>
      <c r="C60" s="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6"/>
      <c r="AJ60" s="6"/>
      <c r="AK60" s="6"/>
      <c r="AL60" s="6"/>
      <c r="AM60" s="6"/>
      <c r="AN60" s="6"/>
      <c r="AO60" s="6"/>
      <c r="BB60"/>
      <c r="BC60"/>
      <c r="BD60"/>
      <c r="BE60"/>
      <c r="BF60"/>
    </row>
    <row r="61" spans="1:58" x14ac:dyDescent="0.25">
      <c r="A61"/>
      <c r="B61"/>
      <c r="C61" s="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6"/>
      <c r="AJ61" s="6"/>
      <c r="AK61" s="6"/>
      <c r="AL61" s="6"/>
      <c r="AM61" s="6"/>
      <c r="AN61" s="6"/>
      <c r="AO61" s="6"/>
      <c r="BB61"/>
      <c r="BC61"/>
      <c r="BD61"/>
      <c r="BE61"/>
      <c r="BF61"/>
    </row>
    <row r="62" spans="1:58" x14ac:dyDescent="0.25">
      <c r="A62"/>
      <c r="B62"/>
      <c r="C62" s="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6"/>
      <c r="AJ62" s="6"/>
      <c r="AK62" s="6"/>
      <c r="AL62" s="6"/>
      <c r="AM62" s="6"/>
      <c r="AN62" s="6"/>
      <c r="AO62" s="6"/>
      <c r="BB62"/>
      <c r="BC62"/>
      <c r="BD62"/>
      <c r="BE62"/>
      <c r="BF62"/>
    </row>
    <row r="63" spans="1:58" x14ac:dyDescent="0.25">
      <c r="A63"/>
      <c r="B63"/>
      <c r="C63" s="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6"/>
      <c r="AJ63" s="6"/>
      <c r="AK63" s="6"/>
      <c r="AL63" s="6"/>
      <c r="AM63" s="6"/>
      <c r="AN63" s="6"/>
      <c r="AO63" s="6"/>
      <c r="BB63"/>
      <c r="BC63"/>
      <c r="BD63"/>
      <c r="BE63"/>
      <c r="BF63"/>
    </row>
    <row r="64" spans="1:58" x14ac:dyDescent="0.25">
      <c r="A64"/>
      <c r="B64"/>
      <c r="C64" s="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6"/>
      <c r="AJ64" s="6"/>
      <c r="AK64" s="6"/>
      <c r="AL64" s="6"/>
      <c r="AM64" s="6"/>
      <c r="AN64" s="6"/>
      <c r="AO64" s="6"/>
      <c r="BB64"/>
      <c r="BC64"/>
      <c r="BD64"/>
      <c r="BE64"/>
      <c r="BF64"/>
    </row>
    <row r="65" spans="1:58" x14ac:dyDescent="0.25">
      <c r="A65"/>
      <c r="B65"/>
      <c r="C65" s="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6"/>
      <c r="AJ65" s="6"/>
      <c r="AK65" s="6"/>
      <c r="AL65" s="6"/>
      <c r="AM65" s="6"/>
      <c r="AN65" s="6"/>
      <c r="AO65" s="6"/>
      <c r="BB65"/>
      <c r="BC65"/>
      <c r="BD65"/>
      <c r="BE65"/>
      <c r="BF65"/>
    </row>
    <row r="66" spans="1:58" x14ac:dyDescent="0.25">
      <c r="A66"/>
      <c r="B66"/>
      <c r="C66" s="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6"/>
      <c r="AJ66" s="6"/>
      <c r="AK66" s="6"/>
      <c r="AL66" s="6"/>
      <c r="AM66" s="6"/>
      <c r="AN66" s="6"/>
      <c r="AO66" s="6"/>
      <c r="BB66"/>
      <c r="BC66"/>
      <c r="BD66"/>
      <c r="BE66"/>
      <c r="BF66"/>
    </row>
    <row r="67" spans="1:58" x14ac:dyDescent="0.25">
      <c r="A67"/>
      <c r="B67"/>
      <c r="C67" s="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6"/>
      <c r="AJ67" s="6"/>
      <c r="AK67" s="6"/>
      <c r="AL67" s="6"/>
      <c r="AM67" s="6"/>
      <c r="AN67" s="6"/>
      <c r="AO67" s="6"/>
      <c r="BB67"/>
      <c r="BC67"/>
      <c r="BD67"/>
      <c r="BE67"/>
      <c r="BF67"/>
    </row>
    <row r="68" spans="1:58" x14ac:dyDescent="0.25">
      <c r="A68"/>
      <c r="B68"/>
      <c r="C68" s="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6"/>
      <c r="AJ68" s="6"/>
      <c r="AK68" s="6"/>
      <c r="AL68" s="6"/>
      <c r="AM68" s="6"/>
      <c r="AN68" s="6"/>
      <c r="AO68" s="6"/>
      <c r="BB68"/>
      <c r="BC68"/>
      <c r="BD68"/>
      <c r="BE68"/>
      <c r="BF68"/>
    </row>
    <row r="69" spans="1:58" x14ac:dyDescent="0.25">
      <c r="A69"/>
      <c r="B69"/>
      <c r="C69" s="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6"/>
      <c r="AJ69" s="6"/>
      <c r="AK69" s="6"/>
      <c r="AL69" s="6"/>
      <c r="AM69" s="6"/>
      <c r="AN69" s="6"/>
      <c r="AO69" s="6"/>
      <c r="BB69"/>
      <c r="BC69"/>
      <c r="BD69"/>
      <c r="BE69"/>
      <c r="BF69"/>
    </row>
    <row r="70" spans="1:58" x14ac:dyDescent="0.25">
      <c r="A70"/>
      <c r="B70"/>
      <c r="C70" s="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6"/>
      <c r="AJ70" s="6"/>
      <c r="AK70" s="6"/>
      <c r="AL70" s="6"/>
      <c r="AM70" s="6"/>
      <c r="AN70" s="6"/>
      <c r="AO70" s="6"/>
      <c r="BB70"/>
      <c r="BC70"/>
      <c r="BD70"/>
      <c r="BE70"/>
      <c r="BF70"/>
    </row>
    <row r="71" spans="1:58" x14ac:dyDescent="0.25">
      <c r="A71"/>
      <c r="B71"/>
      <c r="C71" s="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6"/>
      <c r="AJ71" s="6"/>
      <c r="AK71" s="6"/>
      <c r="AL71" s="6"/>
      <c r="AM71" s="6"/>
      <c r="AN71" s="6"/>
      <c r="AO71" s="6"/>
      <c r="BB71"/>
      <c r="BC71"/>
      <c r="BD71"/>
      <c r="BE71"/>
      <c r="BF71"/>
    </row>
    <row r="72" spans="1:58" x14ac:dyDescent="0.25">
      <c r="A72"/>
      <c r="B72"/>
      <c r="C72" s="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6"/>
      <c r="AJ72" s="6"/>
      <c r="AK72" s="6"/>
      <c r="AL72" s="6"/>
      <c r="AM72" s="6"/>
      <c r="AN72" s="6"/>
      <c r="AO72" s="6"/>
      <c r="BB72"/>
      <c r="BC72"/>
      <c r="BD72"/>
      <c r="BE72"/>
      <c r="BF72"/>
    </row>
    <row r="73" spans="1:58" x14ac:dyDescent="0.25">
      <c r="A73"/>
      <c r="B73"/>
      <c r="C73"/>
      <c r="BB73"/>
      <c r="BC73"/>
      <c r="BD73"/>
      <c r="BE73"/>
      <c r="BF73"/>
    </row>
    <row r="74" spans="1:58" x14ac:dyDescent="0.25">
      <c r="A74"/>
      <c r="B74"/>
      <c r="C74"/>
      <c r="BB74"/>
      <c r="BC74"/>
      <c r="BD74"/>
      <c r="BE74"/>
      <c r="BF74"/>
    </row>
    <row r="75" spans="1:58" x14ac:dyDescent="0.25">
      <c r="A75"/>
      <c r="B75"/>
      <c r="C75"/>
      <c r="BB75"/>
      <c r="BC75"/>
      <c r="BD75"/>
      <c r="BE75"/>
      <c r="BF75"/>
    </row>
    <row r="76" spans="1:58" x14ac:dyDescent="0.25">
      <c r="A76"/>
      <c r="B76"/>
      <c r="C76"/>
      <c r="BB76"/>
      <c r="BC76"/>
      <c r="BD76"/>
      <c r="BE76"/>
      <c r="BF76"/>
    </row>
    <row r="77" spans="1:58" x14ac:dyDescent="0.25">
      <c r="A77"/>
      <c r="B77"/>
      <c r="C77"/>
      <c r="BB77"/>
      <c r="BC77"/>
      <c r="BD77"/>
      <c r="BE77"/>
      <c r="BF77"/>
    </row>
    <row r="78" spans="1:58" ht="16.5" x14ac:dyDescent="0.3">
      <c r="A78"/>
      <c r="B78"/>
      <c r="C78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BB78"/>
      <c r="BC78"/>
      <c r="BD78"/>
      <c r="BE78"/>
      <c r="BF78"/>
    </row>
    <row r="79" spans="1:58" ht="16.5" x14ac:dyDescent="0.3">
      <c r="A79"/>
      <c r="B79"/>
      <c r="C79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BB79"/>
      <c r="BC79"/>
      <c r="BD79"/>
      <c r="BE79"/>
      <c r="BF79"/>
    </row>
    <row r="80" spans="1:58" ht="16.5" x14ac:dyDescent="0.3">
      <c r="A80"/>
      <c r="B80"/>
      <c r="C80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BB80"/>
      <c r="BC80"/>
      <c r="BD80"/>
      <c r="BE80"/>
      <c r="BF80"/>
    </row>
    <row r="81" spans="1:58" ht="16.5" x14ac:dyDescent="0.3">
      <c r="A81"/>
      <c r="B81"/>
      <c r="C8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BB81"/>
      <c r="BC81"/>
      <c r="BD81"/>
      <c r="BE81"/>
      <c r="BF81"/>
    </row>
    <row r="82" spans="1:58" ht="16.5" x14ac:dyDescent="0.3">
      <c r="A82"/>
      <c r="B82"/>
      <c r="C82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BB82"/>
      <c r="BC82"/>
      <c r="BD82"/>
      <c r="BE82"/>
      <c r="BF82"/>
    </row>
    <row r="83" spans="1:58" ht="16.5" x14ac:dyDescent="0.3">
      <c r="A83"/>
      <c r="B83"/>
      <c r="C83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BB83"/>
      <c r="BC83"/>
      <c r="BD83"/>
      <c r="BE83"/>
      <c r="BF83"/>
    </row>
    <row r="84" spans="1:58" ht="16.5" x14ac:dyDescent="0.3">
      <c r="A84"/>
      <c r="B84"/>
      <c r="C84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BB84"/>
      <c r="BC84"/>
      <c r="BD84"/>
      <c r="BE84"/>
      <c r="BF84"/>
    </row>
    <row r="85" spans="1:58" ht="16.5" x14ac:dyDescent="0.3">
      <c r="A85"/>
      <c r="B85"/>
      <c r="C85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BB85"/>
      <c r="BC85"/>
      <c r="BD85"/>
      <c r="BE85"/>
      <c r="BF85"/>
    </row>
    <row r="86" spans="1:58" ht="16.5" x14ac:dyDescent="0.3">
      <c r="A86"/>
      <c r="B86"/>
      <c r="C86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BB86"/>
      <c r="BC86"/>
      <c r="BD86"/>
      <c r="BE86"/>
      <c r="BF86"/>
    </row>
    <row r="87" spans="1:58" ht="16.5" x14ac:dyDescent="0.3">
      <c r="A87"/>
      <c r="B87"/>
      <c r="C87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1:58" ht="16.5" x14ac:dyDescent="0.3">
      <c r="A88"/>
      <c r="B88"/>
      <c r="C88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1:58" ht="16.5" x14ac:dyDescent="0.3">
      <c r="A89"/>
      <c r="B89"/>
      <c r="C89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1:58" x14ac:dyDescent="0.25">
      <c r="A90"/>
      <c r="B90"/>
      <c r="C90"/>
    </row>
    <row r="91" spans="1:58" x14ac:dyDescent="0.25">
      <c r="A91"/>
      <c r="B91"/>
      <c r="C91"/>
    </row>
    <row r="92" spans="1:58" x14ac:dyDescent="0.25">
      <c r="A92"/>
      <c r="B92"/>
      <c r="C92"/>
    </row>
    <row r="93" spans="1:58" x14ac:dyDescent="0.25">
      <c r="A93"/>
      <c r="B93"/>
      <c r="C93"/>
    </row>
    <row r="94" spans="1:58" x14ac:dyDescent="0.25">
      <c r="A94"/>
      <c r="B94"/>
      <c r="C94"/>
    </row>
    <row r="95" spans="1:58" x14ac:dyDescent="0.25">
      <c r="A95"/>
      <c r="B95"/>
      <c r="C95"/>
    </row>
    <row r="96" spans="1:58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O6:Y16">
    <cfRule type="cellIs" dxfId="12" priority="1" operator="equal">
      <formula>$Z$17</formula>
    </cfRule>
  </conditionalFormatting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EFB58-90A7-4749-B332-CD45207CE782}">
  <dimension ref="A1:D15"/>
  <sheetViews>
    <sheetView workbookViewId="0">
      <selection activeCell="D16" sqref="D16"/>
    </sheetView>
  </sheetViews>
  <sheetFormatPr defaultRowHeight="15" x14ac:dyDescent="0.25"/>
  <cols>
    <col min="2" max="2" width="9.85546875" bestFit="1" customWidth="1"/>
    <col min="3" max="3" width="11.85546875" customWidth="1"/>
    <col min="4" max="4" width="13.85546875" customWidth="1"/>
  </cols>
  <sheetData>
    <row r="1" spans="1:4" ht="16.5" thickBot="1" x14ac:dyDescent="0.3">
      <c r="A1" s="170"/>
      <c r="B1" s="170"/>
      <c r="C1" s="161" t="s">
        <v>104</v>
      </c>
      <c r="D1" s="169"/>
    </row>
    <row r="2" spans="1:4" ht="16.5" thickBot="1" x14ac:dyDescent="0.3">
      <c r="A2" s="168" t="s">
        <v>103</v>
      </c>
      <c r="B2" s="168" t="s">
        <v>102</v>
      </c>
      <c r="C2" s="167">
        <v>0.2</v>
      </c>
      <c r="D2" s="167">
        <v>0.5</v>
      </c>
    </row>
    <row r="3" spans="1:4" ht="15.75" x14ac:dyDescent="0.25">
      <c r="A3" s="165">
        <v>1</v>
      </c>
      <c r="B3" s="165">
        <v>1</v>
      </c>
      <c r="C3" s="166"/>
      <c r="D3" s="166"/>
    </row>
    <row r="4" spans="1:4" ht="15.75" x14ac:dyDescent="0.25">
      <c r="A4" s="165">
        <v>2</v>
      </c>
      <c r="B4" s="165">
        <v>2</v>
      </c>
      <c r="C4" s="164">
        <v>1</v>
      </c>
      <c r="D4" s="164">
        <v>1</v>
      </c>
    </row>
    <row r="5" spans="1:4" ht="15.75" x14ac:dyDescent="0.25">
      <c r="A5" s="165">
        <v>3</v>
      </c>
      <c r="B5" s="165">
        <v>3</v>
      </c>
      <c r="C5" s="164">
        <f t="shared" ref="C5:C14" si="0">(1-$C$2)*C4+$C$2*B4</f>
        <v>1.2000000000000002</v>
      </c>
      <c r="D5" s="164">
        <f t="shared" ref="D5:D14" si="1">(1-$D$2)*C4+$D$2*B4</f>
        <v>1.5</v>
      </c>
    </row>
    <row r="6" spans="1:4" ht="15.75" x14ac:dyDescent="0.25">
      <c r="A6" s="165">
        <v>4</v>
      </c>
      <c r="B6" s="165">
        <v>4</v>
      </c>
      <c r="C6" s="164">
        <f t="shared" si="0"/>
        <v>1.5600000000000003</v>
      </c>
      <c r="D6" s="164">
        <f t="shared" si="1"/>
        <v>2.1</v>
      </c>
    </row>
    <row r="7" spans="1:4" ht="15.75" x14ac:dyDescent="0.25">
      <c r="A7" s="165">
        <v>5</v>
      </c>
      <c r="B7" s="165">
        <v>5</v>
      </c>
      <c r="C7" s="164">
        <f t="shared" si="0"/>
        <v>2.048</v>
      </c>
      <c r="D7" s="164">
        <f t="shared" si="1"/>
        <v>2.7800000000000002</v>
      </c>
    </row>
    <row r="8" spans="1:4" ht="15.75" x14ac:dyDescent="0.25">
      <c r="A8" s="165">
        <v>6</v>
      </c>
      <c r="B8" s="165">
        <v>6</v>
      </c>
      <c r="C8" s="164">
        <f t="shared" si="0"/>
        <v>2.6383999999999999</v>
      </c>
      <c r="D8" s="164">
        <f t="shared" si="1"/>
        <v>3.524</v>
      </c>
    </row>
    <row r="9" spans="1:4" ht="15.75" x14ac:dyDescent="0.25">
      <c r="A9" s="165">
        <v>7</v>
      </c>
      <c r="B9" s="165">
        <v>7</v>
      </c>
      <c r="C9" s="164">
        <f t="shared" si="0"/>
        <v>3.3107200000000003</v>
      </c>
      <c r="D9" s="164">
        <f t="shared" si="1"/>
        <v>4.3192000000000004</v>
      </c>
    </row>
    <row r="10" spans="1:4" ht="15.75" x14ac:dyDescent="0.25">
      <c r="A10" s="165">
        <v>8</v>
      </c>
      <c r="B10" s="165">
        <v>8</v>
      </c>
      <c r="C10" s="164">
        <f t="shared" si="0"/>
        <v>4.0485760000000006</v>
      </c>
      <c r="D10" s="164">
        <f t="shared" si="1"/>
        <v>5.1553599999999999</v>
      </c>
    </row>
    <row r="11" spans="1:4" ht="15.75" x14ac:dyDescent="0.25">
      <c r="A11" s="165">
        <v>9</v>
      </c>
      <c r="B11" s="165">
        <v>9</v>
      </c>
      <c r="C11" s="164">
        <f t="shared" si="0"/>
        <v>4.8388608000000009</v>
      </c>
      <c r="D11" s="164">
        <f t="shared" si="1"/>
        <v>6.0242880000000003</v>
      </c>
    </row>
    <row r="12" spans="1:4" ht="15.75" x14ac:dyDescent="0.25">
      <c r="A12" s="165">
        <v>10</v>
      </c>
      <c r="B12" s="165">
        <v>10</v>
      </c>
      <c r="C12" s="164">
        <f t="shared" si="0"/>
        <v>5.6710886400000007</v>
      </c>
      <c r="D12" s="164">
        <f t="shared" si="1"/>
        <v>6.9194304000000004</v>
      </c>
    </row>
    <row r="13" spans="1:4" ht="15.75" x14ac:dyDescent="0.25">
      <c r="A13" s="165">
        <v>11</v>
      </c>
      <c r="B13" s="165">
        <v>11</v>
      </c>
      <c r="C13" s="164">
        <f t="shared" si="0"/>
        <v>6.5368709120000004</v>
      </c>
      <c r="D13" s="164">
        <f t="shared" si="1"/>
        <v>7.8355443200000003</v>
      </c>
    </row>
    <row r="14" spans="1:4" ht="16.5" thickBot="1" x14ac:dyDescent="0.3">
      <c r="A14" s="163">
        <v>12</v>
      </c>
      <c r="B14" s="163">
        <v>12</v>
      </c>
      <c r="C14" s="162">
        <f t="shared" si="0"/>
        <v>7.4294967296000012</v>
      </c>
      <c r="D14" s="162">
        <f t="shared" si="1"/>
        <v>8.7684354560000006</v>
      </c>
    </row>
    <row r="15" spans="1:4" ht="15.75" x14ac:dyDescent="0.25">
      <c r="C15" s="161" t="s">
        <v>101</v>
      </c>
      <c r="D15" s="161" t="s">
        <v>100</v>
      </c>
    </row>
  </sheetData>
  <pageMargins left="0.7" right="0.7" top="0.75" bottom="0.75" header="0.3" footer="0.3"/>
  <pageSetup orientation="portrait" horizontalDpi="200" verticalDpi="200" copies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310A0-B6C8-48D0-ADB2-41247699636E}">
  <sheetPr>
    <tabColor rgb="FFFFFF00"/>
  </sheetPr>
  <dimension ref="A1:AD61"/>
  <sheetViews>
    <sheetView zoomScale="77" zoomScaleNormal="77" workbookViewId="0">
      <selection activeCell="B9" sqref="B9:B36"/>
    </sheetView>
  </sheetViews>
  <sheetFormatPr defaultColWidth="9.140625" defaultRowHeight="15.75" x14ac:dyDescent="0.25"/>
  <cols>
    <col min="1" max="1" width="9.140625" style="173"/>
    <col min="2" max="2" width="9.85546875" style="173" bestFit="1" customWidth="1"/>
    <col min="3" max="3" width="20" style="173" bestFit="1" customWidth="1"/>
    <col min="4" max="4" width="9.42578125" style="173" bestFit="1" customWidth="1"/>
    <col min="5" max="5" width="17.5703125" style="174" bestFit="1" customWidth="1"/>
    <col min="6" max="6" width="12.42578125" style="174" bestFit="1" customWidth="1"/>
    <col min="7" max="7" width="12.7109375" style="174" bestFit="1" customWidth="1"/>
    <col min="8" max="8" width="13.7109375" style="174" bestFit="1" customWidth="1"/>
    <col min="9" max="9" width="12.42578125" style="174" bestFit="1" customWidth="1"/>
    <col min="10" max="10" width="8" style="174" bestFit="1" customWidth="1"/>
    <col min="11" max="11" width="13.28515625" style="174" bestFit="1" customWidth="1"/>
    <col min="12" max="12" width="11.42578125" style="174" customWidth="1"/>
    <col min="13" max="13" width="15.42578125" style="173" bestFit="1" customWidth="1"/>
    <col min="14" max="14" width="9.140625" style="173"/>
    <col min="15" max="15" width="13.42578125" style="173" bestFit="1" customWidth="1"/>
    <col min="16" max="16" width="14.7109375" style="173" bestFit="1" customWidth="1"/>
    <col min="17" max="16384" width="9.140625" style="173"/>
  </cols>
  <sheetData>
    <row r="1" spans="1:26" ht="16.5" thickBot="1" x14ac:dyDescent="0.3">
      <c r="A1" s="173" t="s">
        <v>135</v>
      </c>
      <c r="E1" s="173"/>
      <c r="F1" s="173"/>
      <c r="G1" s="173"/>
      <c r="H1" s="173"/>
      <c r="I1" s="173" t="s">
        <v>43</v>
      </c>
      <c r="J1" s="210">
        <v>0.58084717029428956</v>
      </c>
      <c r="K1"/>
      <c r="L1" s="173"/>
      <c r="M1" s="184"/>
      <c r="N1" s="174"/>
      <c r="O1" s="173" t="s">
        <v>112</v>
      </c>
      <c r="P1" s="174" t="s">
        <v>111</v>
      </c>
      <c r="Q1" s="174" t="s">
        <v>110</v>
      </c>
    </row>
    <row r="2" spans="1:26" x14ac:dyDescent="0.25">
      <c r="A2" s="173" t="s">
        <v>109</v>
      </c>
      <c r="E2" s="173"/>
      <c r="F2" s="173"/>
      <c r="G2" s="173"/>
      <c r="H2" s="173"/>
      <c r="I2" s="173" t="s">
        <v>57</v>
      </c>
      <c r="J2" s="209">
        <v>0.83825157420564289</v>
      </c>
      <c r="K2"/>
      <c r="L2" s="173"/>
      <c r="N2" s="174">
        <v>0</v>
      </c>
      <c r="O2" s="173">
        <v>0</v>
      </c>
      <c r="P2" s="174">
        <v>5</v>
      </c>
      <c r="Q2" s="174">
        <v>-5</v>
      </c>
    </row>
    <row r="3" spans="1:26" x14ac:dyDescent="0.25">
      <c r="A3" s="173" t="s">
        <v>134</v>
      </c>
      <c r="E3" s="173"/>
      <c r="F3" s="173"/>
      <c r="G3" s="173"/>
      <c r="H3" s="173"/>
      <c r="I3" s="173"/>
      <c r="J3" s="173"/>
      <c r="K3" s="173"/>
      <c r="L3" s="173"/>
      <c r="N3" s="174">
        <v>50</v>
      </c>
      <c r="O3" s="173">
        <v>0</v>
      </c>
      <c r="P3" s="174">
        <v>5</v>
      </c>
      <c r="Q3" s="174">
        <v>-5</v>
      </c>
    </row>
    <row r="4" spans="1:26" x14ac:dyDescent="0.25">
      <c r="A4" s="173" t="s">
        <v>108</v>
      </c>
      <c r="E4" s="173"/>
      <c r="F4" s="173"/>
      <c r="G4" s="173"/>
      <c r="H4" s="173"/>
      <c r="I4" s="173"/>
      <c r="J4" s="173"/>
      <c r="K4" s="173"/>
      <c r="L4"/>
      <c r="N4"/>
    </row>
    <row r="5" spans="1:26" x14ac:dyDescent="0.25">
      <c r="E5" s="173"/>
      <c r="F5" s="173"/>
      <c r="G5" s="173"/>
      <c r="H5" s="173"/>
      <c r="I5" s="173"/>
      <c r="J5" s="173"/>
      <c r="K5" s="173"/>
      <c r="L5" s="173"/>
      <c r="N5" s="173">
        <v>0.55000000000000004</v>
      </c>
      <c r="O5" s="173">
        <v>0.75</v>
      </c>
      <c r="P5" s="173">
        <v>0.01</v>
      </c>
    </row>
    <row r="6" spans="1:26" x14ac:dyDescent="0.25">
      <c r="K6" s="173"/>
      <c r="M6" s="174"/>
      <c r="N6" s="173">
        <v>0.01</v>
      </c>
    </row>
    <row r="7" spans="1:26" ht="16.5" x14ac:dyDescent="0.3">
      <c r="A7" s="174" t="s">
        <v>69</v>
      </c>
      <c r="B7" s="183" t="s">
        <v>0</v>
      </c>
      <c r="C7" s="173" t="s">
        <v>19</v>
      </c>
      <c r="D7" s="173" t="s">
        <v>136</v>
      </c>
      <c r="E7" s="175" t="s">
        <v>107</v>
      </c>
      <c r="F7" s="175" t="s">
        <v>106</v>
      </c>
      <c r="G7" s="175" t="s">
        <v>2</v>
      </c>
      <c r="H7" s="175" t="s">
        <v>39</v>
      </c>
      <c r="I7" s="175" t="s">
        <v>105</v>
      </c>
      <c r="J7" s="175" t="s">
        <v>1</v>
      </c>
      <c r="K7" s="175" t="s">
        <v>41</v>
      </c>
      <c r="L7" s="175" t="s">
        <v>42</v>
      </c>
      <c r="M7" s="174" t="s">
        <v>8</v>
      </c>
    </row>
    <row r="8" spans="1:26" x14ac:dyDescent="0.25">
      <c r="A8" s="173">
        <v>0</v>
      </c>
      <c r="C8" s="173">
        <f>B9</f>
        <v>21</v>
      </c>
      <c r="D8" s="173">
        <f>(B36-B9)/(A36-1)</f>
        <v>2.4814814814814814</v>
      </c>
      <c r="E8" s="173"/>
      <c r="F8" s="173"/>
      <c r="M8" s="174"/>
      <c r="O8" s="187">
        <f>K36</f>
        <v>6.0385065901810728</v>
      </c>
      <c r="P8">
        <f>O5</f>
        <v>0.75</v>
      </c>
      <c r="Q8">
        <f t="shared" ref="Q8:Z8" si="0">P8+$P$5</f>
        <v>0.76</v>
      </c>
      <c r="R8">
        <f t="shared" si="0"/>
        <v>0.77</v>
      </c>
      <c r="S8">
        <f t="shared" si="0"/>
        <v>0.78</v>
      </c>
      <c r="T8">
        <f t="shared" si="0"/>
        <v>0.79</v>
      </c>
      <c r="U8">
        <f t="shared" si="0"/>
        <v>0.8</v>
      </c>
      <c r="V8">
        <f t="shared" si="0"/>
        <v>0.81</v>
      </c>
      <c r="W8">
        <f t="shared" si="0"/>
        <v>0.82000000000000006</v>
      </c>
      <c r="X8">
        <f t="shared" si="0"/>
        <v>0.83000000000000007</v>
      </c>
      <c r="Y8">
        <f t="shared" si="0"/>
        <v>0.84000000000000008</v>
      </c>
      <c r="Z8">
        <f t="shared" si="0"/>
        <v>0.85000000000000009</v>
      </c>
    </row>
    <row r="9" spans="1:26" ht="16.5" x14ac:dyDescent="0.3">
      <c r="A9" s="182">
        <v>1</v>
      </c>
      <c r="B9" s="208">
        <f>'2.ExpoSmoo'!B8</f>
        <v>21</v>
      </c>
      <c r="C9" s="173">
        <f t="shared" ref="C9:C36" si="1">(1-$J$1)*E9+$J$1*B9</f>
        <v>22.040119984825282</v>
      </c>
      <c r="D9" s="173">
        <f t="shared" ref="D9:D36" si="2">(1-$J$2)*D8+$J$2*(C9-C8)</f>
        <v>1.2732579379100204</v>
      </c>
      <c r="E9" s="178">
        <f t="shared" ref="E9:E36" si="3">C8+D8</f>
        <v>23.481481481481481</v>
      </c>
      <c r="F9" s="178">
        <f t="shared" ref="F9:F36" si="4">B9-E9</f>
        <v>-2.481481481481481</v>
      </c>
      <c r="G9" s="177">
        <f t="shared" ref="G9:G36" si="5">ABS(F9)</f>
        <v>2.481481481481481</v>
      </c>
      <c r="H9" s="177">
        <f t="shared" ref="H9:H36" si="6">F9^2</f>
        <v>6.1577503429355254</v>
      </c>
      <c r="I9" s="177">
        <f t="shared" ref="I9:I36" si="7">IFERROR(G9/B9,"")</f>
        <v>0.11816578483245148</v>
      </c>
      <c r="J9" s="177">
        <f>AVERAGE(G$9:G9)</f>
        <v>2.481481481481481</v>
      </c>
      <c r="K9" s="177">
        <f>AVERAGE(H$9:H9)</f>
        <v>6.1577503429355254</v>
      </c>
      <c r="L9" s="177">
        <f>AVERAGE(I$9:I9)</f>
        <v>0.11816578483245148</v>
      </c>
      <c r="M9" s="179">
        <f>SUM(F$9:F9)/J9</f>
        <v>-1</v>
      </c>
      <c r="O9">
        <f>N5</f>
        <v>0.55000000000000004</v>
      </c>
      <c r="P9">
        <f t="dataTable" ref="P9:Z19" dt2D="1" dtr="1" r1="J2" r2="J1"/>
        <v>6.1331326332983389</v>
      </c>
      <c r="Q9">
        <v>6.1220479179160607</v>
      </c>
      <c r="R9" s="173">
        <v>6.1117611945387651</v>
      </c>
      <c r="S9" s="173">
        <v>6.1022574498032753</v>
      </c>
      <c r="T9" s="173">
        <v>6.0935223006305135</v>
      </c>
      <c r="U9" s="173">
        <v>6.0855419854189696</v>
      </c>
      <c r="V9" s="173">
        <v>6.0783033539501927</v>
      </c>
      <c r="W9" s="173">
        <v>6.0717938556960354</v>
      </c>
      <c r="X9" s="173">
        <v>6.0660015263263558</v>
      </c>
      <c r="Y9" s="173">
        <v>6.0609149723072671</v>
      </c>
      <c r="Z9" s="173">
        <v>6.0565233535588998</v>
      </c>
    </row>
    <row r="10" spans="1:26" ht="16.5" x14ac:dyDescent="0.3">
      <c r="A10" s="182">
        <v>2</v>
      </c>
      <c r="B10" s="208">
        <f>'2.ExpoSmoo'!B9</f>
        <v>28</v>
      </c>
      <c r="C10" s="173">
        <f t="shared" si="1"/>
        <v>26.035589094553249</v>
      </c>
      <c r="D10" s="173">
        <f t="shared" si="2"/>
        <v>3.5551557380066017</v>
      </c>
      <c r="E10" s="178">
        <f t="shared" si="3"/>
        <v>23.313377922735302</v>
      </c>
      <c r="F10" s="178">
        <f t="shared" si="4"/>
        <v>4.6866220772646976</v>
      </c>
      <c r="G10" s="177">
        <f t="shared" si="5"/>
        <v>4.6866220772646976</v>
      </c>
      <c r="H10" s="177">
        <f t="shared" si="6"/>
        <v>21.96442649510487</v>
      </c>
      <c r="I10" s="177">
        <f t="shared" si="7"/>
        <v>0.16737935990231062</v>
      </c>
      <c r="J10" s="177">
        <f>AVERAGE(G$9:G10)</f>
        <v>3.5840517793730893</v>
      </c>
      <c r="K10" s="177">
        <f>AVERAGE(H$9:H10)</f>
        <v>14.061088419020198</v>
      </c>
      <c r="L10" s="177">
        <f>AVERAGE(I$9:I10)</f>
        <v>0.14277257236738106</v>
      </c>
      <c r="M10" s="179">
        <f>SUM(F$9:F10)/J10</f>
        <v>0.61526471477734412</v>
      </c>
      <c r="O10">
        <f t="shared" ref="O10:O19" si="8">O9+$N$6</f>
        <v>0.56000000000000005</v>
      </c>
      <c r="P10">
        <v>6.1064408721603467</v>
      </c>
      <c r="Q10">
        <v>6.0969417489312736</v>
      </c>
      <c r="R10" s="173">
        <v>6.0882377285857805</v>
      </c>
      <c r="S10" s="173">
        <v>6.0803142863005561</v>
      </c>
      <c r="T10" s="173">
        <v>6.0731575258556054</v>
      </c>
      <c r="U10" s="173">
        <v>6.0667541644862926</v>
      </c>
      <c r="V10" s="173">
        <v>6.0610915166251305</v>
      </c>
      <c r="W10" s="173">
        <v>6.0561574763183463</v>
      </c>
      <c r="X10" s="173">
        <v>6.0519404981939404</v>
      </c>
      <c r="Y10" s="173">
        <v>6.0484295769339838</v>
      </c>
      <c r="Z10" s="173">
        <v>6.0456142252682818</v>
      </c>
    </row>
    <row r="11" spans="1:26" ht="16.5" x14ac:dyDescent="0.3">
      <c r="A11" s="182">
        <v>3</v>
      </c>
      <c r="B11" s="208">
        <f>'2.ExpoSmoo'!B10</f>
        <v>32</v>
      </c>
      <c r="C11" s="173">
        <f t="shared" si="1"/>
        <v>30.990153879084353</v>
      </c>
      <c r="D11" s="173">
        <f t="shared" si="2"/>
        <v>4.7282125742133836</v>
      </c>
      <c r="E11" s="178">
        <f t="shared" si="3"/>
        <v>29.590744832559849</v>
      </c>
      <c r="F11" s="178">
        <f t="shared" si="4"/>
        <v>2.4092551674401506</v>
      </c>
      <c r="G11" s="177">
        <f t="shared" si="5"/>
        <v>2.4092551674401506</v>
      </c>
      <c r="H11" s="177">
        <f t="shared" si="6"/>
        <v>5.8045104618370678</v>
      </c>
      <c r="I11" s="177">
        <f t="shared" si="7"/>
        <v>7.5289223982504705E-2</v>
      </c>
      <c r="J11" s="177">
        <f>AVERAGE(G$9:G11)</f>
        <v>3.1924529087287765</v>
      </c>
      <c r="K11" s="177">
        <f>AVERAGE(H$9:H11)</f>
        <v>11.308895766625822</v>
      </c>
      <c r="L11" s="177">
        <f>AVERAGE(I$9:I11)</f>
        <v>0.12027812290575561</v>
      </c>
      <c r="M11" s="179">
        <f>SUM(F$9:F11)/J11</f>
        <v>1.4454076207691982</v>
      </c>
      <c r="O11">
        <f t="shared" si="8"/>
        <v>0.57000000000000006</v>
      </c>
      <c r="P11">
        <v>6.0848333459192334</v>
      </c>
      <c r="Q11">
        <v>6.0769177245502535</v>
      </c>
      <c r="R11" s="173">
        <v>6.0697948795778158</v>
      </c>
      <c r="S11" s="173">
        <v>6.0634507092314696</v>
      </c>
      <c r="T11" s="173">
        <v>6.0578717279577265</v>
      </c>
      <c r="U11" s="173">
        <v>6.05304504593503</v>
      </c>
      <c r="V11" s="173">
        <v>6.048958347739644</v>
      </c>
      <c r="W11" s="173">
        <v>6.0455998700199221</v>
      </c>
      <c r="X11" s="173">
        <v>6.0429583781123961</v>
      </c>
      <c r="Y11" s="173">
        <v>6.0410231415955087</v>
      </c>
      <c r="Z11" s="173">
        <v>6.0397839088287828</v>
      </c>
    </row>
    <row r="12" spans="1:26" ht="16.5" x14ac:dyDescent="0.3">
      <c r="A12" s="182">
        <v>4</v>
      </c>
      <c r="B12" s="208">
        <f>'2.ExpoSmoo'!B11</f>
        <v>34</v>
      </c>
      <c r="C12" s="173">
        <f t="shared" si="1"/>
        <v>34.720258161371106</v>
      </c>
      <c r="D12" s="173">
        <f t="shared" si="2"/>
        <v>3.8915467272781799</v>
      </c>
      <c r="E12" s="178">
        <f t="shared" si="3"/>
        <v>35.718366453297733</v>
      </c>
      <c r="F12" s="178">
        <f t="shared" si="4"/>
        <v>-1.7183664532977332</v>
      </c>
      <c r="G12" s="177">
        <f t="shared" si="5"/>
        <v>1.7183664532977332</v>
      </c>
      <c r="H12" s="177">
        <f t="shared" si="6"/>
        <v>2.9527832678190307</v>
      </c>
      <c r="I12" s="177">
        <f t="shared" si="7"/>
        <v>5.0540189802874502E-2</v>
      </c>
      <c r="J12" s="177">
        <f>AVERAGE(G$9:G12)</f>
        <v>2.8239312948710156</v>
      </c>
      <c r="K12" s="177">
        <f>AVERAGE(H$9:H12)</f>
        <v>9.2198676419241234</v>
      </c>
      <c r="L12" s="177">
        <f>AVERAGE(I$9:I12)</f>
        <v>0.10284363963003533</v>
      </c>
      <c r="M12" s="179">
        <f>SUM(F$9:F12)/J12</f>
        <v>1.025531079734683</v>
      </c>
      <c r="O12">
        <f t="shared" si="8"/>
        <v>0.58000000000000007</v>
      </c>
      <c r="P12">
        <v>6.0681314969110884</v>
      </c>
      <c r="Q12">
        <v>6.0617974770762384</v>
      </c>
      <c r="R12" s="173">
        <v>6.0562542548903648</v>
      </c>
      <c r="S12" s="173">
        <v>6.0514880791705519</v>
      </c>
      <c r="T12" s="173">
        <v>6.0474857947008989</v>
      </c>
      <c r="U12" s="173">
        <v>6.0442348174261031</v>
      </c>
      <c r="V12" s="173">
        <v>6.0417231091076218</v>
      </c>
      <c r="W12" s="173">
        <v>6.0399391513523382</v>
      </c>
      <c r="X12" s="173">
        <v>6.0388719189866444</v>
      </c>
      <c r="Y12" s="173">
        <v>6.0385108527990949</v>
      </c>
      <c r="Z12" s="173">
        <v>6.0388458317165279</v>
      </c>
    </row>
    <row r="13" spans="1:26" ht="16.5" x14ac:dyDescent="0.3">
      <c r="A13" s="182">
        <v>5</v>
      </c>
      <c r="B13" s="208">
        <f>'2.ExpoSmoo'!B12</f>
        <v>36</v>
      </c>
      <c r="C13" s="173">
        <f t="shared" si="1"/>
        <v>37.094745409716552</v>
      </c>
      <c r="D13" s="173">
        <f t="shared" si="2"/>
        <v>2.6198692308992229</v>
      </c>
      <c r="E13" s="178">
        <f t="shared" si="3"/>
        <v>38.611804888649289</v>
      </c>
      <c r="F13" s="178">
        <f t="shared" si="4"/>
        <v>-2.6118048886492886</v>
      </c>
      <c r="G13" s="177">
        <f t="shared" si="5"/>
        <v>2.6118048886492886</v>
      </c>
      <c r="H13" s="177">
        <f t="shared" si="6"/>
        <v>6.821524776372323</v>
      </c>
      <c r="I13" s="177">
        <f t="shared" si="7"/>
        <v>7.255013579581357E-2</v>
      </c>
      <c r="J13" s="177">
        <f>AVERAGE(G$9:G13)</f>
        <v>2.7815060136266703</v>
      </c>
      <c r="K13" s="177">
        <f>AVERAGE(H$9:H13)</f>
        <v>8.7401990688137623</v>
      </c>
      <c r="L13" s="177">
        <f>AVERAGE(I$9:I13)</f>
        <v>9.6784938863190978E-2</v>
      </c>
      <c r="M13" s="179">
        <f>SUM(F$9:F13)/J13</f>
        <v>0.10218364435810046</v>
      </c>
      <c r="O13">
        <f t="shared" si="8"/>
        <v>0.59000000000000008</v>
      </c>
      <c r="P13">
        <v>6.0561676015099568</v>
      </c>
      <c r="Q13">
        <v>6.051413263108806</v>
      </c>
      <c r="R13" s="173">
        <v>6.0474479129135057</v>
      </c>
      <c r="S13" s="173">
        <v>6.0442580768629197</v>
      </c>
      <c r="T13" s="173">
        <v>6.0418308513014312</v>
      </c>
      <c r="U13" s="173">
        <v>6.0401538748357604</v>
      </c>
      <c r="V13" s="173">
        <v>6.0392152999904019</v>
      </c>
      <c r="W13" s="173">
        <v>6.0390037646080428</v>
      </c>
      <c r="X13" s="173">
        <v>6.0395083629931232</v>
      </c>
      <c r="Y13" s="173">
        <v>6.0407186168372951</v>
      </c>
      <c r="Z13" s="173">
        <v>6.0426244459978511</v>
      </c>
    </row>
    <row r="14" spans="1:26" ht="16.5" x14ac:dyDescent="0.3">
      <c r="A14" s="182">
        <v>6</v>
      </c>
      <c r="B14" s="208">
        <f>'2.ExpoSmoo'!B13</f>
        <v>37</v>
      </c>
      <c r="C14" s="173">
        <f t="shared" si="1"/>
        <v>38.137838408174659</v>
      </c>
      <c r="D14" s="173">
        <f t="shared" si="2"/>
        <v>1.2981340718854146</v>
      </c>
      <c r="E14" s="178">
        <f t="shared" si="3"/>
        <v>39.714614640615778</v>
      </c>
      <c r="F14" s="178">
        <f t="shared" si="4"/>
        <v>-2.7146146406157783</v>
      </c>
      <c r="G14" s="177">
        <f t="shared" si="5"/>
        <v>2.7146146406157783</v>
      </c>
      <c r="H14" s="177">
        <f t="shared" si="6"/>
        <v>7.3691326470455314</v>
      </c>
      <c r="I14" s="177">
        <f t="shared" si="7"/>
        <v>7.3367963259885899E-2</v>
      </c>
      <c r="J14" s="177">
        <f>AVERAGE(G$9:G14)</f>
        <v>2.7703574514581883</v>
      </c>
      <c r="K14" s="177">
        <f>AVERAGE(H$9:H14)</f>
        <v>8.5116879985190579</v>
      </c>
      <c r="L14" s="177">
        <f>AVERAGE(I$9:I14)</f>
        <v>9.2882109595973469E-2</v>
      </c>
      <c r="M14" s="179">
        <f>SUM(F$9:F14)/J14</f>
        <v>-0.87728398299655796</v>
      </c>
      <c r="O14">
        <f t="shared" si="8"/>
        <v>0.60000000000000009</v>
      </c>
      <c r="P14">
        <v>6.0487848568598706</v>
      </c>
      <c r="Q14">
        <v>6.0456082096694175</v>
      </c>
      <c r="R14" s="173">
        <v>6.0432187742243739</v>
      </c>
      <c r="S14" s="173">
        <v>6.0416032838745632</v>
      </c>
      <c r="T14" s="173">
        <v>6.0407490137407462</v>
      </c>
      <c r="U14" s="173">
        <v>6.0406437501597328</v>
      </c>
      <c r="V14" s="173">
        <v>6.0412757602687792</v>
      </c>
      <c r="W14" s="173">
        <v>6.0426337617000181</v>
      </c>
      <c r="X14" s="173">
        <v>6.0447068923965954</v>
      </c>
      <c r="Y14" s="173">
        <v>6.0474846805962157</v>
      </c>
      <c r="Z14" s="173">
        <v>6.0509570150513721</v>
      </c>
    </row>
    <row r="15" spans="1:26" ht="16.5" x14ac:dyDescent="0.3">
      <c r="A15" s="182">
        <v>7</v>
      </c>
      <c r="B15" s="208">
        <f>'2.ExpoSmoo'!B14</f>
        <v>39</v>
      </c>
      <c r="C15" s="173">
        <f t="shared" si="1"/>
        <v>39.182739098690995</v>
      </c>
      <c r="D15" s="173">
        <f t="shared" si="2"/>
        <v>1.0858607913113665</v>
      </c>
      <c r="E15" s="178">
        <f t="shared" si="3"/>
        <v>39.435972480060073</v>
      </c>
      <c r="F15" s="178">
        <f t="shared" si="4"/>
        <v>-0.43597248006007305</v>
      </c>
      <c r="G15" s="177">
        <f t="shared" si="5"/>
        <v>0.43597248006007305</v>
      </c>
      <c r="H15" s="177">
        <f t="shared" si="6"/>
        <v>0.19007200336973079</v>
      </c>
      <c r="I15" s="177">
        <f t="shared" si="7"/>
        <v>1.1178781540001874E-2</v>
      </c>
      <c r="J15" s="177">
        <f>AVERAGE(G$9:G15)</f>
        <v>2.4368738841156001</v>
      </c>
      <c r="K15" s="177">
        <f>AVERAGE(H$9:H15)</f>
        <v>7.3228857134977252</v>
      </c>
      <c r="L15" s="177">
        <f>AVERAGE(I$9:I15)</f>
        <v>8.1210205587977521E-2</v>
      </c>
      <c r="M15" s="179">
        <f>SUM(F$9:F15)/J15</f>
        <v>-1.1762458115224856</v>
      </c>
      <c r="O15">
        <f t="shared" si="8"/>
        <v>0.6100000000000001</v>
      </c>
      <c r="P15">
        <v>6.0458377233080736</v>
      </c>
      <c r="Q15">
        <v>6.0442367959931165</v>
      </c>
      <c r="R15" s="173">
        <v>6.0434212454101157</v>
      </c>
      <c r="S15" s="173">
        <v>6.043377950024726</v>
      </c>
      <c r="T15" s="173">
        <v>6.0440943002878971</v>
      </c>
      <c r="U15" s="173">
        <v>6.0455581665165843</v>
      </c>
      <c r="V15" s="173">
        <v>6.0477578672456556</v>
      </c>
      <c r="W15" s="173">
        <v>6.0506821380354054</v>
      </c>
      <c r="X15" s="173">
        <v>6.0543201007524159</v>
      </c>
      <c r="Y15" s="173">
        <v>6.0586612333687944</v>
      </c>
      <c r="Z15" s="173">
        <v>6.0636953403423863</v>
      </c>
    </row>
    <row r="16" spans="1:26" ht="16.5" x14ac:dyDescent="0.3">
      <c r="A16" s="182">
        <v>8</v>
      </c>
      <c r="B16" s="208">
        <f>'2.ExpoSmoo'!B15</f>
        <v>40</v>
      </c>
      <c r="C16" s="173">
        <f t="shared" si="1"/>
        <v>40.112584403953136</v>
      </c>
      <c r="D16" s="173">
        <f t="shared" si="2"/>
        <v>0.95508056453014478</v>
      </c>
      <c r="E16" s="178">
        <f t="shared" si="3"/>
        <v>40.268599890002363</v>
      </c>
      <c r="F16" s="178">
        <f t="shared" si="4"/>
        <v>-0.2685998900023634</v>
      </c>
      <c r="G16" s="177">
        <f t="shared" si="5"/>
        <v>0.2685998900023634</v>
      </c>
      <c r="H16" s="177">
        <f t="shared" si="6"/>
        <v>7.2145900909281718E-2</v>
      </c>
      <c r="I16" s="177">
        <f t="shared" si="7"/>
        <v>6.7149972500590849E-3</v>
      </c>
      <c r="J16" s="177">
        <f>AVERAGE(G$9:G16)</f>
        <v>2.1658396348514457</v>
      </c>
      <c r="K16" s="177">
        <f>AVERAGE(H$9:H16)</f>
        <v>6.4165432369241699</v>
      </c>
      <c r="L16" s="177">
        <f>AVERAGE(I$9:I16)</f>
        <v>7.1898304545737715E-2</v>
      </c>
      <c r="M16" s="179">
        <f>SUM(F$9:F16)/J16</f>
        <v>-1.4474583154522866</v>
      </c>
      <c r="O16">
        <f t="shared" si="8"/>
        <v>0.62000000000000011</v>
      </c>
      <c r="P16">
        <v>6.0471924256158527</v>
      </c>
      <c r="Q16">
        <v>6.0471654722979968</v>
      </c>
      <c r="R16" s="173">
        <v>6.0479219557506223</v>
      </c>
      <c r="S16" s="173">
        <v>6.0494488473770014</v>
      </c>
      <c r="T16" s="173">
        <v>6.0517336012438046</v>
      </c>
      <c r="U16" s="173">
        <v>6.0547641211577039</v>
      </c>
      <c r="V16" s="173">
        <v>6.0585287285259488</v>
      </c>
      <c r="W16" s="173">
        <v>6.0630161309916941</v>
      </c>
      <c r="X16" s="173">
        <v>6.0682153918618127</v>
      </c>
      <c r="Y16" s="173">
        <v>6.0741159003656309</v>
      </c>
      <c r="Z16" s="173">
        <v>6.0807073427983989</v>
      </c>
    </row>
    <row r="17" spans="1:30" ht="16.5" x14ac:dyDescent="0.3">
      <c r="A17" s="182">
        <v>9</v>
      </c>
      <c r="B17" s="208">
        <f>'2.ExpoSmoo'!B16</f>
        <v>40</v>
      </c>
      <c r="C17" s="173">
        <f t="shared" si="1"/>
        <v>40.447514792717428</v>
      </c>
      <c r="D17" s="173">
        <f t="shared" si="2"/>
        <v>0.43523870345051241</v>
      </c>
      <c r="E17" s="178">
        <f t="shared" si="3"/>
        <v>41.067664968483278</v>
      </c>
      <c r="F17" s="178">
        <f t="shared" si="4"/>
        <v>-1.0676649684832782</v>
      </c>
      <c r="G17" s="177">
        <f t="shared" si="5"/>
        <v>1.0676649684832782</v>
      </c>
      <c r="H17" s="177">
        <f t="shared" si="6"/>
        <v>1.1399084849263994</v>
      </c>
      <c r="I17" s="177">
        <f t="shared" si="7"/>
        <v>2.6691624212081953E-2</v>
      </c>
      <c r="J17" s="177">
        <f>AVERAGE(G$9:G17)</f>
        <v>2.0438202274772048</v>
      </c>
      <c r="K17" s="177">
        <f>AVERAGE(H$9:H17)</f>
        <v>5.8302504867021954</v>
      </c>
      <c r="L17" s="177">
        <f>AVERAGE(I$9:I17)</f>
        <v>6.6875340064220412E-2</v>
      </c>
      <c r="M17" s="179">
        <f>SUM(F$9:F17)/J17</f>
        <v>-2.0562608694174012</v>
      </c>
      <c r="O17">
        <f t="shared" si="8"/>
        <v>0.63000000000000012</v>
      </c>
      <c r="P17">
        <v>6.0527275336626749</v>
      </c>
      <c r="Q17">
        <v>6.054273335914659</v>
      </c>
      <c r="R17" s="173">
        <v>6.056600527369107</v>
      </c>
      <c r="S17" s="173">
        <v>6.0596961321769225</v>
      </c>
      <c r="T17" s="173">
        <v>6.0635476296198929</v>
      </c>
      <c r="U17" s="173">
        <v>6.0681429210512912</v>
      </c>
      <c r="V17" s="173">
        <v>6.0734702979081234</v>
      </c>
      <c r="W17" s="173">
        <v>6.0795184107858473</v>
      </c>
      <c r="X17" s="173">
        <v>6.0862762395886758</v>
      </c>
      <c r="Y17" s="173">
        <v>6.0937330647848835</v>
      </c>
      <c r="Z17" s="173">
        <v>6.1018784398080816</v>
      </c>
    </row>
    <row r="18" spans="1:30" ht="16.5" x14ac:dyDescent="0.3">
      <c r="A18" s="182">
        <v>10</v>
      </c>
      <c r="B18" s="208">
        <f>'2.ExpoSmoo'!B17</f>
        <v>40</v>
      </c>
      <c r="C18" s="173">
        <f t="shared" si="1"/>
        <v>40.370008625851405</v>
      </c>
      <c r="D18" s="173">
        <f t="shared" si="2"/>
        <v>5.4295087418085169E-3</v>
      </c>
      <c r="E18" s="178">
        <f t="shared" si="3"/>
        <v>40.882753496167943</v>
      </c>
      <c r="F18" s="178">
        <f t="shared" si="4"/>
        <v>-0.8827534961679433</v>
      </c>
      <c r="G18" s="177">
        <f t="shared" si="5"/>
        <v>0.8827534961679433</v>
      </c>
      <c r="H18" s="177">
        <f t="shared" si="6"/>
        <v>0.77925373499672712</v>
      </c>
      <c r="I18" s="177">
        <f t="shared" si="7"/>
        <v>2.2068837404198582E-2</v>
      </c>
      <c r="J18" s="177">
        <f>AVERAGE(G$9:G18)</f>
        <v>1.9277135543462787</v>
      </c>
      <c r="K18" s="177">
        <f>AVERAGE(H$9:H18)</f>
        <v>5.3251508115316488</v>
      </c>
      <c r="L18" s="177">
        <f>AVERAGE(I$9:I18)</f>
        <v>6.2394689798218231E-2</v>
      </c>
      <c r="M18" s="179">
        <f>SUM(F$9:F18)/J18</f>
        <v>-2.6380377118724114</v>
      </c>
      <c r="O18">
        <f t="shared" si="8"/>
        <v>0.64000000000000012</v>
      </c>
      <c r="P18">
        <v>6.0623345597426015</v>
      </c>
      <c r="Q18">
        <v>6.0654528025447672</v>
      </c>
      <c r="R18" s="173">
        <v>6.0693503177516224</v>
      </c>
      <c r="S18" s="173">
        <v>6.0740141552236411</v>
      </c>
      <c r="T18" s="173">
        <v>6.0794317952654877</v>
      </c>
      <c r="U18" s="173">
        <v>6.0855911160061984</v>
      </c>
      <c r="V18" s="173">
        <v>6.0924803621089998</v>
      </c>
      <c r="W18" s="173">
        <v>6.100088114797404</v>
      </c>
      <c r="X18" s="173">
        <v>6.1084032632024323</v>
      </c>
      <c r="Y18" s="173">
        <v>6.1174149770496058</v>
      </c>
      <c r="Z18" s="173">
        <v>6.1271126807117549</v>
      </c>
    </row>
    <row r="19" spans="1:30" ht="16.5" x14ac:dyDescent="0.3">
      <c r="A19" s="182">
        <v>11</v>
      </c>
      <c r="B19" s="208">
        <f>'2.ExpoSmoo'!B18</f>
        <v>41</v>
      </c>
      <c r="C19" s="173">
        <f t="shared" si="1"/>
        <v>40.738213126788466</v>
      </c>
      <c r="D19" s="173">
        <f t="shared" si="2"/>
        <v>0.30952621703191885</v>
      </c>
      <c r="E19" s="178">
        <f t="shared" si="3"/>
        <v>40.37543813459321</v>
      </c>
      <c r="F19" s="178">
        <f t="shared" si="4"/>
        <v>0.62456186540678971</v>
      </c>
      <c r="G19" s="177">
        <f t="shared" si="5"/>
        <v>0.62456186540678971</v>
      </c>
      <c r="H19" s="177">
        <f t="shared" si="6"/>
        <v>0.39007752372040888</v>
      </c>
      <c r="I19" s="177">
        <f t="shared" si="7"/>
        <v>1.5233216229433895E-2</v>
      </c>
      <c r="J19" s="177">
        <f>AVERAGE(G$9:G19)</f>
        <v>1.8092452189881434</v>
      </c>
      <c r="K19" s="177">
        <f>AVERAGE(H$9:H19)</f>
        <v>4.8765077853669903</v>
      </c>
      <c r="L19" s="177">
        <f>AVERAGE(I$9:I19)</f>
        <v>5.8107283110146922E-2</v>
      </c>
      <c r="M19" s="179">
        <f>SUM(F$9:F19)/J19</f>
        <v>-2.465569145536338</v>
      </c>
      <c r="O19">
        <f t="shared" si="8"/>
        <v>0.65000000000000013</v>
      </c>
      <c r="P19">
        <v>6.0759185242819447</v>
      </c>
      <c r="Q19">
        <v>6.0806102258275079</v>
      </c>
      <c r="R19" s="173">
        <v>6.0860790895452714</v>
      </c>
      <c r="S19" s="173">
        <v>6.0923121776842182</v>
      </c>
      <c r="T19" s="173">
        <v>6.0992969619063695</v>
      </c>
      <c r="U19" s="173">
        <v>6.1070212915911481</v>
      </c>
      <c r="V19" s="173">
        <v>6.1154733636944982</v>
      </c>
      <c r="W19" s="173">
        <v>6.1246416941429578</v>
      </c>
      <c r="X19" s="173">
        <v>6.1345150907567243</v>
      </c>
      <c r="Y19" s="173">
        <v>6.1450826277076303</v>
      </c>
      <c r="Z19" s="173">
        <v>6.1563336215229674</v>
      </c>
    </row>
    <row r="20" spans="1:30" ht="16.5" x14ac:dyDescent="0.3">
      <c r="A20" s="182">
        <v>12</v>
      </c>
      <c r="B20" s="208">
        <f>'2.ExpoSmoo'!B19</f>
        <v>43</v>
      </c>
      <c r="C20" s="173">
        <f t="shared" si="1"/>
        <v>42.181704421639189</v>
      </c>
      <c r="D20" s="173">
        <f t="shared" si="2"/>
        <v>1.260074228607756</v>
      </c>
      <c r="E20" s="178">
        <f t="shared" si="3"/>
        <v>41.047739343820382</v>
      </c>
      <c r="F20" s="178">
        <f t="shared" si="4"/>
        <v>1.9522606561796181</v>
      </c>
      <c r="G20" s="177">
        <f t="shared" si="5"/>
        <v>1.9522606561796181</v>
      </c>
      <c r="H20" s="177">
        <f t="shared" si="6"/>
        <v>3.811321669666873</v>
      </c>
      <c r="I20" s="177">
        <f t="shared" si="7"/>
        <v>4.5401410608828324E-2</v>
      </c>
      <c r="J20" s="177">
        <f>AVERAGE(G$9:G20)</f>
        <v>1.8211631720874328</v>
      </c>
      <c r="K20" s="177">
        <f>AVERAGE(H$9:H20)</f>
        <v>4.7877422757253143</v>
      </c>
      <c r="L20" s="177">
        <f>AVERAGE(I$9:I20)</f>
        <v>5.70484604017037E-2</v>
      </c>
      <c r="M20" s="179">
        <f>SUM(F$9:F20)/J20</f>
        <v>-1.3774485290032259</v>
      </c>
      <c r="O20"/>
    </row>
    <row r="21" spans="1:30" ht="16.5" x14ac:dyDescent="0.3">
      <c r="A21" s="182">
        <v>13</v>
      </c>
      <c r="B21" s="208">
        <f>'2.ExpoSmoo'!B20</f>
        <v>44</v>
      </c>
      <c r="C21" s="173">
        <f t="shared" si="1"/>
        <v>43.766019941648864</v>
      </c>
      <c r="D21" s="173">
        <f t="shared" si="2"/>
        <v>1.5318700015478848</v>
      </c>
      <c r="E21" s="178">
        <f t="shared" si="3"/>
        <v>43.441778650246945</v>
      </c>
      <c r="F21" s="178">
        <f t="shared" si="4"/>
        <v>0.5582213497530546</v>
      </c>
      <c r="G21" s="177">
        <f t="shared" si="5"/>
        <v>0.5582213497530546</v>
      </c>
      <c r="H21" s="177">
        <f t="shared" si="6"/>
        <v>0.31161107532012211</v>
      </c>
      <c r="I21" s="177">
        <f t="shared" si="7"/>
        <v>1.2686848858023968E-2</v>
      </c>
      <c r="J21" s="177">
        <f>AVERAGE(G$9:G21)</f>
        <v>1.7240138011386346</v>
      </c>
      <c r="K21" s="177">
        <f>AVERAGE(H$9:H21)</f>
        <v>4.443424491078761</v>
      </c>
      <c r="L21" s="177">
        <f>AVERAGE(I$9:I21)</f>
        <v>5.363602874449757E-2</v>
      </c>
      <c r="M21" s="179">
        <f>SUM(F$9:F21)/J21</f>
        <v>-1.1312770126466025</v>
      </c>
      <c r="O21"/>
      <c r="P21">
        <f>MIN(P9:Z19)</f>
        <v>6.0385108527990949</v>
      </c>
      <c r="Q21"/>
      <c r="R21"/>
      <c r="S21"/>
      <c r="T21"/>
      <c r="U21"/>
      <c r="V21"/>
      <c r="W21"/>
      <c r="X21"/>
      <c r="Y21"/>
      <c r="Z21"/>
      <c r="AA21"/>
    </row>
    <row r="22" spans="1:30" ht="16.5" x14ac:dyDescent="0.3">
      <c r="A22" s="182">
        <v>14</v>
      </c>
      <c r="B22" s="208">
        <f>'2.ExpoSmoo'!B21</f>
        <v>44</v>
      </c>
      <c r="C22" s="173">
        <f t="shared" si="1"/>
        <v>44.544014242337497</v>
      </c>
      <c r="D22" s="173">
        <f t="shared" si="2"/>
        <v>0.8999325085472345</v>
      </c>
      <c r="E22" s="178">
        <f t="shared" si="3"/>
        <v>45.297889943196751</v>
      </c>
      <c r="F22" s="178">
        <f t="shared" si="4"/>
        <v>-1.2978899431967506</v>
      </c>
      <c r="G22" s="177">
        <f t="shared" si="5"/>
        <v>1.2978899431967506</v>
      </c>
      <c r="H22" s="177">
        <f t="shared" si="6"/>
        <v>1.6845183046512644</v>
      </c>
      <c r="I22" s="177">
        <f t="shared" si="7"/>
        <v>2.9497498709017057E-2</v>
      </c>
      <c r="J22" s="177">
        <f>AVERAGE(G$9:G22)</f>
        <v>1.6935763827142143</v>
      </c>
      <c r="K22" s="177">
        <f>AVERAGE(H$9:H22)</f>
        <v>4.2463597634767973</v>
      </c>
      <c r="L22" s="177">
        <f>AVERAGE(I$9:I22)</f>
        <v>5.191184802767753E-2</v>
      </c>
      <c r="M22" s="179">
        <f>SUM(F$9:F22)/J22</f>
        <v>-1.9179690736502832</v>
      </c>
      <c r="O22"/>
      <c r="Q22"/>
    </row>
    <row r="23" spans="1:30" ht="16.5" x14ac:dyDescent="0.3">
      <c r="A23" s="182">
        <v>15</v>
      </c>
      <c r="B23" s="208">
        <f>'2.ExpoSmoo'!B22</f>
        <v>45</v>
      </c>
      <c r="C23" s="173">
        <f t="shared" si="1"/>
        <v>45.186081536871995</v>
      </c>
      <c r="D23" s="173">
        <f t="shared" si="2"/>
        <v>0.68377658696818389</v>
      </c>
      <c r="E23" s="178">
        <f t="shared" si="3"/>
        <v>45.443946750884734</v>
      </c>
      <c r="F23" s="178">
        <f t="shared" si="4"/>
        <v>-0.44394675088473434</v>
      </c>
      <c r="G23" s="177">
        <f t="shared" si="5"/>
        <v>0.44394675088473434</v>
      </c>
      <c r="H23" s="177">
        <f t="shared" si="6"/>
        <v>0.19708871762111238</v>
      </c>
      <c r="I23" s="177">
        <f t="shared" si="7"/>
        <v>9.865483352994097E-3</v>
      </c>
      <c r="J23" s="177">
        <f>AVERAGE(G$9:G23)</f>
        <v>1.610267740592249</v>
      </c>
      <c r="K23" s="177">
        <f>AVERAGE(H$9:H23)</f>
        <v>3.9764083604197515</v>
      </c>
      <c r="L23" s="177">
        <f>AVERAGE(I$9:I23)</f>
        <v>4.9108757049365306E-2</v>
      </c>
      <c r="M23" s="179">
        <f>SUM(F$9:F23)/J23</f>
        <v>-2.2928943949638767</v>
      </c>
      <c r="O23"/>
      <c r="P23"/>
      <c r="Q23"/>
    </row>
    <row r="24" spans="1:30" ht="16.5" x14ac:dyDescent="0.3">
      <c r="A24" s="182">
        <v>16</v>
      </c>
      <c r="B24" s="208">
        <f>'2.ExpoSmoo'!B23</f>
        <v>46</v>
      </c>
      <c r="C24" s="173">
        <f t="shared" si="1"/>
        <v>45.945450664344399</v>
      </c>
      <c r="D24" s="173">
        <f t="shared" si="2"/>
        <v>0.74714215304404996</v>
      </c>
      <c r="E24" s="178">
        <f t="shared" si="3"/>
        <v>45.869858123840181</v>
      </c>
      <c r="F24" s="178">
        <f t="shared" si="4"/>
        <v>0.13014187615981854</v>
      </c>
      <c r="G24" s="177">
        <f t="shared" si="5"/>
        <v>0.13014187615981854</v>
      </c>
      <c r="H24" s="177">
        <f t="shared" si="6"/>
        <v>1.6936907930397545E-2</v>
      </c>
      <c r="I24" s="177">
        <f t="shared" si="7"/>
        <v>2.8291712208656202E-3</v>
      </c>
      <c r="J24" s="177">
        <f>AVERAGE(G$9:G24)</f>
        <v>1.5177598740652221</v>
      </c>
      <c r="K24" s="177">
        <f>AVERAGE(H$9:H24)</f>
        <v>3.728941394639167</v>
      </c>
      <c r="L24" s="177">
        <f>AVERAGE(I$9:I24)</f>
        <v>4.621628293508407E-2</v>
      </c>
      <c r="M24" s="179">
        <f>SUM(F$9:F24)/J24</f>
        <v>-2.3469008909127513</v>
      </c>
      <c r="O24"/>
      <c r="P24"/>
      <c r="Q24"/>
    </row>
    <row r="25" spans="1:30" ht="16.5" x14ac:dyDescent="0.3">
      <c r="A25" s="182">
        <v>17</v>
      </c>
      <c r="B25" s="208">
        <f>'2.ExpoSmoo'!B24</f>
        <v>48</v>
      </c>
      <c r="C25" s="173">
        <f t="shared" si="1"/>
        <v>47.451996579830798</v>
      </c>
      <c r="D25" s="173">
        <f t="shared" si="2"/>
        <v>1.3837135523690369</v>
      </c>
      <c r="E25" s="178">
        <f t="shared" si="3"/>
        <v>46.692592817388451</v>
      </c>
      <c r="F25" s="178">
        <f t="shared" si="4"/>
        <v>1.3074071826115485</v>
      </c>
      <c r="G25" s="177">
        <f t="shared" si="5"/>
        <v>1.3074071826115485</v>
      </c>
      <c r="H25" s="177">
        <f t="shared" si="6"/>
        <v>1.709313541144267</v>
      </c>
      <c r="I25" s="177">
        <f t="shared" si="7"/>
        <v>2.7237649637740596E-2</v>
      </c>
      <c r="J25" s="177">
        <f>AVERAGE(G$9:G25)</f>
        <v>1.505386186332653</v>
      </c>
      <c r="K25" s="177">
        <f>AVERAGE(H$9:H25)</f>
        <v>3.6101397561982904</v>
      </c>
      <c r="L25" s="177">
        <f>AVERAGE(I$9:I25)</f>
        <v>4.5099892741122687E-2</v>
      </c>
      <c r="M25" s="179">
        <f>SUM(F$9:F25)/J25</f>
        <v>-1.4977052655945722</v>
      </c>
    </row>
    <row r="26" spans="1:30" ht="16.5" x14ac:dyDescent="0.3">
      <c r="A26" s="182">
        <v>18</v>
      </c>
      <c r="B26" s="208">
        <f>'2.ExpoSmoo'!B25</f>
        <v>50</v>
      </c>
      <c r="C26" s="173">
        <f t="shared" si="1"/>
        <v>49.511984607313877</v>
      </c>
      <c r="D26" s="173">
        <f t="shared" si="2"/>
        <v>1.950601695728478</v>
      </c>
      <c r="E26" s="178">
        <f t="shared" si="3"/>
        <v>48.835710132199836</v>
      </c>
      <c r="F26" s="178">
        <f t="shared" si="4"/>
        <v>1.1642898678001643</v>
      </c>
      <c r="G26" s="177">
        <f t="shared" si="5"/>
        <v>1.1642898678001643</v>
      </c>
      <c r="H26" s="177">
        <f t="shared" si="6"/>
        <v>1.355570896262124</v>
      </c>
      <c r="I26" s="177">
        <f t="shared" si="7"/>
        <v>2.3285797356003286E-2</v>
      </c>
      <c r="J26" s="177">
        <f>AVERAGE(G$9:G26)</f>
        <v>1.4864363908586258</v>
      </c>
      <c r="K26" s="177">
        <f>AVERAGE(H$9:H26)</f>
        <v>3.4848859306462812</v>
      </c>
      <c r="L26" s="177">
        <f>AVERAGE(I$9:I26)</f>
        <v>4.3887998553060498E-2</v>
      </c>
      <c r="M26" s="179">
        <f>SUM(F$9:F26)/J26</f>
        <v>-0.73352277765062013</v>
      </c>
    </row>
    <row r="27" spans="1:30" ht="16.5" x14ac:dyDescent="0.3">
      <c r="A27" s="182">
        <v>19</v>
      </c>
      <c r="B27" s="208">
        <f>'2.ExpoSmoo'!B26</f>
        <v>54</v>
      </c>
      <c r="C27" s="173">
        <f t="shared" si="1"/>
        <v>52.936435868786177</v>
      </c>
      <c r="D27" s="173">
        <f t="shared" si="2"/>
        <v>3.1860584143555393</v>
      </c>
      <c r="E27" s="178">
        <f t="shared" si="3"/>
        <v>51.462586303042357</v>
      </c>
      <c r="F27" s="178">
        <f t="shared" si="4"/>
        <v>2.5374136969576426</v>
      </c>
      <c r="G27" s="177">
        <f t="shared" si="5"/>
        <v>2.5374136969576426</v>
      </c>
      <c r="H27" s="177">
        <f t="shared" si="6"/>
        <v>6.4384682695082516</v>
      </c>
      <c r="I27" s="177">
        <f t="shared" si="7"/>
        <v>4.6989142536252644E-2</v>
      </c>
      <c r="J27" s="177">
        <f>AVERAGE(G$9:G27)</f>
        <v>1.5417509859164689</v>
      </c>
      <c r="K27" s="177">
        <f>AVERAGE(H$9:H27)</f>
        <v>3.6403376326916486</v>
      </c>
      <c r="L27" s="177">
        <f>AVERAGE(I$9:I27)</f>
        <v>4.4051216657439031E-2</v>
      </c>
      <c r="M27" s="179">
        <f>SUM(F$9:F27)/J27</f>
        <v>0.93859433848447849</v>
      </c>
    </row>
    <row r="28" spans="1:30" ht="16.5" x14ac:dyDescent="0.3">
      <c r="A28" s="182">
        <v>20</v>
      </c>
      <c r="B28" s="208">
        <f>'2.ExpoSmoo'!B27</f>
        <v>54</v>
      </c>
      <c r="C28" s="173">
        <f t="shared" si="1"/>
        <v>54.889649484813049</v>
      </c>
      <c r="D28" s="173">
        <f t="shared" si="2"/>
        <v>2.1526243214052956</v>
      </c>
      <c r="E28" s="178">
        <f t="shared" si="3"/>
        <v>56.12249428314172</v>
      </c>
      <c r="F28" s="178">
        <f t="shared" si="4"/>
        <v>-2.1224942831417195</v>
      </c>
      <c r="G28" s="177">
        <f t="shared" si="5"/>
        <v>2.1224942831417195</v>
      </c>
      <c r="H28" s="177">
        <f t="shared" si="6"/>
        <v>4.5049819819692818</v>
      </c>
      <c r="I28" s="177">
        <f t="shared" si="7"/>
        <v>3.9305449687809621E-2</v>
      </c>
      <c r="J28" s="177">
        <f>AVERAGE(G$9:G28)</f>
        <v>1.5707881507777315</v>
      </c>
      <c r="K28" s="177">
        <f>AVERAGE(H$9:H28)</f>
        <v>3.6835698501555298</v>
      </c>
      <c r="L28" s="177">
        <f>AVERAGE(I$9:I28)</f>
        <v>4.3813928308957563E-2</v>
      </c>
      <c r="M28" s="179">
        <f>SUM(F$9:F28)/J28</f>
        <v>-0.42998512312003745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ht="16.5" x14ac:dyDescent="0.3">
      <c r="A29" s="182">
        <v>21</v>
      </c>
      <c r="B29" s="208">
        <f>'2.ExpoSmoo'!B28</f>
        <v>55</v>
      </c>
      <c r="C29" s="173">
        <f t="shared" si="1"/>
        <v>55.856024844910273</v>
      </c>
      <c r="D29" s="173">
        <f t="shared" si="2"/>
        <v>1.1582492621889959</v>
      </c>
      <c r="E29" s="178">
        <f t="shared" si="3"/>
        <v>57.042273806218347</v>
      </c>
      <c r="F29" s="178">
        <f t="shared" si="4"/>
        <v>-2.042273806218347</v>
      </c>
      <c r="G29" s="177">
        <f t="shared" si="5"/>
        <v>2.042273806218347</v>
      </c>
      <c r="H29" s="177">
        <f t="shared" si="6"/>
        <v>4.1708822995655739</v>
      </c>
      <c r="I29" s="177">
        <f t="shared" si="7"/>
        <v>3.7132251022151765E-2</v>
      </c>
      <c r="J29" s="177">
        <f>AVERAGE(G$9:G29)</f>
        <v>1.5932398486558561</v>
      </c>
      <c r="K29" s="177">
        <f>AVERAGE(H$9:H29)</f>
        <v>3.7067752048893419</v>
      </c>
      <c r="L29" s="177">
        <f>AVERAGE(I$9:I29)</f>
        <v>4.3495753200062048E-2</v>
      </c>
      <c r="M29" s="179">
        <f>SUM(F$9:F29)/J29</f>
        <v>-1.7057628485245311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ht="16.5" x14ac:dyDescent="0.3">
      <c r="A30" s="182">
        <v>22</v>
      </c>
      <c r="B30" s="208">
        <f>'2.ExpoSmoo'!B29</f>
        <v>58</v>
      </c>
      <c r="C30" s="173">
        <f t="shared" si="1"/>
        <v>57.586830202676467</v>
      </c>
      <c r="D30" s="173">
        <f t="shared" si="2"/>
        <v>1.6381953106276186</v>
      </c>
      <c r="E30" s="178">
        <f t="shared" si="3"/>
        <v>57.014274107099268</v>
      </c>
      <c r="F30" s="178">
        <f t="shared" si="4"/>
        <v>0.98572589290073154</v>
      </c>
      <c r="G30" s="177">
        <f t="shared" si="5"/>
        <v>0.98572589290073154</v>
      </c>
      <c r="H30" s="177">
        <f t="shared" si="6"/>
        <v>0.97165553593494447</v>
      </c>
      <c r="I30" s="177">
        <f t="shared" si="7"/>
        <v>1.6995274015529853E-2</v>
      </c>
      <c r="J30" s="177">
        <f>AVERAGE(G$9:G30)</f>
        <v>1.5656255779397141</v>
      </c>
      <c r="K30" s="177">
        <f>AVERAGE(H$9:H30)</f>
        <v>3.5824515835732327</v>
      </c>
      <c r="L30" s="177">
        <f>AVERAGE(I$9:I30)</f>
        <v>4.2291185964401491E-2</v>
      </c>
      <c r="M30" s="179">
        <f>SUM(F$9:F30)/J30</f>
        <v>-1.1062437112227386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customFormat="1" ht="16.5" x14ac:dyDescent="0.3">
      <c r="A31" s="182">
        <v>23</v>
      </c>
      <c r="B31" s="208">
        <f>'2.ExpoSmoo'!B30</f>
        <v>60</v>
      </c>
      <c r="C31" s="173">
        <f t="shared" si="1"/>
        <v>59.675167250951674</v>
      </c>
      <c r="D31" s="173">
        <f t="shared" si="2"/>
        <v>2.015527330826373</v>
      </c>
      <c r="E31" s="178">
        <f t="shared" si="3"/>
        <v>59.225025513304082</v>
      </c>
      <c r="F31" s="178">
        <f t="shared" si="4"/>
        <v>0.77497448669591762</v>
      </c>
      <c r="G31" s="177">
        <f t="shared" si="5"/>
        <v>0.77497448669591762</v>
      </c>
      <c r="H31" s="177">
        <f t="shared" si="6"/>
        <v>0.60058545502960103</v>
      </c>
      <c r="I31" s="177">
        <f t="shared" si="7"/>
        <v>1.291624144493196E-2</v>
      </c>
      <c r="J31" s="177">
        <f>AVERAGE(G$9:G31)</f>
        <v>1.5312494435378099</v>
      </c>
      <c r="K31" s="177">
        <f>AVERAGE(H$9:H31)</f>
        <v>3.4528052301582921</v>
      </c>
      <c r="L31" s="177">
        <f>AVERAGE(I$9:I31)</f>
        <v>4.1014014463554994E-2</v>
      </c>
      <c r="M31" s="179">
        <f>SUM(F$9:F31)/J31</f>
        <v>-0.62497261113664304</v>
      </c>
    </row>
    <row r="32" spans="1:30" customFormat="1" ht="16.5" x14ac:dyDescent="0.3">
      <c r="A32" s="182">
        <v>24</v>
      </c>
      <c r="B32" s="208">
        <f>'2.ExpoSmoo'!B31</f>
        <v>63</v>
      </c>
      <c r="C32" s="173">
        <f t="shared" si="1"/>
        <v>62.451200929003249</v>
      </c>
      <c r="D32" s="173">
        <f t="shared" si="2"/>
        <v>2.6530229735812823</v>
      </c>
      <c r="E32" s="178">
        <f t="shared" si="3"/>
        <v>61.690694581778047</v>
      </c>
      <c r="F32" s="178">
        <f t="shared" si="4"/>
        <v>1.3093054182219532</v>
      </c>
      <c r="G32" s="177">
        <f t="shared" si="5"/>
        <v>1.3093054182219532</v>
      </c>
      <c r="H32" s="177">
        <f t="shared" si="6"/>
        <v>1.7142806781853639</v>
      </c>
      <c r="I32" s="177">
        <f t="shared" si="7"/>
        <v>2.0782625686062751E-2</v>
      </c>
      <c r="J32" s="177">
        <f>AVERAGE(G$9:G32)</f>
        <v>1.5220017758163158</v>
      </c>
      <c r="K32" s="177">
        <f>AVERAGE(H$9:H32)</f>
        <v>3.3803667071594199</v>
      </c>
      <c r="L32" s="177">
        <f>AVERAGE(I$9:I32)</f>
        <v>4.0171039931159482E-2</v>
      </c>
      <c r="M32" s="179">
        <f>SUM(F$9:F32)/J32</f>
        <v>0.2314822891738309</v>
      </c>
    </row>
    <row r="33" spans="1:13" customFormat="1" ht="16.5" x14ac:dyDescent="0.3">
      <c r="A33" s="182">
        <v>25</v>
      </c>
      <c r="B33" s="208">
        <f>'2.ExpoSmoo'!B32</f>
        <v>70</v>
      </c>
      <c r="C33" s="173">
        <f t="shared" si="1"/>
        <v>67.947921595162725</v>
      </c>
      <c r="D33" s="173">
        <f t="shared" si="2"/>
        <v>5.0367570409499081</v>
      </c>
      <c r="E33" s="178">
        <f t="shared" si="3"/>
        <v>65.104223902584536</v>
      </c>
      <c r="F33" s="178">
        <f t="shared" si="4"/>
        <v>4.8957760974154638</v>
      </c>
      <c r="G33" s="177">
        <f t="shared" si="5"/>
        <v>4.8957760974154638</v>
      </c>
      <c r="H33" s="177">
        <f t="shared" si="6"/>
        <v>23.968623596024589</v>
      </c>
      <c r="I33" s="177">
        <f t="shared" si="7"/>
        <v>6.9939658534506621E-2</v>
      </c>
      <c r="J33" s="177">
        <f>AVERAGE(G$9:G33)</f>
        <v>1.6569527486802818</v>
      </c>
      <c r="K33" s="177">
        <f>AVERAGE(H$9:H33)</f>
        <v>4.2038969827140269</v>
      </c>
      <c r="L33" s="177">
        <f>AVERAGE(I$9:I33)</f>
        <v>4.1361784675293362E-2</v>
      </c>
      <c r="M33" s="179">
        <f>SUM(F$9:F33)/J33</f>
        <v>3.1673157588760601</v>
      </c>
    </row>
    <row r="34" spans="1:13" customFormat="1" ht="16.5" x14ac:dyDescent="0.3">
      <c r="A34" s="182">
        <v>26</v>
      </c>
      <c r="B34" s="208">
        <f>'2.ExpoSmoo'!B33</f>
        <v>70</v>
      </c>
      <c r="C34" s="173">
        <f t="shared" si="1"/>
        <v>71.251036496088787</v>
      </c>
      <c r="D34" s="173">
        <f t="shared" si="2"/>
        <v>3.5835287879656792</v>
      </c>
      <c r="E34" s="178">
        <f t="shared" si="3"/>
        <v>72.984678636112633</v>
      </c>
      <c r="F34" s="178">
        <f t="shared" si="4"/>
        <v>-2.9846786361126334</v>
      </c>
      <c r="G34" s="177">
        <f t="shared" si="5"/>
        <v>2.9846786361126334</v>
      </c>
      <c r="H34" s="177">
        <f t="shared" si="6"/>
        <v>8.9083065608671692</v>
      </c>
      <c r="I34" s="177">
        <f t="shared" si="7"/>
        <v>4.263826623018048E-2</v>
      </c>
      <c r="J34" s="177">
        <f>AVERAGE(G$9:G34)</f>
        <v>1.7080191289661415</v>
      </c>
      <c r="K34" s="177">
        <f>AVERAGE(H$9:H34)</f>
        <v>4.3848358126429936</v>
      </c>
      <c r="L34" s="177">
        <f>AVERAGE(I$9:I34)</f>
        <v>4.1410880119712098E-2</v>
      </c>
      <c r="M34" s="179">
        <f>SUM(F$9:F34)/J34</f>
        <v>1.3251689504586897</v>
      </c>
    </row>
    <row r="35" spans="1:13" customFormat="1" ht="16.5" x14ac:dyDescent="0.3">
      <c r="A35" s="182">
        <v>27</v>
      </c>
      <c r="B35" s="208">
        <f>'2.ExpoSmoo'!B34</f>
        <v>82</v>
      </c>
      <c r="C35" s="173">
        <f t="shared" si="1"/>
        <v>78.996587762739892</v>
      </c>
      <c r="D35" s="173">
        <f t="shared" si="2"/>
        <v>7.0723506826030089</v>
      </c>
      <c r="E35" s="178">
        <f t="shared" si="3"/>
        <v>74.834565284054463</v>
      </c>
      <c r="F35" s="178">
        <f t="shared" si="4"/>
        <v>7.1654347159455369</v>
      </c>
      <c r="G35" s="177">
        <f t="shared" si="5"/>
        <v>7.1654347159455369</v>
      </c>
      <c r="H35" s="177">
        <f t="shared" si="6"/>
        <v>51.343454668477499</v>
      </c>
      <c r="I35" s="177">
        <f t="shared" si="7"/>
        <v>8.7383350194457768E-2</v>
      </c>
      <c r="J35" s="177">
        <f>AVERAGE(G$9:G35)</f>
        <v>1.9101456321876005</v>
      </c>
      <c r="K35" s="177">
        <f>AVERAGE(H$9:H35)</f>
        <v>6.1240439184146416</v>
      </c>
      <c r="L35" s="177">
        <f>AVERAGE(I$9:I35)</f>
        <v>4.3113564196554537E-2</v>
      </c>
      <c r="M35" s="179">
        <f>SUM(F$9:F35)/J35</f>
        <v>4.9361935935966015</v>
      </c>
    </row>
    <row r="36" spans="1:13" customFormat="1" ht="16.5" x14ac:dyDescent="0.3">
      <c r="A36" s="182">
        <v>28</v>
      </c>
      <c r="B36" s="208">
        <f>'2.ExpoSmoo'!B35</f>
        <v>88</v>
      </c>
      <c r="C36" s="173">
        <f t="shared" si="1"/>
        <v>87.190590085029555</v>
      </c>
      <c r="D36" s="173">
        <f t="shared" si="2"/>
        <v>8.0125769352806877</v>
      </c>
      <c r="E36" s="178">
        <f t="shared" si="3"/>
        <v>86.068938445342894</v>
      </c>
      <c r="F36" s="178">
        <f t="shared" si="4"/>
        <v>1.9310615546571057</v>
      </c>
      <c r="G36" s="177">
        <f t="shared" si="5"/>
        <v>1.9310615546571057</v>
      </c>
      <c r="H36" s="177">
        <f t="shared" si="6"/>
        <v>3.7289987278747181</v>
      </c>
      <c r="I36" s="177">
        <f t="shared" si="7"/>
        <v>2.1943881302921655E-2</v>
      </c>
      <c r="J36" s="177">
        <f>AVERAGE(G$9:G36)</f>
        <v>1.9108926294186543</v>
      </c>
      <c r="K36" s="177">
        <f>AVERAGE(H$9:H36)</f>
        <v>6.0385065901810728</v>
      </c>
      <c r="L36" s="177">
        <f>AVERAGE(I$9:I36)</f>
        <v>4.2357504093210499E-2</v>
      </c>
      <c r="M36" s="179">
        <f>SUM(F$9:F36)/J36</f>
        <v>5.9448186738540425</v>
      </c>
    </row>
    <row r="37" spans="1:13" customFormat="1" ht="15" x14ac:dyDescent="0.25"/>
    <row r="38" spans="1:13" customFormat="1" ht="15" x14ac:dyDescent="0.25"/>
    <row r="39" spans="1:13" customFormat="1" ht="15" x14ac:dyDescent="0.25"/>
    <row r="40" spans="1:13" customFormat="1" ht="15" x14ac:dyDescent="0.25"/>
    <row r="41" spans="1:13" customFormat="1" ht="15" x14ac:dyDescent="0.25"/>
    <row r="42" spans="1:13" customFormat="1" ht="15" x14ac:dyDescent="0.25"/>
    <row r="43" spans="1:13" customFormat="1" ht="15" x14ac:dyDescent="0.25"/>
    <row r="44" spans="1:13" customFormat="1" ht="15" x14ac:dyDescent="0.25"/>
    <row r="45" spans="1:13" customFormat="1" ht="15" x14ac:dyDescent="0.25"/>
    <row r="46" spans="1:13" customFormat="1" ht="15" x14ac:dyDescent="0.25"/>
    <row r="47" spans="1:13" customFormat="1" ht="15" x14ac:dyDescent="0.25"/>
    <row r="48" spans="1:13" customFormat="1" ht="15" x14ac:dyDescent="0.25"/>
    <row r="49" customFormat="1" ht="15" x14ac:dyDescent="0.25"/>
    <row r="50" customFormat="1" ht="15.75" customHeight="1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</sheetData>
  <conditionalFormatting sqref="P9:Z19">
    <cfRule type="cellIs" dxfId="11" priority="1" operator="equal">
      <formula>$P$21</formula>
    </cfRule>
    <cfRule type="cellIs" dxfId="10" priority="2" operator="equal">
      <formula>$O$21</formula>
    </cfRule>
  </conditionalFormatting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78"/>
  <sheetViews>
    <sheetView zoomScale="98" zoomScaleNormal="98" workbookViewId="0">
      <selection activeCell="J31" sqref="J31"/>
    </sheetView>
  </sheetViews>
  <sheetFormatPr defaultColWidth="9.140625" defaultRowHeight="12.75" x14ac:dyDescent="0.2"/>
  <cols>
    <col min="1" max="1" width="4.42578125" style="3" bestFit="1" customWidth="1"/>
    <col min="2" max="2" width="6.28515625" style="3" bestFit="1" customWidth="1"/>
    <col min="3" max="3" width="8.42578125" style="3" bestFit="1" customWidth="1"/>
    <col min="4" max="4" width="6.28515625" style="3" customWidth="1"/>
    <col min="5" max="6" width="8" style="3" bestFit="1" customWidth="1"/>
    <col min="7" max="7" width="7.140625" style="3" bestFit="1" customWidth="1"/>
    <col min="8" max="8" width="6.28515625" style="3" bestFit="1" customWidth="1"/>
    <col min="9" max="9" width="4.28515625" style="3" bestFit="1" customWidth="1"/>
    <col min="10" max="10" width="11.5703125" style="3" bestFit="1" customWidth="1"/>
    <col min="11" max="11" width="8" style="3" bestFit="1" customWidth="1"/>
    <col min="12" max="12" width="9.140625" style="3"/>
    <col min="13" max="13" width="6.42578125" style="3" customWidth="1"/>
    <col min="14" max="22" width="4" style="3" customWidth="1"/>
    <col min="23" max="16384" width="9.140625" style="3"/>
  </cols>
  <sheetData>
    <row r="1" spans="1:23" x14ac:dyDescent="0.2">
      <c r="A1" s="2" t="str">
        <f>[2]ArdiData!A2</f>
        <v>Per.</v>
      </c>
      <c r="B1" s="4" t="s">
        <v>7</v>
      </c>
      <c r="C1" s="18" t="s">
        <v>18</v>
      </c>
      <c r="D1" s="20" t="s">
        <v>17</v>
      </c>
      <c r="E1" s="20" t="s">
        <v>16</v>
      </c>
      <c r="F1" s="16" t="s">
        <v>3</v>
      </c>
      <c r="G1" s="16" t="s">
        <v>2</v>
      </c>
      <c r="H1" s="17" t="s">
        <v>1</v>
      </c>
      <c r="I1" s="17" t="s">
        <v>8</v>
      </c>
      <c r="J1" s="16" t="s">
        <v>13</v>
      </c>
      <c r="K1" s="16" t="s">
        <v>12</v>
      </c>
      <c r="L1" s="19" t="s">
        <v>15</v>
      </c>
      <c r="M1" s="15">
        <f>0.2</f>
        <v>0.2</v>
      </c>
      <c r="N1" s="3" t="str">
        <f>" F(next) ~ N ( "&amp;ROUND(E78,0)&amp;", "&amp;ROUND(1.25*H77,0)&amp;")"</f>
        <v xml:space="preserve"> F(next) ~ N ( 11080, 664)</v>
      </c>
      <c r="Q1" s="14"/>
    </row>
    <row r="2" spans="1:23" x14ac:dyDescent="0.2">
      <c r="A2" s="2">
        <v>0</v>
      </c>
      <c r="B2" s="4"/>
      <c r="C2" s="4">
        <f>INTERCEPT(B3:B77,A3:A77)</f>
        <v>971.1200942372725</v>
      </c>
      <c r="D2" s="4">
        <f>SLOPE(B3:B77,A3:A77)</f>
        <v>101.48836362296417</v>
      </c>
      <c r="E2" s="4"/>
      <c r="F2" s="16"/>
      <c r="G2" s="16"/>
      <c r="H2" s="17"/>
      <c r="I2" s="17"/>
      <c r="J2" s="16"/>
      <c r="K2" s="16"/>
      <c r="L2" s="19" t="s">
        <v>14</v>
      </c>
      <c r="M2" s="15">
        <v>0.6</v>
      </c>
      <c r="Q2" s="14"/>
    </row>
    <row r="3" spans="1:23" x14ac:dyDescent="0.2">
      <c r="A3" s="2">
        <f>[2]ArdiData!A3</f>
        <v>1</v>
      </c>
      <c r="B3" s="13">
        <v>1113.3499253558266</v>
      </c>
      <c r="C3" s="3">
        <f>(1-$M$1)*E3+$M$1*B3</f>
        <v>1080.7567513593549</v>
      </c>
      <c r="D3" s="13">
        <f>(1-$M$2)*D2+$M$2*(C3-C2)</f>
        <v>106.37733972243511</v>
      </c>
      <c r="E3" s="13">
        <f>C2+D2</f>
        <v>1072.6084578602367</v>
      </c>
      <c r="F3" s="12">
        <f t="shared" ref="F3:F34" si="0">B3-E3</f>
        <v>40.741467495589859</v>
      </c>
      <c r="G3" s="12">
        <f t="shared" ref="G3:G34" si="1">ABS(F3)</f>
        <v>40.741467495589859</v>
      </c>
      <c r="H3" s="10">
        <f>SUM(G$3:G3)/COUNT(G$3:G3)</f>
        <v>40.741467495589859</v>
      </c>
      <c r="I3" s="10">
        <f>SUM(F$3:F3)/H3</f>
        <v>1</v>
      </c>
      <c r="J3" s="11">
        <f>(F3-$F$78)^2</f>
        <v>30.869763613761691</v>
      </c>
      <c r="K3" s="10" t="str">
        <f>IFERROR(SQRT(SUM(J$3:J3)/(COUNT(J$3:J3)-1)),"")</f>
        <v/>
      </c>
    </row>
    <row r="4" spans="1:23" x14ac:dyDescent="0.2">
      <c r="A4" s="2">
        <f>[2]ArdiData!A4</f>
        <v>2</v>
      </c>
      <c r="B4" s="13">
        <v>1222.4509615075469</v>
      </c>
      <c r="C4" s="3">
        <f t="shared" ref="C4:C67" si="2">(1-$M$1)*E4+$M$1*B4</f>
        <v>1194.1974651669416</v>
      </c>
      <c r="D4" s="13">
        <f t="shared" ref="D4:D67" si="3">(1-$M$2)*D3+$M$2*(C4-C3)</f>
        <v>110.61536417352605</v>
      </c>
      <c r="E4" s="13">
        <f>C3+D3</f>
        <v>1187.1340910817901</v>
      </c>
      <c r="F4" s="12">
        <f t="shared" si="0"/>
        <v>35.316870425756861</v>
      </c>
      <c r="G4" s="12">
        <f t="shared" si="1"/>
        <v>35.316870425756861</v>
      </c>
      <c r="H4" s="10">
        <f>SUM(G$3:G4)/COUNT(G$3:G4)</f>
        <v>38.02916896067336</v>
      </c>
      <c r="I4" s="10">
        <f>SUM(F$3:F4)/H4</f>
        <v>2</v>
      </c>
      <c r="J4" s="11">
        <f t="shared" ref="J4:J34" si="4">(F4-$F$78)^2</f>
        <v>1.7281576635303535E-2</v>
      </c>
      <c r="K4" s="10">
        <f>IFERROR(SQRT(SUM(J$3:J4)/(COUNT(J$3:J4)-1)),"")</f>
        <v>5.5576114645049621</v>
      </c>
    </row>
    <row r="5" spans="1:23" x14ac:dyDescent="0.2">
      <c r="A5" s="2">
        <f>[2]ArdiData!A5</f>
        <v>3</v>
      </c>
      <c r="B5" s="13">
        <v>1815.9308993190284</v>
      </c>
      <c r="C5" s="3">
        <f t="shared" si="2"/>
        <v>1407.0364433361801</v>
      </c>
      <c r="D5" s="13">
        <f t="shared" si="3"/>
        <v>171.94953257095355</v>
      </c>
      <c r="E5" s="13">
        <f t="shared" ref="E5:E34" si="5">C4+D4</f>
        <v>1304.8128293404677</v>
      </c>
      <c r="F5" s="12">
        <f t="shared" si="0"/>
        <v>511.1180699785607</v>
      </c>
      <c r="G5" s="12">
        <f t="shared" si="1"/>
        <v>511.1180699785607</v>
      </c>
      <c r="H5" s="10">
        <f>SUM(G$3:G5)/COUNT(G$3:G5)</f>
        <v>195.72546929996915</v>
      </c>
      <c r="I5" s="10">
        <f>SUM(F$3:F5)/H5</f>
        <v>3</v>
      </c>
      <c r="J5" s="11">
        <f t="shared" si="4"/>
        <v>226511.89586797569</v>
      </c>
      <c r="K5" s="10">
        <f>IFERROR(SQRT(SUM(J$3:J5)/(COUNT(J$3:J5)-1)),"")</f>
        <v>336.55815464282404</v>
      </c>
      <c r="L5" s="14">
        <f>H77</f>
        <v>531.10353796997686</v>
      </c>
      <c r="M5" s="3">
        <v>0.1</v>
      </c>
      <c r="N5" s="3">
        <v>0.2</v>
      </c>
      <c r="O5" s="3">
        <v>0.30000000000000004</v>
      </c>
      <c r="P5" s="3">
        <v>0.4</v>
      </c>
      <c r="Q5" s="3">
        <v>0.5</v>
      </c>
      <c r="R5" s="3">
        <v>0.6</v>
      </c>
      <c r="S5" s="3">
        <v>0.70000000000000007</v>
      </c>
      <c r="T5" s="3">
        <v>0.8</v>
      </c>
      <c r="U5" s="3">
        <v>0.9</v>
      </c>
      <c r="V5" s="3">
        <v>1</v>
      </c>
    </row>
    <row r="6" spans="1:23" x14ac:dyDescent="0.2">
      <c r="A6" s="2">
        <f>[2]ArdiData!A6</f>
        <v>4</v>
      </c>
      <c r="B6" s="13">
        <v>1877.6018297269898</v>
      </c>
      <c r="C6" s="3">
        <f t="shared" si="2"/>
        <v>1638.7091466711051</v>
      </c>
      <c r="D6" s="13">
        <f t="shared" si="3"/>
        <v>207.78343502933643</v>
      </c>
      <c r="E6" s="13">
        <f t="shared" si="5"/>
        <v>1578.9859759071337</v>
      </c>
      <c r="F6" s="12">
        <f t="shared" si="0"/>
        <v>298.61585381985606</v>
      </c>
      <c r="G6" s="12">
        <f t="shared" si="1"/>
        <v>298.61585381985606</v>
      </c>
      <c r="H6" s="10">
        <f>SUM(G$3:G6)/COUNT(G$3:G6)</f>
        <v>221.44806542994087</v>
      </c>
      <c r="I6" s="10">
        <f>SUM(F$3:F6)/H6</f>
        <v>4</v>
      </c>
      <c r="J6" s="11">
        <f t="shared" si="4"/>
        <v>69395.598196279912</v>
      </c>
      <c r="K6" s="10">
        <f>IFERROR(SQRT(SUM(J$3:J6)/(COUNT(J$3:J6)-1)),"")</f>
        <v>314.07980997905929</v>
      </c>
      <c r="L6" s="3">
        <v>0.1</v>
      </c>
      <c r="M6" s="3">
        <f t="dataTable" ref="M6:V15" dt2D="1" dtr="1" r1="M2" r2="M1"/>
        <v>550.7351753519049</v>
      </c>
      <c r="N6" s="3">
        <v>545.92424087700158</v>
      </c>
      <c r="O6" s="3">
        <v>557.43466902979628</v>
      </c>
      <c r="P6" s="3">
        <v>557.64236708057092</v>
      </c>
      <c r="Q6" s="3">
        <v>563.28649969006585</v>
      </c>
      <c r="R6" s="3">
        <v>562.22811808778431</v>
      </c>
      <c r="S6" s="3">
        <v>559.16896274797932</v>
      </c>
      <c r="T6" s="3">
        <v>559.83016439210871</v>
      </c>
      <c r="U6" s="3">
        <v>558.71107452289846</v>
      </c>
      <c r="V6" s="3">
        <v>560.03685164011904</v>
      </c>
    </row>
    <row r="7" spans="1:23" x14ac:dyDescent="0.2">
      <c r="A7" s="2">
        <f>[2]ArdiData!A7</f>
        <v>5</v>
      </c>
      <c r="B7" s="13">
        <v>1437.7413264412648</v>
      </c>
      <c r="C7" s="3">
        <f t="shared" si="2"/>
        <v>1764.7423306486062</v>
      </c>
      <c r="D7" s="13">
        <f t="shared" si="3"/>
        <v>158.73328439823518</v>
      </c>
      <c r="E7" s="13">
        <f t="shared" si="5"/>
        <v>1846.4925817004416</v>
      </c>
      <c r="F7" s="12">
        <f t="shared" si="0"/>
        <v>-408.75125525917679</v>
      </c>
      <c r="G7" s="12">
        <f t="shared" si="1"/>
        <v>408.75125525917679</v>
      </c>
      <c r="H7" s="10">
        <f>SUM(G$3:G7)/COUNT(G$3:G7)</f>
        <v>258.90870339578805</v>
      </c>
      <c r="I7" s="10">
        <f>SUM(F$3:F7)/H7</f>
        <v>1.8425066450212937</v>
      </c>
      <c r="J7" s="11">
        <f t="shared" si="4"/>
        <v>197079.76366276905</v>
      </c>
      <c r="K7" s="10">
        <f>IFERROR(SQRT(SUM(J$3:J7)/(COUNT(J$3:J7)-1)),"")</f>
        <v>351.07625410023638</v>
      </c>
      <c r="L7" s="3">
        <v>0.2</v>
      </c>
      <c r="M7" s="3">
        <v>535.15569294378122</v>
      </c>
      <c r="N7" s="3">
        <v>535.63744464342676</v>
      </c>
      <c r="O7" s="3">
        <v>536.08731976931813</v>
      </c>
      <c r="P7" s="3">
        <v>533.70413206458261</v>
      </c>
      <c r="Q7" s="3">
        <v>532.62367141195762</v>
      </c>
      <c r="R7" s="3">
        <v>531.10353796997686</v>
      </c>
      <c r="S7" s="3">
        <v>533.24287404987786</v>
      </c>
      <c r="T7" s="3">
        <v>541.94221086328184</v>
      </c>
      <c r="U7" s="3">
        <v>549.46128033252398</v>
      </c>
      <c r="V7" s="3">
        <v>556.6429050993919</v>
      </c>
    </row>
    <row r="8" spans="1:23" x14ac:dyDescent="0.2">
      <c r="A8" s="2">
        <f>[2]ArdiData!A8</f>
        <v>6</v>
      </c>
      <c r="B8" s="13">
        <v>1885.961866319813</v>
      </c>
      <c r="C8" s="3">
        <f t="shared" si="2"/>
        <v>1915.9728653014358</v>
      </c>
      <c r="D8" s="13">
        <f t="shared" si="3"/>
        <v>154.23163455099186</v>
      </c>
      <c r="E8" s="13">
        <f t="shared" si="5"/>
        <v>1923.4756150468413</v>
      </c>
      <c r="F8" s="12">
        <f t="shared" si="0"/>
        <v>-37.513748727028315</v>
      </c>
      <c r="G8" s="12">
        <f t="shared" si="1"/>
        <v>37.513748727028315</v>
      </c>
      <c r="H8" s="10">
        <f>SUM(G$3:G8)/COUNT(G$3:G8)</f>
        <v>222.00954428432809</v>
      </c>
      <c r="I8" s="10">
        <f>SUM(F$3:F8)/H8</f>
        <v>1.9797673976153696</v>
      </c>
      <c r="J8" s="11">
        <f t="shared" si="4"/>
        <v>5285.1678272197551</v>
      </c>
      <c r="K8" s="10">
        <f>IFERROR(SQRT(SUM(J$3:J8)/(COUNT(J$3:J8)-1)),"")</f>
        <v>315.69077040655935</v>
      </c>
      <c r="L8" s="3">
        <v>0.30000000000000004</v>
      </c>
      <c r="M8" s="3">
        <v>543.09520094814889</v>
      </c>
      <c r="N8" s="3">
        <v>545.62183608204646</v>
      </c>
      <c r="O8" s="3">
        <v>544.97823929704634</v>
      </c>
      <c r="P8" s="3">
        <v>544.51515839904062</v>
      </c>
      <c r="Q8" s="3">
        <v>549.41713333705309</v>
      </c>
      <c r="R8" s="3">
        <v>556.07135002363407</v>
      </c>
      <c r="S8" s="3">
        <v>563.47059380355847</v>
      </c>
      <c r="T8" s="3">
        <v>570.83209042353212</v>
      </c>
      <c r="U8" s="3">
        <v>577.72406314779971</v>
      </c>
      <c r="V8" s="3">
        <v>586.8231899195498</v>
      </c>
    </row>
    <row r="9" spans="1:23" x14ac:dyDescent="0.2">
      <c r="A9" s="2">
        <f>[2]ArdiData!A9</f>
        <v>7</v>
      </c>
      <c r="B9" s="13">
        <v>1911.083953307721</v>
      </c>
      <c r="C9" s="3">
        <f t="shared" si="2"/>
        <v>2038.3803905434861</v>
      </c>
      <c r="D9" s="13">
        <f t="shared" si="3"/>
        <v>135.1371689656269</v>
      </c>
      <c r="E9" s="13">
        <f t="shared" si="5"/>
        <v>2070.2044998524275</v>
      </c>
      <c r="F9" s="12">
        <f t="shared" si="0"/>
        <v>-159.12054654470649</v>
      </c>
      <c r="G9" s="12">
        <f t="shared" si="1"/>
        <v>159.12054654470649</v>
      </c>
      <c r="H9" s="10">
        <f>SUM(G$3:G9)/COUNT(G$3:G9)</f>
        <v>213.02540175009645</v>
      </c>
      <c r="I9" s="10">
        <f>SUM(F$3:F9)/H9</f>
        <v>1.3163064539965124</v>
      </c>
      <c r="J9" s="11">
        <f t="shared" si="4"/>
        <v>37754.805143255406</v>
      </c>
      <c r="K9" s="10">
        <f>IFERROR(SQRT(SUM(J$3:J9)/(COUNT(J$3:J9)-1)),"")</f>
        <v>298.90302712381771</v>
      </c>
      <c r="L9" s="3">
        <v>0.4</v>
      </c>
      <c r="M9" s="3">
        <v>558.65323450126266</v>
      </c>
      <c r="N9" s="3">
        <v>561.80994985932932</v>
      </c>
      <c r="O9" s="3">
        <v>566.39400245287607</v>
      </c>
      <c r="P9" s="3">
        <v>574.24017901531715</v>
      </c>
      <c r="Q9" s="3">
        <v>583.58322170256224</v>
      </c>
      <c r="R9" s="3">
        <v>593.96115376378646</v>
      </c>
      <c r="S9" s="3">
        <v>605.19374642730793</v>
      </c>
      <c r="T9" s="3">
        <v>618.61964959320846</v>
      </c>
      <c r="U9" s="3">
        <v>632.57372870409756</v>
      </c>
      <c r="V9" s="3">
        <v>647.86278321228087</v>
      </c>
    </row>
    <row r="10" spans="1:23" x14ac:dyDescent="0.2">
      <c r="A10" s="2">
        <f>[2]ArdiData!A10</f>
        <v>8</v>
      </c>
      <c r="B10" s="13">
        <v>1960.2999710554132</v>
      </c>
      <c r="C10" s="3">
        <f t="shared" si="2"/>
        <v>2130.8740418183734</v>
      </c>
      <c r="D10" s="13">
        <f t="shared" si="3"/>
        <v>109.55105835118312</v>
      </c>
      <c r="E10" s="13">
        <f t="shared" si="5"/>
        <v>2173.5175595091132</v>
      </c>
      <c r="F10" s="12">
        <f t="shared" si="0"/>
        <v>-213.21758845370005</v>
      </c>
      <c r="G10" s="12">
        <f t="shared" si="1"/>
        <v>213.21758845370005</v>
      </c>
      <c r="H10" s="10">
        <f>SUM(G$3:G10)/COUNT(G$3:G10)</f>
        <v>213.04942508804689</v>
      </c>
      <c r="I10" s="10">
        <f>SUM(F$3:F10)/H10</f>
        <v>0.31536871177842701</v>
      </c>
      <c r="J10" s="11">
        <f t="shared" si="4"/>
        <v>61704.050145124907</v>
      </c>
      <c r="K10" s="10">
        <f>IFERROR(SQRT(SUM(J$3:J10)/(COUNT(J$3:J10)-1)),"")</f>
        <v>292.22353671897309</v>
      </c>
      <c r="L10" s="3">
        <v>0.5</v>
      </c>
      <c r="M10" s="3">
        <v>576.55067189184354</v>
      </c>
      <c r="N10" s="3">
        <v>586.0674872107021</v>
      </c>
      <c r="O10" s="3">
        <v>596.85938025614735</v>
      </c>
      <c r="P10" s="3">
        <v>608.2452342687925</v>
      </c>
      <c r="Q10" s="3">
        <v>620.72862081241715</v>
      </c>
      <c r="R10" s="3">
        <v>635.09103246630514</v>
      </c>
      <c r="S10" s="3">
        <v>651.5719152751476</v>
      </c>
      <c r="T10" s="3">
        <v>669.62214036505179</v>
      </c>
      <c r="U10" s="3">
        <v>688.40864449179242</v>
      </c>
      <c r="V10" s="3">
        <v>708.23622249462221</v>
      </c>
    </row>
    <row r="11" spans="1:23" x14ac:dyDescent="0.2">
      <c r="A11" s="2">
        <f>[2]ArdiData!A11</f>
        <v>9</v>
      </c>
      <c r="B11" s="13">
        <v>2414.1948755502854</v>
      </c>
      <c r="C11" s="3">
        <f t="shared" si="2"/>
        <v>2275.1790552457023</v>
      </c>
      <c r="D11" s="13">
        <f t="shared" si="3"/>
        <v>130.40343139687062</v>
      </c>
      <c r="E11" s="13">
        <f t="shared" si="5"/>
        <v>2240.4251001695566</v>
      </c>
      <c r="F11" s="12">
        <f t="shared" si="0"/>
        <v>173.76977538072879</v>
      </c>
      <c r="G11" s="12">
        <f t="shared" si="1"/>
        <v>173.76977538072879</v>
      </c>
      <c r="H11" s="10">
        <f>SUM(G$3:G11)/COUNT(G$3:G11)</f>
        <v>208.68501956501154</v>
      </c>
      <c r="I11" s="10">
        <f>SUM(F$3:F11)/H11</f>
        <v>1.154653547332442</v>
      </c>
      <c r="J11" s="11">
        <f t="shared" si="4"/>
        <v>19205.62604660961</v>
      </c>
      <c r="K11" s="10">
        <f>IFERROR(SQRT(SUM(J$3:J11)/(COUNT(J$3:J11)-1)),"")</f>
        <v>277.70663341339741</v>
      </c>
      <c r="L11" s="3">
        <v>0.6</v>
      </c>
      <c r="M11" s="3">
        <v>601.73197640472779</v>
      </c>
      <c r="N11" s="3">
        <v>614.84635274585492</v>
      </c>
      <c r="O11" s="3">
        <v>628.31857477873086</v>
      </c>
      <c r="P11" s="3">
        <v>642.82976163555941</v>
      </c>
      <c r="Q11" s="3">
        <v>659.76414955285907</v>
      </c>
      <c r="R11" s="3">
        <v>679.16767281188152</v>
      </c>
      <c r="S11" s="3">
        <v>699.23514903440298</v>
      </c>
      <c r="T11" s="3">
        <v>721.0320633738794</v>
      </c>
      <c r="U11" s="3">
        <v>742.36474365074605</v>
      </c>
      <c r="V11" s="3">
        <v>764.10211058155289</v>
      </c>
    </row>
    <row r="12" spans="1:23" x14ac:dyDescent="0.2">
      <c r="A12" s="2">
        <f>[2]ArdiData!A12</f>
        <v>10</v>
      </c>
      <c r="B12" s="13">
        <v>2386.0381627363281</v>
      </c>
      <c r="C12" s="3">
        <f t="shared" si="2"/>
        <v>2401.6736218613241</v>
      </c>
      <c r="D12" s="13">
        <f t="shared" si="3"/>
        <v>128.05811252812134</v>
      </c>
      <c r="E12" s="13">
        <f t="shared" si="5"/>
        <v>2405.5824866425728</v>
      </c>
      <c r="F12" s="12">
        <f t="shared" si="0"/>
        <v>-19.544323906244699</v>
      </c>
      <c r="G12" s="12">
        <f t="shared" si="1"/>
        <v>19.544323906244699</v>
      </c>
      <c r="H12" s="10">
        <f>SUM(G$3:G12)/COUNT(G$3:G12)</f>
        <v>189.77094999913487</v>
      </c>
      <c r="I12" s="10">
        <f>SUM(F$3:F12)/H12</f>
        <v>1.1667464077649679</v>
      </c>
      <c r="J12" s="11">
        <f t="shared" si="4"/>
        <v>2995.3438845668798</v>
      </c>
      <c r="K12" s="10">
        <f>IFERROR(SQRT(SUM(J$3:J12)/(COUNT(J$3:J12)-1)),"")</f>
        <v>262.45912651496627</v>
      </c>
      <c r="L12" s="3">
        <v>0.70000000000000007</v>
      </c>
      <c r="M12" s="3">
        <v>629.21065005831656</v>
      </c>
      <c r="N12" s="3">
        <v>645.23942906193179</v>
      </c>
      <c r="O12" s="3">
        <v>662.06986612527737</v>
      </c>
      <c r="P12" s="3">
        <v>682.13002543960101</v>
      </c>
      <c r="Q12" s="3">
        <v>703.25444925722513</v>
      </c>
      <c r="R12" s="3">
        <v>725.10164777129341</v>
      </c>
      <c r="S12" s="3">
        <v>750.16699692829604</v>
      </c>
      <c r="T12" s="3">
        <v>776.09783501641016</v>
      </c>
      <c r="U12" s="3">
        <v>804.37302654616258</v>
      </c>
      <c r="V12" s="3">
        <v>834.03562631551154</v>
      </c>
    </row>
    <row r="13" spans="1:23" x14ac:dyDescent="0.2">
      <c r="A13" s="2">
        <f>[2]ArdiData!A13</f>
        <v>11</v>
      </c>
      <c r="B13" s="13">
        <v>2360.0321962860157</v>
      </c>
      <c r="C13" s="3">
        <f t="shared" si="2"/>
        <v>2495.7918267687596</v>
      </c>
      <c r="D13" s="13">
        <f t="shared" si="3"/>
        <v>107.69416795570982</v>
      </c>
      <c r="E13" s="13">
        <f t="shared" si="5"/>
        <v>2529.7317343894456</v>
      </c>
      <c r="F13" s="12">
        <f t="shared" si="0"/>
        <v>-169.69953810342986</v>
      </c>
      <c r="G13" s="12">
        <f t="shared" si="1"/>
        <v>169.69953810342986</v>
      </c>
      <c r="H13" s="10">
        <f>SUM(G$3:G13)/COUNT(G$3:G13)</f>
        <v>187.94627619043439</v>
      </c>
      <c r="I13" s="10">
        <f>SUM(F$3:F13)/H13</f>
        <v>0.27515860997323727</v>
      </c>
      <c r="J13" s="11">
        <f t="shared" si="4"/>
        <v>41977.842375325854</v>
      </c>
      <c r="K13" s="10">
        <f>IFERROR(SQRT(SUM(J$3:J13)/(COUNT(J$3:J13)-1)),"")</f>
        <v>257.28213700028175</v>
      </c>
      <c r="L13" s="3">
        <v>0.8</v>
      </c>
      <c r="M13" s="3">
        <v>657.22070075513284</v>
      </c>
      <c r="N13" s="3">
        <v>677.30213188567222</v>
      </c>
      <c r="O13" s="3">
        <v>699.77016737001111</v>
      </c>
      <c r="P13" s="3">
        <v>724.34744382008569</v>
      </c>
      <c r="Q13" s="3">
        <v>752.88874728465203</v>
      </c>
      <c r="R13" s="3">
        <v>784.01669165379928</v>
      </c>
      <c r="S13" s="3">
        <v>817.63404752825033</v>
      </c>
      <c r="T13" s="3">
        <v>851.71631870952831</v>
      </c>
      <c r="U13" s="3">
        <v>887.16067665322407</v>
      </c>
      <c r="V13" s="3">
        <v>926.44086714731009</v>
      </c>
    </row>
    <row r="14" spans="1:23" x14ac:dyDescent="0.2">
      <c r="A14" s="2">
        <f>[2]ArdiData!A14</f>
        <v>12</v>
      </c>
      <c r="B14" s="13">
        <v>2374.8996096579372</v>
      </c>
      <c r="C14" s="3">
        <f t="shared" si="2"/>
        <v>2557.7687177111629</v>
      </c>
      <c r="D14" s="13">
        <f t="shared" si="3"/>
        <v>80.263801747725921</v>
      </c>
      <c r="E14" s="13">
        <f t="shared" si="5"/>
        <v>2603.4859947244695</v>
      </c>
      <c r="F14" s="12">
        <f t="shared" si="0"/>
        <v>-228.58638506653233</v>
      </c>
      <c r="G14" s="12">
        <f t="shared" si="1"/>
        <v>228.58638506653233</v>
      </c>
      <c r="H14" s="10">
        <f>SUM(G$3:G14)/COUNT(G$3:G14)</f>
        <v>191.3329519301092</v>
      </c>
      <c r="I14" s="10">
        <f>SUM(F$3:F14)/H14</f>
        <v>-0.92441655854938398</v>
      </c>
      <c r="J14" s="11">
        <f t="shared" si="4"/>
        <v>69575.560408160207</v>
      </c>
      <c r="K14" s="10">
        <f>IFERROR(SQRT(SUM(J$3:J14)/(COUNT(J$3:J14)-1)),"")</f>
        <v>257.87885468012752</v>
      </c>
      <c r="L14" s="3">
        <v>0.9</v>
      </c>
      <c r="M14" s="3">
        <v>688.27366312579159</v>
      </c>
      <c r="N14" s="3">
        <v>714.65553931523834</v>
      </c>
      <c r="O14" s="3">
        <v>746.76679981640541</v>
      </c>
      <c r="P14" s="3">
        <v>781.31220782335936</v>
      </c>
      <c r="Q14" s="3">
        <v>817.45584925983178</v>
      </c>
      <c r="R14" s="3">
        <v>855.1985553280017</v>
      </c>
      <c r="S14" s="3">
        <v>894.45500789409198</v>
      </c>
      <c r="T14" s="3">
        <v>939.69424893750829</v>
      </c>
      <c r="U14" s="3">
        <v>990.03272839589806</v>
      </c>
      <c r="V14" s="3">
        <v>1045.1650423681208</v>
      </c>
    </row>
    <row r="15" spans="1:23" x14ac:dyDescent="0.2">
      <c r="A15" s="2">
        <f>[2]ArdiData!A15</f>
        <v>13</v>
      </c>
      <c r="B15" s="13">
        <v>2837.1005129516102</v>
      </c>
      <c r="C15" s="3">
        <f t="shared" si="2"/>
        <v>2677.8461181574335</v>
      </c>
      <c r="D15" s="13">
        <f t="shared" si="3"/>
        <v>104.1519609668527</v>
      </c>
      <c r="E15" s="13">
        <f t="shared" si="5"/>
        <v>2638.0325194588891</v>
      </c>
      <c r="F15" s="12">
        <f t="shared" si="0"/>
        <v>199.06799349272114</v>
      </c>
      <c r="G15" s="12">
        <f t="shared" si="1"/>
        <v>199.06799349272114</v>
      </c>
      <c r="H15" s="10">
        <f>SUM(G$3:G15)/COUNT(G$3:G15)</f>
        <v>191.92795512723322</v>
      </c>
      <c r="I15" s="10">
        <f>SUM(F$3:F15)/H15</f>
        <v>0.11565091973016774</v>
      </c>
      <c r="J15" s="11">
        <f t="shared" si="4"/>
        <v>26857.500839515669</v>
      </c>
      <c r="K15" s="10">
        <f>IFERROR(SQRT(SUM(J$3:J15)/(COUNT(J$3:J15)-1)),"")</f>
        <v>251.39179936273337</v>
      </c>
      <c r="L15" s="3">
        <v>1</v>
      </c>
      <c r="M15" s="3">
        <v>728.37752944351848</v>
      </c>
      <c r="N15" s="3">
        <v>764.97352990488082</v>
      </c>
      <c r="O15" s="3">
        <v>805.59056595203356</v>
      </c>
      <c r="P15" s="3">
        <v>847.83472916472874</v>
      </c>
      <c r="Q15" s="3">
        <v>892.17262672272159</v>
      </c>
      <c r="R15" s="3">
        <v>938.57956207566258</v>
      </c>
      <c r="S15" s="3">
        <v>991.14745212991727</v>
      </c>
      <c r="T15" s="3">
        <v>1048.7980679170007</v>
      </c>
      <c r="U15" s="3">
        <v>1118.0491855627984</v>
      </c>
      <c r="V15" s="3">
        <v>1196.3574179536706</v>
      </c>
    </row>
    <row r="16" spans="1:23" x14ac:dyDescent="0.2">
      <c r="A16" s="2">
        <f>[2]ArdiData!A16</f>
        <v>14</v>
      </c>
      <c r="B16" s="13">
        <v>2930.8445360245173</v>
      </c>
      <c r="C16" s="3">
        <f t="shared" si="2"/>
        <v>2811.7673705043326</v>
      </c>
      <c r="D16" s="13">
        <f t="shared" si="3"/>
        <v>122.01353579488055</v>
      </c>
      <c r="E16" s="13">
        <f t="shared" si="5"/>
        <v>2781.9980791242861</v>
      </c>
      <c r="F16" s="12">
        <f t="shared" si="0"/>
        <v>148.84645690023126</v>
      </c>
      <c r="G16" s="12">
        <f t="shared" si="1"/>
        <v>148.84645690023126</v>
      </c>
      <c r="H16" s="10">
        <f>SUM(G$3:G16)/COUNT(G$3:G16)</f>
        <v>188.85070525387593</v>
      </c>
      <c r="I16" s="10">
        <f>SUM(F$3:F16)/H16</f>
        <v>0.90570538882917773</v>
      </c>
      <c r="J16" s="11">
        <f t="shared" si="4"/>
        <v>12918.833351688992</v>
      </c>
      <c r="K16" s="10">
        <f>IFERROR(SQRT(SUM(J$3:J16)/(COUNT(J$3:J16)-1)),"")</f>
        <v>243.57795700345213</v>
      </c>
      <c r="W16" s="3">
        <f>MIN(M6:V15)</f>
        <v>531.10353796997686</v>
      </c>
    </row>
    <row r="17" spans="1:11" x14ac:dyDescent="0.2">
      <c r="A17" s="2">
        <f>[2]ArdiData!A17</f>
        <v>15</v>
      </c>
      <c r="B17" s="13">
        <v>2610.1441965075874</v>
      </c>
      <c r="C17" s="3">
        <f t="shared" si="2"/>
        <v>2869.0535643408884</v>
      </c>
      <c r="D17" s="13">
        <f t="shared" si="3"/>
        <v>83.177130619885745</v>
      </c>
      <c r="E17" s="13">
        <f t="shared" si="5"/>
        <v>2933.7809062992133</v>
      </c>
      <c r="F17" s="12">
        <f t="shared" si="0"/>
        <v>-323.63670979162589</v>
      </c>
      <c r="G17" s="12">
        <f t="shared" si="1"/>
        <v>323.63670979162589</v>
      </c>
      <c r="H17" s="10">
        <f>SUM(G$3:G17)/COUNT(G$3:G17)</f>
        <v>197.83643888972591</v>
      </c>
      <c r="I17" s="10">
        <f>SUM(F$3:F17)/H17</f>
        <v>-0.77131194442928419</v>
      </c>
      <c r="J17" s="11">
        <f t="shared" si="4"/>
        <v>128753.31438027737</v>
      </c>
      <c r="K17" s="10">
        <f>IFERROR(SQRT(SUM(J$3:J17)/(COUNT(J$3:J17)-1)),"")</f>
        <v>253.55278249789669</v>
      </c>
    </row>
    <row r="18" spans="1:11" x14ac:dyDescent="0.2">
      <c r="A18" s="2">
        <f>[2]ArdiData!A18</f>
        <v>16</v>
      </c>
      <c r="B18" s="13">
        <v>3135.2317628620631</v>
      </c>
      <c r="C18" s="3">
        <f t="shared" si="2"/>
        <v>2988.8309085410319</v>
      </c>
      <c r="D18" s="13">
        <f t="shared" si="3"/>
        <v>105.1372587680404</v>
      </c>
      <c r="E18" s="13">
        <f t="shared" si="5"/>
        <v>2952.2306949607741</v>
      </c>
      <c r="F18" s="12">
        <f t="shared" si="0"/>
        <v>183.00106790128893</v>
      </c>
      <c r="G18" s="12">
        <f t="shared" si="1"/>
        <v>183.00106790128893</v>
      </c>
      <c r="H18" s="10">
        <f>SUM(G$3:G18)/COUNT(G$3:G18)</f>
        <v>196.90922820294861</v>
      </c>
      <c r="I18" s="10">
        <f>SUM(F$3:F18)/H18</f>
        <v>0.15442374041987056</v>
      </c>
      <c r="J18" s="11">
        <f t="shared" si="4"/>
        <v>21849.468420678731</v>
      </c>
      <c r="K18" s="10">
        <f>IFERROR(SQRT(SUM(J$3:J18)/(COUNT(J$3:J18)-1)),"")</f>
        <v>247.91069058495489</v>
      </c>
    </row>
    <row r="19" spans="1:11" x14ac:dyDescent="0.2">
      <c r="A19" s="2">
        <f>[2]ArdiData!A19</f>
        <v>17</v>
      </c>
      <c r="B19" s="13">
        <v>2997.405744195491</v>
      </c>
      <c r="C19" s="3">
        <f t="shared" si="2"/>
        <v>3074.6556826863562</v>
      </c>
      <c r="D19" s="13">
        <f t="shared" si="3"/>
        <v>93.549767994410701</v>
      </c>
      <c r="E19" s="13">
        <f t="shared" si="5"/>
        <v>3093.9681673090722</v>
      </c>
      <c r="F19" s="12">
        <f t="shared" si="0"/>
        <v>-96.56242311358119</v>
      </c>
      <c r="G19" s="12">
        <f t="shared" si="1"/>
        <v>96.56242311358119</v>
      </c>
      <c r="H19" s="10">
        <f>SUM(G$3:G19)/COUNT(G$3:G19)</f>
        <v>191.00647496239759</v>
      </c>
      <c r="I19" s="10">
        <f>SUM(F$3:F19)/H19</f>
        <v>-0.34634932446303496</v>
      </c>
      <c r="J19" s="11">
        <f t="shared" si="4"/>
        <v>17357.491797613467</v>
      </c>
      <c r="K19" s="10">
        <f>IFERROR(SQRT(SUM(J$3:J19)/(COUNT(J$3:J19)-1)),"")</f>
        <v>242.28768403906906</v>
      </c>
    </row>
    <row r="20" spans="1:11" x14ac:dyDescent="0.2">
      <c r="A20" s="2">
        <f>[2]ArdiData!A20</f>
        <v>18</v>
      </c>
      <c r="B20" s="13">
        <v>2897.6453125752814</v>
      </c>
      <c r="C20" s="3">
        <f t="shared" si="2"/>
        <v>3114.0934230596699</v>
      </c>
      <c r="D20" s="13">
        <f t="shared" si="3"/>
        <v>61.082551421752541</v>
      </c>
      <c r="E20" s="13">
        <f t="shared" si="5"/>
        <v>3168.2054506807667</v>
      </c>
      <c r="F20" s="12">
        <f t="shared" si="0"/>
        <v>-270.56013810548529</v>
      </c>
      <c r="G20" s="12">
        <f t="shared" si="1"/>
        <v>270.56013810548529</v>
      </c>
      <c r="H20" s="10">
        <f>SUM(G$3:G20)/COUNT(G$3:G20)</f>
        <v>195.42612291479134</v>
      </c>
      <c r="I20" s="10">
        <f>SUM(F$3:F20)/H20</f>
        <v>-1.7229789787294201</v>
      </c>
      <c r="J20" s="11">
        <f t="shared" si="4"/>
        <v>93480.34080708299</v>
      </c>
      <c r="K20" s="10">
        <f>IFERROR(SQRT(SUM(J$3:J20)/(COUNT(J$3:J20)-1)),"")</f>
        <v>246.47318076264403</v>
      </c>
    </row>
    <row r="21" spans="1:11" x14ac:dyDescent="0.2">
      <c r="A21" s="2">
        <f>[2]ArdiData!A21</f>
        <v>19</v>
      </c>
      <c r="B21" s="13">
        <v>2451.4955445656897</v>
      </c>
      <c r="C21" s="3">
        <f t="shared" si="2"/>
        <v>3030.4398884982761</v>
      </c>
      <c r="D21" s="13">
        <f t="shared" si="3"/>
        <v>-25.759100168135276</v>
      </c>
      <c r="E21" s="13">
        <f t="shared" si="5"/>
        <v>3175.1759744814226</v>
      </c>
      <c r="F21" s="12">
        <f t="shared" si="0"/>
        <v>-723.68042991573293</v>
      </c>
      <c r="G21" s="12">
        <f t="shared" si="1"/>
        <v>723.68042991573293</v>
      </c>
      <c r="H21" s="10">
        <f>SUM(G$3:G21)/COUNT(G$3:G21)</f>
        <v>223.2289811779988</v>
      </c>
      <c r="I21" s="10">
        <f>SUM(F$3:F21)/H21</f>
        <v>-4.7502592449990608</v>
      </c>
      <c r="J21" s="11">
        <f t="shared" si="4"/>
        <v>575877.3645317466</v>
      </c>
      <c r="K21" s="10">
        <f>IFERROR(SQRT(SUM(J$3:J21)/(COUNT(J$3:J21)-1)),"")</f>
        <v>298.94358950692072</v>
      </c>
    </row>
    <row r="22" spans="1:11" x14ac:dyDescent="0.2">
      <c r="A22" s="2">
        <f>[2]ArdiData!A22</f>
        <v>20</v>
      </c>
      <c r="B22" s="13">
        <v>3606.7892415047718</v>
      </c>
      <c r="C22" s="3">
        <f t="shared" si="2"/>
        <v>3125.1024789650673</v>
      </c>
      <c r="D22" s="13">
        <f t="shared" si="3"/>
        <v>46.493914212820627</v>
      </c>
      <c r="E22" s="13">
        <f t="shared" si="5"/>
        <v>3004.6807883301408</v>
      </c>
      <c r="F22" s="12">
        <f t="shared" si="0"/>
        <v>602.10845317463099</v>
      </c>
      <c r="G22" s="12">
        <f t="shared" si="1"/>
        <v>602.10845317463099</v>
      </c>
      <c r="H22" s="10">
        <f>SUM(G$3:G22)/COUNT(G$3:G22)</f>
        <v>242.1729547778304</v>
      </c>
      <c r="I22" s="10">
        <f>SUM(F$3:F22)/H22</f>
        <v>-1.8923957831637808</v>
      </c>
      <c r="J22" s="11">
        <f t="shared" si="4"/>
        <v>321401.73573135288</v>
      </c>
      <c r="K22" s="10">
        <f>IFERROR(SQRT(SUM(J$3:J22)/(COUNT(J$3:J22)-1)),"")</f>
        <v>318.71556288380185</v>
      </c>
    </row>
    <row r="23" spans="1:11" x14ac:dyDescent="0.2">
      <c r="A23" s="2">
        <f>[2]ArdiData!A23</f>
        <v>21</v>
      </c>
      <c r="B23" s="13">
        <v>3329.4002934339937</v>
      </c>
      <c r="C23" s="3">
        <f t="shared" si="2"/>
        <v>3203.157173229109</v>
      </c>
      <c r="D23" s="13">
        <f t="shared" si="3"/>
        <v>65.430382243553268</v>
      </c>
      <c r="E23" s="13">
        <f t="shared" si="5"/>
        <v>3171.5963931778879</v>
      </c>
      <c r="F23" s="12">
        <f t="shared" si="0"/>
        <v>157.80390025610586</v>
      </c>
      <c r="G23" s="12">
        <f t="shared" si="1"/>
        <v>157.80390025610586</v>
      </c>
      <c r="H23" s="10">
        <f>SUM(G$3:G23)/COUNT(G$3:G23)</f>
        <v>238.15538075298642</v>
      </c>
      <c r="I23" s="10">
        <f>SUM(F$3:F23)/H23</f>
        <v>-1.2617106412281023</v>
      </c>
      <c r="J23" s="11">
        <f t="shared" si="4"/>
        <v>15035.293903732731</v>
      </c>
      <c r="K23" s="10">
        <f>IFERROR(SQRT(SUM(J$3:J23)/(COUNT(J$3:J23)-1)),"")</f>
        <v>311.85316130882552</v>
      </c>
    </row>
    <row r="24" spans="1:11" x14ac:dyDescent="0.2">
      <c r="A24" s="2">
        <f>[2]ArdiData!A24</f>
        <v>22</v>
      </c>
      <c r="B24" s="13">
        <v>3271.7372704254626</v>
      </c>
      <c r="C24" s="3">
        <f t="shared" si="2"/>
        <v>3269.2174984632225</v>
      </c>
      <c r="D24" s="13">
        <f t="shared" si="3"/>
        <v>65.808348037889346</v>
      </c>
      <c r="E24" s="13">
        <f t="shared" si="5"/>
        <v>3268.5875554726622</v>
      </c>
      <c r="F24" s="12">
        <f t="shared" si="0"/>
        <v>3.1497149528004229</v>
      </c>
      <c r="G24" s="12">
        <f t="shared" si="1"/>
        <v>3.1497149528004229</v>
      </c>
      <c r="H24" s="10">
        <f>SUM(G$3:G24)/COUNT(G$3:G24)</f>
        <v>227.47330503479614</v>
      </c>
      <c r="I24" s="10">
        <f>SUM(F$3:F24)/H24</f>
        <v>-1.3071136552198528</v>
      </c>
      <c r="J24" s="11">
        <f t="shared" si="4"/>
        <v>1026.2858221996787</v>
      </c>
      <c r="K24" s="10">
        <f>IFERROR(SQRT(SUM(J$3:J24)/(COUNT(J$3:J24)-1)),"")</f>
        <v>304.41780266666143</v>
      </c>
    </row>
    <row r="25" spans="1:11" x14ac:dyDescent="0.2">
      <c r="A25" s="2">
        <f>[2]ArdiData!A25</f>
        <v>23</v>
      </c>
      <c r="B25" s="13">
        <v>3370.7908457036756</v>
      </c>
      <c r="C25" s="3">
        <f t="shared" si="2"/>
        <v>3342.1788463416246</v>
      </c>
      <c r="D25" s="13">
        <f t="shared" si="3"/>
        <v>70.100147942197054</v>
      </c>
      <c r="E25" s="13">
        <f t="shared" si="5"/>
        <v>3335.025846501112</v>
      </c>
      <c r="F25" s="12">
        <f t="shared" si="0"/>
        <v>35.764999202563558</v>
      </c>
      <c r="G25" s="12">
        <f t="shared" si="1"/>
        <v>35.764999202563558</v>
      </c>
      <c r="H25" s="10">
        <f>SUM(G$3:G25)/COUNT(G$3:G25)</f>
        <v>219.13816130295993</v>
      </c>
      <c r="I25" s="10">
        <f>SUM(F$3:F25)/H25</f>
        <v>-1.1936235224899476</v>
      </c>
      <c r="J25" s="11">
        <f t="shared" si="4"/>
        <v>0.3359224669813996</v>
      </c>
      <c r="K25" s="10">
        <f>IFERROR(SQRT(SUM(J$3:J25)/(COUNT(J$3:J25)-1)),"")</f>
        <v>297.4187823523373</v>
      </c>
    </row>
    <row r="26" spans="1:11" x14ac:dyDescent="0.2">
      <c r="A26" s="2">
        <f>[2]ArdiData!A26</f>
        <v>24</v>
      </c>
      <c r="B26" s="13">
        <v>3326.6171341495628</v>
      </c>
      <c r="C26" s="3">
        <f t="shared" si="2"/>
        <v>3395.1466222569702</v>
      </c>
      <c r="D26" s="13">
        <f t="shared" si="3"/>
        <v>59.820724726086155</v>
      </c>
      <c r="E26" s="13">
        <f t="shared" si="5"/>
        <v>3412.2789942838217</v>
      </c>
      <c r="F26" s="12">
        <f t="shared" si="0"/>
        <v>-85.661860134258859</v>
      </c>
      <c r="G26" s="12">
        <f t="shared" si="1"/>
        <v>85.661860134258859</v>
      </c>
      <c r="H26" s="10">
        <f>SUM(G$3:G26)/COUNT(G$3:G26)</f>
        <v>213.57664875426406</v>
      </c>
      <c r="I26" s="10">
        <f>SUM(F$3:F26)/H26</f>
        <v>-1.6257878666322869</v>
      </c>
      <c r="J26" s="11">
        <f t="shared" si="4"/>
        <v>14604.0629442604</v>
      </c>
      <c r="K26" s="10">
        <f>IFERROR(SQRT(SUM(J$3:J26)/(COUNT(J$3:J26)-1)),"")</f>
        <v>291.97070796013634</v>
      </c>
    </row>
    <row r="27" spans="1:11" x14ac:dyDescent="0.2">
      <c r="A27" s="2">
        <f>[2]ArdiData!A27</f>
        <v>25</v>
      </c>
      <c r="B27" s="13">
        <v>3919.3323507327541</v>
      </c>
      <c r="C27" s="3">
        <f t="shared" si="2"/>
        <v>3547.8403477329962</v>
      </c>
      <c r="D27" s="13">
        <f t="shared" si="3"/>
        <v>115.54452517605006</v>
      </c>
      <c r="E27" s="13">
        <f t="shared" si="5"/>
        <v>3454.9673469830564</v>
      </c>
      <c r="F27" s="12">
        <f t="shared" si="0"/>
        <v>464.36500374969773</v>
      </c>
      <c r="G27" s="12">
        <f t="shared" si="1"/>
        <v>464.36500374969773</v>
      </c>
      <c r="H27" s="10">
        <f>SUM(G$3:G27)/COUNT(G$3:G27)</f>
        <v>223.60818295408143</v>
      </c>
      <c r="I27" s="10">
        <f>SUM(F$3:F27)/H27</f>
        <v>0.52383896716822487</v>
      </c>
      <c r="J27" s="11">
        <f t="shared" si="4"/>
        <v>184195.1228197864</v>
      </c>
      <c r="K27" s="10">
        <f>IFERROR(SQRT(SUM(J$3:J27)/(COUNT(J$3:J27)-1)),"")</f>
        <v>298.94771643458552</v>
      </c>
    </row>
    <row r="28" spans="1:11" x14ac:dyDescent="0.2">
      <c r="A28" s="2">
        <f>[2]ArdiData!A28</f>
        <v>26</v>
      </c>
      <c r="B28" s="13">
        <v>3932.7496928280202</v>
      </c>
      <c r="C28" s="3">
        <f t="shared" si="2"/>
        <v>3717.2578368928412</v>
      </c>
      <c r="D28" s="13">
        <f t="shared" si="3"/>
        <v>147.86830356632703</v>
      </c>
      <c r="E28" s="13">
        <f t="shared" si="5"/>
        <v>3663.3848729090464</v>
      </c>
      <c r="F28" s="12">
        <f t="shared" si="0"/>
        <v>269.36481991897381</v>
      </c>
      <c r="G28" s="12">
        <f t="shared" si="1"/>
        <v>269.36481991897381</v>
      </c>
      <c r="H28" s="10">
        <f>SUM(G$3:G28)/COUNT(G$3:G28)</f>
        <v>225.36805360657729</v>
      </c>
      <c r="I28" s="10">
        <f>SUM(F$3:F28)/H28</f>
        <v>1.7149702157995805</v>
      </c>
      <c r="J28" s="11">
        <f t="shared" si="4"/>
        <v>54839.995554541114</v>
      </c>
      <c r="K28" s="10">
        <f>IFERROR(SQRT(SUM(J$3:J28)/(COUNT(J$3:J28)-1)),"")</f>
        <v>296.6286356661758</v>
      </c>
    </row>
    <row r="29" spans="1:11" x14ac:dyDescent="0.2">
      <c r="A29" s="2">
        <f>[2]ArdiData!A29</f>
        <v>27</v>
      </c>
      <c r="B29" s="13">
        <v>3271.4587202821313</v>
      </c>
      <c r="C29" s="3">
        <f t="shared" si="2"/>
        <v>3746.3926564237609</v>
      </c>
      <c r="D29" s="13">
        <f t="shared" si="3"/>
        <v>76.628213145082626</v>
      </c>
      <c r="E29" s="13">
        <f t="shared" si="5"/>
        <v>3865.1261404591683</v>
      </c>
      <c r="F29" s="12">
        <f t="shared" si="0"/>
        <v>-593.667420177037</v>
      </c>
      <c r="G29" s="12">
        <f t="shared" si="1"/>
        <v>593.667420177037</v>
      </c>
      <c r="H29" s="10">
        <f>SUM(G$3:G29)/COUNT(G$3:G29)</f>
        <v>239.00877088696467</v>
      </c>
      <c r="I29" s="10">
        <f>SUM(F$3:F29)/H29</f>
        <v>-0.86677957415634099</v>
      </c>
      <c r="J29" s="11">
        <f t="shared" si="4"/>
        <v>395455.88329843793</v>
      </c>
      <c r="K29" s="10">
        <f>IFERROR(SQRT(SUM(J$3:J29)/(COUNT(J$3:J29)-1)),"")</f>
        <v>315.93387640258499</v>
      </c>
    </row>
    <row r="30" spans="1:11" x14ac:dyDescent="0.2">
      <c r="A30" s="2">
        <f>[2]ArdiData!A30</f>
        <v>28</v>
      </c>
      <c r="B30" s="13">
        <v>4226.8800578487453</v>
      </c>
      <c r="C30" s="3">
        <f t="shared" si="2"/>
        <v>3903.792707224824</v>
      </c>
      <c r="D30" s="13">
        <f t="shared" si="3"/>
        <v>125.09131573867093</v>
      </c>
      <c r="E30" s="13">
        <f t="shared" si="5"/>
        <v>3823.0208695688434</v>
      </c>
      <c r="F30" s="12">
        <f t="shared" si="0"/>
        <v>403.8591882799019</v>
      </c>
      <c r="G30" s="12">
        <f t="shared" si="1"/>
        <v>403.8591882799019</v>
      </c>
      <c r="H30" s="10">
        <f>SUM(G$3:G30)/COUNT(G$3:G30)</f>
        <v>244.89628579385527</v>
      </c>
      <c r="I30" s="10">
        <f>SUM(F$3:F30)/H30</f>
        <v>0.80316149750199028</v>
      </c>
      <c r="J30" s="11">
        <f t="shared" si="4"/>
        <v>135920.35404265486</v>
      </c>
      <c r="K30" s="10">
        <f>IFERROR(SQRT(SUM(J$3:J30)/(COUNT(J$3:J30)-1)),"")</f>
        <v>318.0432025609166</v>
      </c>
    </row>
    <row r="31" spans="1:11" x14ac:dyDescent="0.2">
      <c r="A31" s="2">
        <f>[2]ArdiData!A31</f>
        <v>29</v>
      </c>
      <c r="B31" s="13">
        <v>3676.4065496322846</v>
      </c>
      <c r="C31" s="3">
        <f t="shared" si="2"/>
        <v>3958.3885282972533</v>
      </c>
      <c r="D31" s="13">
        <f t="shared" si="3"/>
        <v>82.794018938925973</v>
      </c>
      <c r="E31" s="13">
        <f t="shared" si="5"/>
        <v>4028.8840229634948</v>
      </c>
      <c r="F31" s="12">
        <f t="shared" si="0"/>
        <v>-352.47747333121015</v>
      </c>
      <c r="G31" s="12">
        <f t="shared" si="1"/>
        <v>352.47747333121015</v>
      </c>
      <c r="H31" s="10">
        <f>SUM(G$3:G31)/COUNT(G$3:G31)</f>
        <v>248.60598191583304</v>
      </c>
      <c r="I31" s="10">
        <f>SUM(F$3:F31)/H31</f>
        <v>-0.62663900723468613</v>
      </c>
      <c r="J31" s="11">
        <f t="shared" si="4"/>
        <v>150282.51189974471</v>
      </c>
      <c r="K31" s="10">
        <f>IFERROR(SQRT(SUM(J$3:J31)/(COUNT(J$3:J31)-1)),"")</f>
        <v>320.78989767838584</v>
      </c>
    </row>
    <row r="32" spans="1:11" x14ac:dyDescent="0.2">
      <c r="A32" s="2">
        <f>[2]ArdiData!A32</f>
        <v>30</v>
      </c>
      <c r="B32" s="13">
        <v>3709.9538102697975</v>
      </c>
      <c r="C32" s="3">
        <f t="shared" si="2"/>
        <v>3974.9367998429034</v>
      </c>
      <c r="D32" s="13">
        <f t="shared" si="3"/>
        <v>43.046570502960449</v>
      </c>
      <c r="E32" s="13">
        <f t="shared" si="5"/>
        <v>4041.1825472361793</v>
      </c>
      <c r="F32" s="12">
        <f t="shared" si="0"/>
        <v>-331.2287369663818</v>
      </c>
      <c r="G32" s="12">
        <f t="shared" si="1"/>
        <v>331.2287369663818</v>
      </c>
      <c r="H32" s="10">
        <f>SUM(G$3:G32)/COUNT(G$3:G32)</f>
        <v>251.36007375085134</v>
      </c>
      <c r="I32" s="10">
        <f>SUM(F$3:F32)/H32</f>
        <v>-1.9375190952141987</v>
      </c>
      <c r="J32" s="11">
        <f t="shared" si="4"/>
        <v>134259.32784103689</v>
      </c>
      <c r="K32" s="10">
        <f>IFERROR(SQRT(SUM(J$3:J32)/(COUNT(J$3:J32)-1)),"")</f>
        <v>322.47062226585456</v>
      </c>
    </row>
    <row r="33" spans="1:11" x14ac:dyDescent="0.2">
      <c r="A33" s="2">
        <f>[2]ArdiData!A33</f>
        <v>31</v>
      </c>
      <c r="B33" s="13">
        <v>4309.3917506051803</v>
      </c>
      <c r="C33" s="3">
        <f t="shared" si="2"/>
        <v>4076.2650463977275</v>
      </c>
      <c r="D33" s="13">
        <f t="shared" si="3"/>
        <v>78.015576134078628</v>
      </c>
      <c r="E33" s="13">
        <f t="shared" si="5"/>
        <v>4017.9833703458639</v>
      </c>
      <c r="F33" s="12">
        <f t="shared" si="0"/>
        <v>291.40838025931635</v>
      </c>
      <c r="G33" s="12">
        <f t="shared" si="1"/>
        <v>291.40838025931635</v>
      </c>
      <c r="H33" s="10">
        <f>SUM(G$3:G33)/COUNT(G$3:G33)</f>
        <v>252.65195460596314</v>
      </c>
      <c r="I33" s="10">
        <f>SUM(F$3:F33)/H33</f>
        <v>-0.77421353304974849</v>
      </c>
      <c r="J33" s="11">
        <f t="shared" si="4"/>
        <v>65650.209968293508</v>
      </c>
      <c r="K33" s="10">
        <f>IFERROR(SQRT(SUM(J$3:J33)/(COUNT(J$3:J33)-1)),"")</f>
        <v>320.48307154874755</v>
      </c>
    </row>
    <row r="34" spans="1:11" x14ac:dyDescent="0.2">
      <c r="A34" s="2">
        <f>[2]ArdiData!A34</f>
        <v>32</v>
      </c>
      <c r="B34" s="13">
        <v>3396.6468613345064</v>
      </c>
      <c r="C34" s="3">
        <f t="shared" si="2"/>
        <v>4002.7538702923466</v>
      </c>
      <c r="D34" s="13">
        <f t="shared" si="3"/>
        <v>-12.900475209597058</v>
      </c>
      <c r="E34" s="13">
        <f t="shared" si="5"/>
        <v>4154.2806225318063</v>
      </c>
      <c r="F34" s="12">
        <f t="shared" si="0"/>
        <v>-757.63376119729992</v>
      </c>
      <c r="G34" s="12">
        <f t="shared" si="1"/>
        <v>757.63376119729992</v>
      </c>
      <c r="H34" s="10">
        <f>SUM(G$3:G34)/COUNT(G$3:G34)</f>
        <v>268.43263606194239</v>
      </c>
      <c r="I34" s="10">
        <f>SUM(F$3:F34)/H34</f>
        <v>-3.5511342346045494</v>
      </c>
      <c r="J34" s="11">
        <f t="shared" si="4"/>
        <v>628562.23982764524</v>
      </c>
      <c r="K34" s="10">
        <f>IFERROR(SQRT(SUM(J$3:J34)/(COUNT(J$3:J34)-1)),"")</f>
        <v>345.93697982423157</v>
      </c>
    </row>
    <row r="35" spans="1:11" x14ac:dyDescent="0.2">
      <c r="A35" s="2">
        <f>[2]ArdiData!A35</f>
        <v>33</v>
      </c>
      <c r="B35" s="13">
        <v>3425.2650395092878</v>
      </c>
      <c r="C35" s="3">
        <f t="shared" si="2"/>
        <v>3876.9357239680576</v>
      </c>
      <c r="D35" s="13">
        <f t="shared" si="3"/>
        <v>-80.651077878412252</v>
      </c>
      <c r="E35" s="13">
        <f t="shared" ref="E35:E66" si="6">C34+D34</f>
        <v>3989.8533950827496</v>
      </c>
      <c r="F35" s="12">
        <f t="shared" ref="F35:F66" si="7">B35-E35</f>
        <v>-564.58835557346174</v>
      </c>
      <c r="G35" s="12">
        <f t="shared" ref="G35:G66" si="8">ABS(F35)</f>
        <v>564.58835557346174</v>
      </c>
      <c r="H35" s="10">
        <f>SUM(G$3:G35)/COUNT(G$3:G35)</f>
        <v>277.40705180471571</v>
      </c>
      <c r="I35" s="10">
        <f>SUM(F$3:F35)/H35</f>
        <v>-5.4714855635561284</v>
      </c>
      <c r="J35" s="11">
        <f t="shared" ref="J35:J66" si="9">(F35-$F$78)^2</f>
        <v>359728.5710878988</v>
      </c>
      <c r="K35" s="10">
        <f>IFERROR(SQRT(SUM(J$3:J35)/(COUNT(J$3:J35)-1)),"")</f>
        <v>356.61484762078811</v>
      </c>
    </row>
    <row r="36" spans="1:11" x14ac:dyDescent="0.2">
      <c r="A36" s="2">
        <f>[2]ArdiData!A36</f>
        <v>34</v>
      </c>
      <c r="B36" s="13">
        <v>3382.8091450329844</v>
      </c>
      <c r="C36" s="3">
        <f t="shared" si="2"/>
        <v>3713.5895458783134</v>
      </c>
      <c r="D36" s="13">
        <f t="shared" si="3"/>
        <v>-130.2681380052114</v>
      </c>
      <c r="E36" s="13">
        <f t="shared" si="6"/>
        <v>3796.2846460896453</v>
      </c>
      <c r="F36" s="12">
        <f t="shared" si="7"/>
        <v>-413.47550105666096</v>
      </c>
      <c r="G36" s="12">
        <f t="shared" si="8"/>
        <v>413.47550105666096</v>
      </c>
      <c r="H36" s="10">
        <f>SUM(G$3:G36)/COUNT(G$3:G36)</f>
        <v>281.40906501800822</v>
      </c>
      <c r="I36" s="10">
        <f>SUM(F$3:F36)/H36</f>
        <v>-6.8629778508067609</v>
      </c>
      <c r="J36" s="11">
        <f t="shared" si="9"/>
        <v>201296.61402111541</v>
      </c>
      <c r="K36" s="10">
        <f>IFERROR(SQRT(SUM(J$3:J36)/(COUNT(J$3:J36)-1)),"")</f>
        <v>359.75030900722714</v>
      </c>
    </row>
    <row r="37" spans="1:11" x14ac:dyDescent="0.2">
      <c r="A37" s="2">
        <f>[2]ArdiData!A37</f>
        <v>35</v>
      </c>
      <c r="B37" s="13">
        <v>3846.9349712677931</v>
      </c>
      <c r="C37" s="3">
        <f t="shared" si="2"/>
        <v>3636.0441205520401</v>
      </c>
      <c r="D37" s="13">
        <f t="shared" si="3"/>
        <v>-98.63451039784853</v>
      </c>
      <c r="E37" s="13">
        <f t="shared" si="6"/>
        <v>3583.3214078731021</v>
      </c>
      <c r="F37" s="12">
        <f t="shared" si="7"/>
        <v>263.61356339469103</v>
      </c>
      <c r="G37" s="12">
        <f t="shared" si="8"/>
        <v>263.61356339469103</v>
      </c>
      <c r="H37" s="10">
        <f>SUM(G$3:G37)/COUNT(G$3:G37)</f>
        <v>280.90062211448486</v>
      </c>
      <c r="I37" s="10">
        <f>SUM(F$3:F37)/H37</f>
        <v>-5.936941699475657</v>
      </c>
      <c r="J37" s="11">
        <f t="shared" si="9"/>
        <v>52179.420799527696</v>
      </c>
      <c r="K37" s="10">
        <f>IFERROR(SQRT(SUM(J$3:J37)/(COUNT(J$3:J37)-1)),"")</f>
        <v>356.57887586371226</v>
      </c>
    </row>
    <row r="38" spans="1:11" x14ac:dyDescent="0.2">
      <c r="A38" s="2">
        <f>[2]ArdiData!A38</f>
        <v>36</v>
      </c>
      <c r="B38" s="13">
        <v>4335.4663999878339</v>
      </c>
      <c r="C38" s="3">
        <f t="shared" si="2"/>
        <v>3697.0209681209203</v>
      </c>
      <c r="D38" s="13">
        <f t="shared" si="3"/>
        <v>-2.8676956178112931</v>
      </c>
      <c r="E38" s="13">
        <f t="shared" si="6"/>
        <v>3537.4096101541918</v>
      </c>
      <c r="F38" s="12">
        <f t="shared" si="7"/>
        <v>798.05678983364214</v>
      </c>
      <c r="G38" s="12">
        <f t="shared" si="8"/>
        <v>798.05678983364214</v>
      </c>
      <c r="H38" s="10">
        <f>SUM(G$3:G38)/COUNT(G$3:G38)</f>
        <v>295.26607121779477</v>
      </c>
      <c r="I38" s="10">
        <f>SUM(F$3:F38)/H38</f>
        <v>-2.9452548456372956</v>
      </c>
      <c r="J38" s="11">
        <f t="shared" si="9"/>
        <v>581972.74062041682</v>
      </c>
      <c r="K38" s="10">
        <f>IFERROR(SQRT(SUM(J$3:J38)/(COUNT(J$3:J38)-1)),"")</f>
        <v>374.35741366606908</v>
      </c>
    </row>
    <row r="39" spans="1:11" x14ac:dyDescent="0.2">
      <c r="A39" s="2">
        <f>[2]ArdiData!A39</f>
        <v>37</v>
      </c>
      <c r="B39" s="13">
        <v>3778.0879495342488</v>
      </c>
      <c r="C39" s="3">
        <f t="shared" si="2"/>
        <v>3710.940207909337</v>
      </c>
      <c r="D39" s="13">
        <f t="shared" si="3"/>
        <v>7.2044656259254971</v>
      </c>
      <c r="E39" s="13">
        <f t="shared" si="6"/>
        <v>3694.1532725031088</v>
      </c>
      <c r="F39" s="12">
        <f t="shared" si="7"/>
        <v>83.934677031139927</v>
      </c>
      <c r="G39" s="12">
        <f t="shared" si="8"/>
        <v>83.934677031139927</v>
      </c>
      <c r="H39" s="10">
        <f>SUM(G$3:G39)/COUNT(G$3:G39)</f>
        <v>289.55441191545276</v>
      </c>
      <c r="I39" s="10">
        <f>SUM(F$3:F39)/H39</f>
        <v>-2.7134766995184791</v>
      </c>
      <c r="J39" s="11">
        <f t="shared" si="9"/>
        <v>2376.4909370970831</v>
      </c>
      <c r="K39" s="10">
        <f>IFERROR(SQRT(SUM(J$3:J39)/(COUNT(J$3:J39)-1)),"")</f>
        <v>369.21079690233609</v>
      </c>
    </row>
    <row r="40" spans="1:11" x14ac:dyDescent="0.2">
      <c r="A40" s="2">
        <f>[2]ArdiData!A40</f>
        <v>38</v>
      </c>
      <c r="B40" s="13">
        <v>4091.3217573787838</v>
      </c>
      <c r="C40" s="3">
        <f t="shared" si="2"/>
        <v>3792.780090303967</v>
      </c>
      <c r="D40" s="13">
        <f t="shared" si="3"/>
        <v>51.985715687148179</v>
      </c>
      <c r="E40" s="13">
        <f t="shared" si="6"/>
        <v>3718.1446735352624</v>
      </c>
      <c r="F40" s="12">
        <f t="shared" si="7"/>
        <v>373.17708384352136</v>
      </c>
      <c r="G40" s="12">
        <f t="shared" si="8"/>
        <v>373.17708384352136</v>
      </c>
      <c r="H40" s="10">
        <f>SUM(G$3:G40)/COUNT(G$3:G40)</f>
        <v>291.75500854513876</v>
      </c>
      <c r="I40" s="10">
        <f>SUM(F$3:F40)/H40</f>
        <v>-1.413933108428582</v>
      </c>
      <c r="J40" s="11">
        <f t="shared" si="9"/>
        <v>114238.37090131622</v>
      </c>
      <c r="K40" s="10">
        <f>IFERROR(SQRT(SUM(J$3:J40)/(COUNT(J$3:J40)-1)),"")</f>
        <v>368.40182317074635</v>
      </c>
    </row>
    <row r="41" spans="1:11" x14ac:dyDescent="0.2">
      <c r="A41" s="2">
        <f>[2]ArdiData!A41</f>
        <v>39</v>
      </c>
      <c r="B41" s="13">
        <v>5031.5420497583082</v>
      </c>
      <c r="C41" s="3">
        <f t="shared" si="2"/>
        <v>4082.1210547445539</v>
      </c>
      <c r="D41" s="13">
        <f t="shared" si="3"/>
        <v>194.39886493921145</v>
      </c>
      <c r="E41" s="13">
        <f t="shared" si="6"/>
        <v>3844.765805991115</v>
      </c>
      <c r="F41" s="12">
        <f t="shared" si="7"/>
        <v>1186.7762437671931</v>
      </c>
      <c r="G41" s="12">
        <f t="shared" si="8"/>
        <v>1186.7762437671931</v>
      </c>
      <c r="H41" s="10">
        <f>SUM(G$3:G41)/COUNT(G$3:G41)</f>
        <v>314.70427098672991</v>
      </c>
      <c r="I41" s="10">
        <f>SUM(F$3:F41)/H41</f>
        <v>2.4602595166813144</v>
      </c>
      <c r="J41" s="11">
        <f t="shared" si="9"/>
        <v>1326161.4460785284</v>
      </c>
      <c r="K41" s="10">
        <f>IFERROR(SQRT(SUM(J$3:J41)/(COUNT(J$3:J41)-1)),"")</f>
        <v>408.71421841625329</v>
      </c>
    </row>
    <row r="42" spans="1:11" x14ac:dyDescent="0.2">
      <c r="A42" s="2">
        <f>[2]ArdiData!A42</f>
        <v>40</v>
      </c>
      <c r="B42" s="13">
        <v>4204.3946084920954</v>
      </c>
      <c r="C42" s="3">
        <f t="shared" si="2"/>
        <v>4262.0948574454324</v>
      </c>
      <c r="D42" s="13">
        <f t="shared" si="3"/>
        <v>185.74382759621164</v>
      </c>
      <c r="E42" s="13">
        <f t="shared" si="6"/>
        <v>4276.5199196837657</v>
      </c>
      <c r="F42" s="12">
        <f t="shared" si="7"/>
        <v>-72.125311191670335</v>
      </c>
      <c r="G42" s="12">
        <f t="shared" si="8"/>
        <v>72.125311191670335</v>
      </c>
      <c r="H42" s="10">
        <f>SUM(G$3:G42)/COUNT(G$3:G42)</f>
        <v>308.63979699185342</v>
      </c>
      <c r="I42" s="10">
        <f>SUM(F$3:F42)/H42</f>
        <v>2.2749135830406861</v>
      </c>
      <c r="J42" s="11">
        <f t="shared" si="9"/>
        <v>11515.591100550831</v>
      </c>
      <c r="K42" s="10">
        <f>IFERROR(SQRT(SUM(J$3:J42)/(COUNT(J$3:J42)-1)),"")</f>
        <v>403.80604191050412</v>
      </c>
    </row>
    <row r="43" spans="1:11" x14ac:dyDescent="0.2">
      <c r="A43" s="2">
        <f>[2]ArdiData!A43</f>
        <v>41</v>
      </c>
      <c r="B43" s="13">
        <v>5586.0237690188087</v>
      </c>
      <c r="C43" s="3">
        <f t="shared" si="2"/>
        <v>4675.4757018370765</v>
      </c>
      <c r="D43" s="13">
        <f t="shared" si="3"/>
        <v>322.32603767347109</v>
      </c>
      <c r="E43" s="13">
        <f t="shared" si="6"/>
        <v>4447.8386850416437</v>
      </c>
      <c r="F43" s="12">
        <f t="shared" si="7"/>
        <v>1138.185083977165</v>
      </c>
      <c r="G43" s="12">
        <f t="shared" si="8"/>
        <v>1138.185083977165</v>
      </c>
      <c r="H43" s="10">
        <f>SUM(G$3:G43)/COUNT(G$3:G43)</f>
        <v>328.87260886954397</v>
      </c>
      <c r="I43" s="10">
        <f>SUM(F$3:F43)/H43</f>
        <v>5.5958261673013379</v>
      </c>
      <c r="J43" s="11">
        <f t="shared" si="9"/>
        <v>1216608.2785542971</v>
      </c>
      <c r="K43" s="10">
        <f>IFERROR(SQRT(SUM(J$3:J43)/(COUNT(J$3:J43)-1)),"")</f>
        <v>435.19885507684825</v>
      </c>
    </row>
    <row r="44" spans="1:11" x14ac:dyDescent="0.2">
      <c r="A44" s="2">
        <f>[2]ArdiData!A44</f>
        <v>42</v>
      </c>
      <c r="B44" s="13">
        <v>5777.5611763875086</v>
      </c>
      <c r="C44" s="3">
        <f t="shared" si="2"/>
        <v>5153.7536268859394</v>
      </c>
      <c r="D44" s="13">
        <f t="shared" si="3"/>
        <v>415.89717009870617</v>
      </c>
      <c r="E44" s="13">
        <f t="shared" si="6"/>
        <v>4997.8017395105471</v>
      </c>
      <c r="F44" s="12">
        <f t="shared" si="7"/>
        <v>779.75943687696144</v>
      </c>
      <c r="G44" s="12">
        <f t="shared" si="8"/>
        <v>779.75943687696144</v>
      </c>
      <c r="H44" s="10">
        <f>SUM(G$3:G44)/COUNT(G$3:G44)</f>
        <v>339.60800953638727</v>
      </c>
      <c r="I44" s="10">
        <f>SUM(F$3:F44)/H44</f>
        <v>7.7149929145504617</v>
      </c>
      <c r="J44" s="11">
        <f t="shared" si="9"/>
        <v>554390.47998805519</v>
      </c>
      <c r="K44" s="10">
        <f>IFERROR(SQRT(SUM(J$3:J44)/(COUNT(J$3:J44)-1)),"")</f>
        <v>445.30921617417647</v>
      </c>
    </row>
    <row r="45" spans="1:11" x14ac:dyDescent="0.2">
      <c r="A45" s="2">
        <f>[2]ArdiData!A45</f>
        <v>43</v>
      </c>
      <c r="B45" s="13">
        <v>5672.6454679130029</v>
      </c>
      <c r="C45" s="3">
        <f t="shared" si="2"/>
        <v>5590.2497311703173</v>
      </c>
      <c r="D45" s="13">
        <f t="shared" si="3"/>
        <v>428.25653061010917</v>
      </c>
      <c r="E45" s="13">
        <f t="shared" si="6"/>
        <v>5569.6507969846452</v>
      </c>
      <c r="F45" s="12">
        <f t="shared" si="7"/>
        <v>102.99467092835766</v>
      </c>
      <c r="G45" s="12">
        <f t="shared" si="8"/>
        <v>102.99467092835766</v>
      </c>
      <c r="H45" s="10">
        <f>SUM(G$3:G45)/COUNT(G$3:G45)</f>
        <v>334.10537375480516</v>
      </c>
      <c r="I45" s="10">
        <f>SUM(F$3:F45)/H45</f>
        <v>8.1503270289348571</v>
      </c>
      <c r="J45" s="11">
        <f t="shared" si="9"/>
        <v>4598.0957299760239</v>
      </c>
      <c r="K45" s="10">
        <f>IFERROR(SQRT(SUM(J$3:J45)/(COUNT(J$3:J45)-1)),"")</f>
        <v>440.10037583774471</v>
      </c>
    </row>
    <row r="46" spans="1:11" x14ac:dyDescent="0.2">
      <c r="A46" s="2">
        <f>[2]ArdiData!A46</f>
        <v>44</v>
      </c>
      <c r="B46" s="13">
        <v>4442.4749424361789</v>
      </c>
      <c r="C46" s="3">
        <f t="shared" si="2"/>
        <v>5703.2999979115775</v>
      </c>
      <c r="D46" s="13">
        <f t="shared" si="3"/>
        <v>239.1327722887998</v>
      </c>
      <c r="E46" s="13">
        <f t="shared" si="6"/>
        <v>6018.5062617804269</v>
      </c>
      <c r="F46" s="12">
        <f t="shared" si="7"/>
        <v>-1576.031319344248</v>
      </c>
      <c r="G46" s="12">
        <f t="shared" si="8"/>
        <v>1576.031319344248</v>
      </c>
      <c r="H46" s="10">
        <f>SUM(G$3:G46)/COUNT(G$3:G46)</f>
        <v>362.33096342729255</v>
      </c>
      <c r="I46" s="10">
        <f>SUM(F$3:F46)/H46</f>
        <v>3.1657154774521339</v>
      </c>
      <c r="J46" s="11">
        <f t="shared" si="9"/>
        <v>2596019.3521900512</v>
      </c>
      <c r="K46" s="10">
        <f>IFERROR(SQRT(SUM(J$3:J46)/(COUNT(J$3:J46)-1)),"")</f>
        <v>499.55630700434108</v>
      </c>
    </row>
    <row r="47" spans="1:11" x14ac:dyDescent="0.2">
      <c r="A47" s="2">
        <f>[2]ArdiData!A47</f>
        <v>45</v>
      </c>
      <c r="B47" s="13">
        <v>6116.4376324786244</v>
      </c>
      <c r="C47" s="3">
        <f t="shared" si="2"/>
        <v>5977.2337426560271</v>
      </c>
      <c r="D47" s="13">
        <f t="shared" si="3"/>
        <v>260.01335576218963</v>
      </c>
      <c r="E47" s="13">
        <f t="shared" si="6"/>
        <v>5942.4327702003775</v>
      </c>
      <c r="F47" s="12">
        <f t="shared" si="7"/>
        <v>174.00486227824695</v>
      </c>
      <c r="G47" s="12">
        <f t="shared" si="8"/>
        <v>174.00486227824695</v>
      </c>
      <c r="H47" s="10">
        <f>SUM(G$3:G47)/COUNT(G$3:G47)</f>
        <v>358.14593895731372</v>
      </c>
      <c r="I47" s="10">
        <f>SUM(F$3:F47)/H47</f>
        <v>3.6885566956480855</v>
      </c>
      <c r="J47" s="11">
        <f t="shared" si="9"/>
        <v>19270.84004898545</v>
      </c>
      <c r="K47" s="10">
        <f>IFERROR(SQRT(SUM(J$3:J47)/(COUNT(J$3:J47)-1)),"")</f>
        <v>494.29013623682994</v>
      </c>
    </row>
    <row r="48" spans="1:11" x14ac:dyDescent="0.2">
      <c r="A48" s="2">
        <f>[2]ArdiData!A48</f>
        <v>46</v>
      </c>
      <c r="B48" s="13">
        <v>4831.7623955679137</v>
      </c>
      <c r="C48" s="3">
        <f t="shared" si="2"/>
        <v>5956.1501578481566</v>
      </c>
      <c r="D48" s="13">
        <f t="shared" si="3"/>
        <v>91.355191420153574</v>
      </c>
      <c r="E48" s="13">
        <f t="shared" si="6"/>
        <v>6237.2470984182164</v>
      </c>
      <c r="F48" s="12">
        <f t="shared" si="7"/>
        <v>-1405.4847028503027</v>
      </c>
      <c r="G48" s="12">
        <f t="shared" si="8"/>
        <v>1405.4847028503027</v>
      </c>
      <c r="H48" s="10">
        <f>SUM(G$3:G48)/COUNT(G$3:G48)</f>
        <v>380.91417295498735</v>
      </c>
      <c r="I48" s="10">
        <f>SUM(F$3:F48)/H48</f>
        <v>-0.22168537609156186</v>
      </c>
      <c r="J48" s="11">
        <f t="shared" si="9"/>
        <v>2075530.3769851164</v>
      </c>
      <c r="K48" s="10">
        <f>IFERROR(SQRT(SUM(J$3:J48)/(COUNT(J$3:J48)-1)),"")</f>
        <v>533.86912427319294</v>
      </c>
    </row>
    <row r="49" spans="1:11" x14ac:dyDescent="0.2">
      <c r="A49" s="2">
        <f>[2]ArdiData!A49</f>
        <v>47</v>
      </c>
      <c r="B49" s="13">
        <v>6206.0910692130574</v>
      </c>
      <c r="C49" s="3">
        <f t="shared" si="2"/>
        <v>6079.2224932572599</v>
      </c>
      <c r="D49" s="13">
        <f t="shared" si="3"/>
        <v>110.38547781352341</v>
      </c>
      <c r="E49" s="13">
        <f t="shared" si="6"/>
        <v>6047.5053492683101</v>
      </c>
      <c r="F49" s="12">
        <f t="shared" si="7"/>
        <v>158.58571994474732</v>
      </c>
      <c r="G49" s="12">
        <f t="shared" si="8"/>
        <v>158.58571994474732</v>
      </c>
      <c r="H49" s="10">
        <f>SUM(G$3:G49)/COUNT(G$3:G49)</f>
        <v>376.18378033774826</v>
      </c>
      <c r="I49" s="10">
        <f>SUM(F$3:F49)/H49</f>
        <v>0.19709148062696222</v>
      </c>
      <c r="J49" s="11">
        <f t="shared" si="9"/>
        <v>15227.636243918369</v>
      </c>
      <c r="K49" s="10">
        <f>IFERROR(SQRT(SUM(J$3:J49)/(COUNT(J$3:J49)-1)),"")</f>
        <v>528.34768113912344</v>
      </c>
    </row>
    <row r="50" spans="1:11" x14ac:dyDescent="0.2">
      <c r="A50" s="2">
        <f>[2]ArdiData!A50</f>
        <v>48</v>
      </c>
      <c r="B50" s="13">
        <v>5086.0787376555791</v>
      </c>
      <c r="C50" s="3">
        <f t="shared" si="2"/>
        <v>5968.9021243877432</v>
      </c>
      <c r="D50" s="13">
        <f t="shared" si="3"/>
        <v>-22.03803019630061</v>
      </c>
      <c r="E50" s="13">
        <f t="shared" si="6"/>
        <v>6189.6079710707836</v>
      </c>
      <c r="F50" s="12">
        <f t="shared" si="7"/>
        <v>-1103.5292334152045</v>
      </c>
      <c r="G50" s="12">
        <f t="shared" si="8"/>
        <v>1103.5292334152045</v>
      </c>
      <c r="H50" s="10">
        <f>SUM(G$3:G50)/COUNT(G$3:G50)</f>
        <v>391.33681061019524</v>
      </c>
      <c r="I50" s="10">
        <f>SUM(F$3:F50)/H50</f>
        <v>-2.630436461000206</v>
      </c>
      <c r="J50" s="11">
        <f t="shared" si="9"/>
        <v>1296671.0414401644</v>
      </c>
      <c r="K50" s="10">
        <f>IFERROR(SQRT(SUM(J$3:J50)/(COUNT(J$3:J50)-1)),"")</f>
        <v>548.45294142540206</v>
      </c>
    </row>
    <row r="51" spans="1:11" x14ac:dyDescent="0.2">
      <c r="A51" s="2">
        <f>[2]ArdiData!A51</f>
        <v>49</v>
      </c>
      <c r="B51" s="13">
        <v>5256.5559094460787</v>
      </c>
      <c r="C51" s="3">
        <f t="shared" si="2"/>
        <v>5808.8024572423701</v>
      </c>
      <c r="D51" s="13">
        <f t="shared" si="3"/>
        <v>-104.87501236574413</v>
      </c>
      <c r="E51" s="13">
        <f t="shared" si="6"/>
        <v>5946.8640941914427</v>
      </c>
      <c r="F51" s="12">
        <f t="shared" si="7"/>
        <v>-690.30818474536409</v>
      </c>
      <c r="G51" s="12">
        <f t="shared" si="8"/>
        <v>690.30818474536409</v>
      </c>
      <c r="H51" s="10">
        <f>SUM(G$3:G51)/COUNT(G$3:G51)</f>
        <v>397.43826722519873</v>
      </c>
      <c r="I51" s="10">
        <f>SUM(F$3:F51)/H51</f>
        <v>-4.3269482123912608</v>
      </c>
      <c r="J51" s="11">
        <f t="shared" si="9"/>
        <v>526340.95748953021</v>
      </c>
      <c r="K51" s="10">
        <f>IFERROR(SQRT(SUM(J$3:J51)/(COUNT(J$3:J51)-1)),"")</f>
        <v>552.71998860415636</v>
      </c>
    </row>
    <row r="52" spans="1:11" x14ac:dyDescent="0.2">
      <c r="A52" s="2">
        <f>[2]ArdiData!A52</f>
        <v>50</v>
      </c>
      <c r="B52" s="13">
        <v>5988.37014518462</v>
      </c>
      <c r="C52" s="3">
        <f t="shared" si="2"/>
        <v>5760.8159849382255</v>
      </c>
      <c r="D52" s="13">
        <f t="shared" si="3"/>
        <v>-70.741888328784427</v>
      </c>
      <c r="E52" s="13">
        <f t="shared" si="6"/>
        <v>5703.9274448766264</v>
      </c>
      <c r="F52" s="12">
        <f t="shared" si="7"/>
        <v>284.44270030799362</v>
      </c>
      <c r="G52" s="12">
        <f t="shared" si="8"/>
        <v>284.44270030799362</v>
      </c>
      <c r="H52" s="10">
        <f>SUM(G$3:G52)/COUNT(G$3:G52)</f>
        <v>395.1783558868546</v>
      </c>
      <c r="I52" s="10">
        <f>SUM(F$3:F52)/H52</f>
        <v>-3.6319096889225739</v>
      </c>
      <c r="J52" s="11">
        <f t="shared" si="9"/>
        <v>62129.196265612925</v>
      </c>
      <c r="K52" s="10">
        <f>IFERROR(SQRT(SUM(J$3:J52)/(COUNT(J$3:J52)-1)),"")</f>
        <v>548.20858005014838</v>
      </c>
    </row>
    <row r="53" spans="1:11" x14ac:dyDescent="0.2">
      <c r="A53" s="2">
        <f>[2]ArdiData!A53</f>
        <v>51</v>
      </c>
      <c r="B53" s="13">
        <v>6526.7676661512296</v>
      </c>
      <c r="C53" s="3">
        <f t="shared" si="2"/>
        <v>5857.4128105177988</v>
      </c>
      <c r="D53" s="13">
        <f t="shared" si="3"/>
        <v>29.661340016230206</v>
      </c>
      <c r="E53" s="13">
        <f t="shared" si="6"/>
        <v>5690.0740966094409</v>
      </c>
      <c r="F53" s="12">
        <f t="shared" si="7"/>
        <v>836.69356954178875</v>
      </c>
      <c r="G53" s="12">
        <f t="shared" si="8"/>
        <v>836.69356954178875</v>
      </c>
      <c r="H53" s="10">
        <f>SUM(G$3:G53)/COUNT(G$3:G53)</f>
        <v>403.83551693891218</v>
      </c>
      <c r="I53" s="10">
        <f>SUM(F$3:F53)/H53</f>
        <v>-1.4821839708237325</v>
      </c>
      <c r="J53" s="11">
        <f t="shared" si="9"/>
        <v>642415.32818475238</v>
      </c>
      <c r="K53" s="10">
        <f>IFERROR(SQRT(SUM(J$3:J53)/(COUNT(J$3:J53)-1)),"")</f>
        <v>554.40986720970511</v>
      </c>
    </row>
    <row r="54" spans="1:11" x14ac:dyDescent="0.2">
      <c r="A54" s="2">
        <f>[2]ArdiData!A54</f>
        <v>52</v>
      </c>
      <c r="B54" s="13">
        <v>5794.3331193675949</v>
      </c>
      <c r="C54" s="3">
        <f t="shared" si="2"/>
        <v>5868.5259443007435</v>
      </c>
      <c r="D54" s="13">
        <f t="shared" si="3"/>
        <v>18.53241627625891</v>
      </c>
      <c r="E54" s="13">
        <f t="shared" si="6"/>
        <v>5887.0741505340293</v>
      </c>
      <c r="F54" s="12">
        <f t="shared" si="7"/>
        <v>-92.741031166434368</v>
      </c>
      <c r="G54" s="12">
        <f t="shared" si="8"/>
        <v>92.741031166434368</v>
      </c>
      <c r="H54" s="10">
        <f>SUM(G$3:G54)/COUNT(G$3:G54)</f>
        <v>397.85293067405684</v>
      </c>
      <c r="I54" s="10">
        <f>SUM(F$3:F54)/H54</f>
        <v>-1.7375756414597252</v>
      </c>
      <c r="J54" s="11">
        <f t="shared" si="9"/>
        <v>16365.174609239999</v>
      </c>
      <c r="K54" s="10">
        <f>IFERROR(SQRT(SUM(J$3:J54)/(COUNT(J$3:J54)-1)),"")</f>
        <v>549.2397636659523</v>
      </c>
    </row>
    <row r="55" spans="1:11" x14ac:dyDescent="0.2">
      <c r="A55" s="2">
        <f>[2]ArdiData!A55</f>
        <v>53</v>
      </c>
      <c r="B55" s="13">
        <v>5545.614554778329</v>
      </c>
      <c r="C55" s="3">
        <f t="shared" si="2"/>
        <v>5818.7695994172682</v>
      </c>
      <c r="D55" s="13">
        <f t="shared" si="3"/>
        <v>-22.440840419581626</v>
      </c>
      <c r="E55" s="13">
        <f t="shared" si="6"/>
        <v>5887.0583605770025</v>
      </c>
      <c r="F55" s="12">
        <f t="shared" si="7"/>
        <v>-341.44380579867357</v>
      </c>
      <c r="G55" s="12">
        <f t="shared" si="8"/>
        <v>341.44380579867357</v>
      </c>
      <c r="H55" s="10">
        <f>SUM(G$3:G55)/COUNT(G$3:G55)</f>
        <v>396.78860756320057</v>
      </c>
      <c r="I55" s="10">
        <f>SUM(F$3:F55)/H55</f>
        <v>-2.602754583514054</v>
      </c>
      <c r="J55" s="11">
        <f t="shared" si="9"/>
        <v>141849.56695779925</v>
      </c>
      <c r="K55" s="10">
        <f>IFERROR(SQRT(SUM(J$3:J55)/(COUNT(J$3:J55)-1)),"")</f>
        <v>546.43476957000348</v>
      </c>
    </row>
    <row r="56" spans="1:11" x14ac:dyDescent="0.2">
      <c r="A56" s="2">
        <f>[2]ArdiData!A56</f>
        <v>54</v>
      </c>
      <c r="B56" s="13">
        <v>6272.3581433243171</v>
      </c>
      <c r="C56" s="3">
        <f t="shared" si="2"/>
        <v>5891.5346358630131</v>
      </c>
      <c r="D56" s="13">
        <f t="shared" si="3"/>
        <v>34.682685699614325</v>
      </c>
      <c r="E56" s="13">
        <f t="shared" si="6"/>
        <v>5796.3287589976862</v>
      </c>
      <c r="F56" s="12">
        <f t="shared" si="7"/>
        <v>476.02938432663086</v>
      </c>
      <c r="G56" s="12">
        <f t="shared" si="8"/>
        <v>476.02938432663086</v>
      </c>
      <c r="H56" s="10">
        <f>SUM(G$3:G56)/COUNT(G$3:G56)</f>
        <v>398.25602935511591</v>
      </c>
      <c r="I56" s="10">
        <f>SUM(F$3:F56)/H56</f>
        <v>-1.3978796092456376</v>
      </c>
      <c r="J56" s="11">
        <f t="shared" si="9"/>
        <v>194343.40880504763</v>
      </c>
      <c r="K56" s="10">
        <f>IFERROR(SQRT(SUM(J$3:J56)/(COUNT(J$3:J56)-1)),"")</f>
        <v>544.63200651078773</v>
      </c>
    </row>
    <row r="57" spans="1:11" x14ac:dyDescent="0.2">
      <c r="A57" s="2">
        <f>[2]ArdiData!A57</f>
        <v>55</v>
      </c>
      <c r="B57" s="13">
        <v>5129.4309137141636</v>
      </c>
      <c r="C57" s="3">
        <f t="shared" si="2"/>
        <v>5766.8600399929346</v>
      </c>
      <c r="D57" s="13">
        <f t="shared" si="3"/>
        <v>-60.93168324220138</v>
      </c>
      <c r="E57" s="13">
        <f t="shared" si="6"/>
        <v>5926.2173215626271</v>
      </c>
      <c r="F57" s="12">
        <f t="shared" si="7"/>
        <v>-796.78640784846357</v>
      </c>
      <c r="G57" s="12">
        <f t="shared" si="8"/>
        <v>796.78640784846357</v>
      </c>
      <c r="H57" s="10">
        <f>SUM(G$3:G57)/COUNT(G$3:G57)</f>
        <v>405.50203623681313</v>
      </c>
      <c r="I57" s="10">
        <f>SUM(F$3:F57)/H57</f>
        <v>-3.3378387026216267</v>
      </c>
      <c r="J57" s="11">
        <f t="shared" si="9"/>
        <v>692177.10738324083</v>
      </c>
      <c r="K57" s="10">
        <f>IFERROR(SQRT(SUM(J$3:J57)/(COUNT(J$3:J57)-1)),"")</f>
        <v>551.31577126283844</v>
      </c>
    </row>
    <row r="58" spans="1:11" x14ac:dyDescent="0.2">
      <c r="A58" s="2">
        <f>[2]ArdiData!A58</f>
        <v>56</v>
      </c>
      <c r="B58" s="13">
        <v>5666.7623903768372</v>
      </c>
      <c r="C58" s="3">
        <f t="shared" si="2"/>
        <v>5698.0951634759549</v>
      </c>
      <c r="D58" s="13">
        <f t="shared" si="3"/>
        <v>-65.631599207068376</v>
      </c>
      <c r="E58" s="13">
        <f t="shared" si="6"/>
        <v>5705.9283567507337</v>
      </c>
      <c r="F58" s="12">
        <f t="shared" si="7"/>
        <v>-39.165966373896481</v>
      </c>
      <c r="G58" s="12">
        <f t="shared" si="8"/>
        <v>39.165966373896481</v>
      </c>
      <c r="H58" s="10">
        <f>SUM(G$3:G58)/COUNT(G$3:G58)</f>
        <v>398.96032070354676</v>
      </c>
      <c r="I58" s="10">
        <f>SUM(F$3:F58)/H58</f>
        <v>-3.4907390150005657</v>
      </c>
      <c r="J58" s="11">
        <f t="shared" si="9"/>
        <v>5528.1273196494303</v>
      </c>
      <c r="K58" s="10">
        <f>IFERROR(SQRT(SUM(J$3:J58)/(COUNT(J$3:J58)-1)),"")</f>
        <v>546.37280692430852</v>
      </c>
    </row>
    <row r="59" spans="1:11" x14ac:dyDescent="0.2">
      <c r="A59" s="2">
        <f>[2]ArdiData!A59</f>
        <v>57</v>
      </c>
      <c r="B59" s="13">
        <v>6383.3602430207802</v>
      </c>
      <c r="C59" s="3">
        <f t="shared" si="2"/>
        <v>5782.6429000192647</v>
      </c>
      <c r="D59" s="13">
        <f t="shared" si="3"/>
        <v>24.476002243158554</v>
      </c>
      <c r="E59" s="13">
        <f t="shared" si="6"/>
        <v>5632.4635642688863</v>
      </c>
      <c r="F59" s="12">
        <f t="shared" si="7"/>
        <v>750.89667875189389</v>
      </c>
      <c r="G59" s="12">
        <f t="shared" si="8"/>
        <v>750.89667875189389</v>
      </c>
      <c r="H59" s="10">
        <f>SUM(G$3:G59)/COUNT(G$3:G59)</f>
        <v>405.13464277457041</v>
      </c>
      <c r="I59" s="10">
        <f>SUM(F$3:F59)/H59</f>
        <v>-1.5840898565719927</v>
      </c>
      <c r="J59" s="11">
        <f t="shared" si="9"/>
        <v>512242.61876532721</v>
      </c>
      <c r="K59" s="10">
        <f>IFERROR(SQRT(SUM(J$3:J59)/(COUNT(J$3:J59)-1)),"")</f>
        <v>549.85421845272583</v>
      </c>
    </row>
    <row r="60" spans="1:11" x14ac:dyDescent="0.2">
      <c r="A60" s="2">
        <f>[2]ArdiData!A60</f>
        <v>58</v>
      </c>
      <c r="B60" s="13">
        <v>6421.0416971132518</v>
      </c>
      <c r="C60" s="3">
        <f t="shared" si="2"/>
        <v>5929.9034612325886</v>
      </c>
      <c r="D60" s="13">
        <f t="shared" si="3"/>
        <v>98.146737625257728</v>
      </c>
      <c r="E60" s="13">
        <f t="shared" si="6"/>
        <v>5807.118902262423</v>
      </c>
      <c r="F60" s="12">
        <f t="shared" si="7"/>
        <v>613.92279485082872</v>
      </c>
      <c r="G60" s="12">
        <f t="shared" si="8"/>
        <v>613.92279485082872</v>
      </c>
      <c r="H60" s="10">
        <f>SUM(G$3:G60)/COUNT(G$3:G60)</f>
        <v>408.73443850002315</v>
      </c>
      <c r="I60" s="10">
        <f>SUM(F$3:F60)/H60</f>
        <v>-6.8129525411361885E-2</v>
      </c>
      <c r="J60" s="11">
        <f t="shared" si="9"/>
        <v>334936.95944895776</v>
      </c>
      <c r="K60" s="10">
        <f>IFERROR(SQRT(SUM(J$3:J60)/(COUNT(J$3:J60)-1)),"")</f>
        <v>550.3740037188652</v>
      </c>
    </row>
    <row r="61" spans="1:11" x14ac:dyDescent="0.2">
      <c r="A61" s="2">
        <f>[2]ArdiData!A61</f>
        <v>59</v>
      </c>
      <c r="B61" s="13">
        <v>6732.3029027761122</v>
      </c>
      <c r="C61" s="3">
        <f t="shared" si="2"/>
        <v>6168.9007396415</v>
      </c>
      <c r="D61" s="13">
        <f t="shared" si="3"/>
        <v>182.6570620954499</v>
      </c>
      <c r="E61" s="13">
        <f t="shared" si="6"/>
        <v>6028.0501988578462</v>
      </c>
      <c r="F61" s="12">
        <f t="shared" si="7"/>
        <v>704.25270391826598</v>
      </c>
      <c r="G61" s="12">
        <f t="shared" si="8"/>
        <v>704.25270391826598</v>
      </c>
      <c r="H61" s="10">
        <f>SUM(G$3:G61)/COUNT(G$3:G61)</f>
        <v>413.74322265965441</v>
      </c>
      <c r="I61" s="10">
        <f>SUM(F$3:F61)/H61</f>
        <v>1.6348444725108937</v>
      </c>
      <c r="J61" s="11">
        <f t="shared" si="9"/>
        <v>447651.04243269475</v>
      </c>
      <c r="K61" s="10">
        <f>IFERROR(SQRT(SUM(J$3:J61)/(COUNT(J$3:J61)-1)),"")</f>
        <v>552.63645605743909</v>
      </c>
    </row>
    <row r="62" spans="1:11" x14ac:dyDescent="0.2">
      <c r="A62" s="2">
        <f>[2]ArdiData!A62</f>
        <v>60</v>
      </c>
      <c r="B62" s="13">
        <v>5383.813648815224</v>
      </c>
      <c r="C62" s="3">
        <f t="shared" si="2"/>
        <v>6158.0089711526052</v>
      </c>
      <c r="D62" s="13">
        <f t="shared" si="3"/>
        <v>66.527763744843114</v>
      </c>
      <c r="E62" s="13">
        <f t="shared" si="6"/>
        <v>6351.5578017369498</v>
      </c>
      <c r="F62" s="12">
        <f t="shared" si="7"/>
        <v>-967.7441529217258</v>
      </c>
      <c r="G62" s="12">
        <f t="shared" si="8"/>
        <v>967.7441529217258</v>
      </c>
      <c r="H62" s="10">
        <f>SUM(G$3:G62)/COUNT(G$3:G62)</f>
        <v>422.97657149735556</v>
      </c>
      <c r="I62" s="10">
        <f>SUM(F$3:F62)/H62</f>
        <v>-0.68878125161021431</v>
      </c>
      <c r="J62" s="11">
        <f t="shared" si="9"/>
        <v>1005867.7102186256</v>
      </c>
      <c r="K62" s="10">
        <f>IFERROR(SQRT(SUM(J$3:J62)/(COUNT(J$3:J62)-1)),"")</f>
        <v>563.27548064890027</v>
      </c>
    </row>
    <row r="63" spans="1:11" x14ac:dyDescent="0.2">
      <c r="A63" s="2">
        <f>[2]ArdiData!A63</f>
        <v>61</v>
      </c>
      <c r="B63" s="13">
        <v>6306.029263075081</v>
      </c>
      <c r="C63" s="3">
        <f t="shared" si="2"/>
        <v>6240.8352405329751</v>
      </c>
      <c r="D63" s="13">
        <f t="shared" si="3"/>
        <v>76.306867126159204</v>
      </c>
      <c r="E63" s="13">
        <f t="shared" si="6"/>
        <v>6224.5367348974487</v>
      </c>
      <c r="F63" s="12">
        <f t="shared" si="7"/>
        <v>81.492528177632266</v>
      </c>
      <c r="G63" s="12">
        <f t="shared" si="8"/>
        <v>81.492528177632266</v>
      </c>
      <c r="H63" s="10">
        <f>SUM(G$3:G63)/COUNT(G$3:G63)</f>
        <v>417.37847242654038</v>
      </c>
      <c r="I63" s="10">
        <f>SUM(F$3:F63)/H63</f>
        <v>-0.50277102918154692</v>
      </c>
      <c r="J63" s="11">
        <f t="shared" si="9"/>
        <v>2144.3490998992256</v>
      </c>
      <c r="K63" s="10">
        <f>IFERROR(SQRT(SUM(J$3:J63)/(COUNT(J$3:J63)-1)),"")</f>
        <v>558.59378663471591</v>
      </c>
    </row>
    <row r="64" spans="1:11" x14ac:dyDescent="0.2">
      <c r="A64" s="2">
        <f>[2]ArdiData!A64</f>
        <v>62</v>
      </c>
      <c r="B64" s="13">
        <v>6344.73822659077</v>
      </c>
      <c r="C64" s="3">
        <f t="shared" si="2"/>
        <v>6322.6613314454617</v>
      </c>
      <c r="D64" s="13">
        <f t="shared" si="3"/>
        <v>79.61840139795558</v>
      </c>
      <c r="E64" s="13">
        <f t="shared" si="6"/>
        <v>6317.1421076591341</v>
      </c>
      <c r="F64" s="12">
        <f t="shared" si="7"/>
        <v>27.596118931635829</v>
      </c>
      <c r="G64" s="12">
        <f t="shared" si="8"/>
        <v>27.596118931635829</v>
      </c>
      <c r="H64" s="10">
        <f>SUM(G$3:G64)/COUNT(G$3:G64)</f>
        <v>411.09166027339677</v>
      </c>
      <c r="I64" s="10">
        <f>SUM(F$3:F64)/H64</f>
        <v>-0.44333102035510163</v>
      </c>
      <c r="J64" s="11">
        <f t="shared" si="9"/>
        <v>57.597354328994768</v>
      </c>
      <c r="K64" s="10">
        <f>IFERROR(SQRT(SUM(J$3:J64)/(COUNT(J$3:J64)-1)),"")</f>
        <v>553.99708091449918</v>
      </c>
    </row>
    <row r="65" spans="1:11" x14ac:dyDescent="0.2">
      <c r="A65" s="2">
        <f>[2]ArdiData!A65</f>
        <v>63</v>
      </c>
      <c r="B65" s="13">
        <v>6433.484918596806</v>
      </c>
      <c r="C65" s="3">
        <f t="shared" si="2"/>
        <v>6408.5207699940947</v>
      </c>
      <c r="D65" s="13">
        <f t="shared" si="3"/>
        <v>83.363023688362091</v>
      </c>
      <c r="E65" s="13">
        <f t="shared" si="6"/>
        <v>6402.2797328434172</v>
      </c>
      <c r="F65" s="12">
        <f t="shared" si="7"/>
        <v>31.205185753388832</v>
      </c>
      <c r="G65" s="12">
        <f t="shared" si="8"/>
        <v>31.205185753388832</v>
      </c>
      <c r="H65" s="10">
        <f>SUM(G$3:G65)/COUNT(G$3:G65)</f>
        <v>405.06171623339668</v>
      </c>
      <c r="I65" s="10">
        <f>SUM(F$3:F65)/H65</f>
        <v>-0.37289255785421366</v>
      </c>
      <c r="J65" s="11">
        <f t="shared" si="9"/>
        <v>15.842193134416243</v>
      </c>
      <c r="K65" s="10">
        <f>IFERROR(SQRT(SUM(J$3:J65)/(COUNT(J$3:J65)-1)),"")</f>
        <v>549.51143325981809</v>
      </c>
    </row>
    <row r="66" spans="1:11" x14ac:dyDescent="0.2">
      <c r="A66" s="2">
        <f>[2]ArdiData!A66</f>
        <v>64</v>
      </c>
      <c r="B66" s="13">
        <v>7126.6521295344728</v>
      </c>
      <c r="C66" s="3">
        <f t="shared" si="2"/>
        <v>6618.8374608528602</v>
      </c>
      <c r="D66" s="13">
        <f t="shared" si="3"/>
        <v>159.53522399060412</v>
      </c>
      <c r="E66" s="13">
        <f t="shared" si="6"/>
        <v>6491.8837936824566</v>
      </c>
      <c r="F66" s="12">
        <f t="shared" si="7"/>
        <v>634.76833585201621</v>
      </c>
      <c r="G66" s="12">
        <f t="shared" si="8"/>
        <v>634.76833585201621</v>
      </c>
      <c r="H66" s="10">
        <f>SUM(G$3:G66)/COUNT(G$3:G66)</f>
        <v>408.65088216493757</v>
      </c>
      <c r="I66" s="10">
        <f>SUM(F$3:F66)/H66</f>
        <v>1.1837092675152703</v>
      </c>
      <c r="J66" s="11">
        <f t="shared" si="9"/>
        <v>359499.68375592289</v>
      </c>
      <c r="K66" s="10">
        <f>IFERROR(SQRT(SUM(J$3:J66)/(COUNT(J$3:J66)-1)),"")</f>
        <v>550.34180189206938</v>
      </c>
    </row>
    <row r="67" spans="1:11" x14ac:dyDescent="0.2">
      <c r="A67" s="2">
        <f>[2]ArdiData!A67</f>
        <v>65</v>
      </c>
      <c r="B67" s="13">
        <v>7865.1338288516981</v>
      </c>
      <c r="C67" s="3">
        <f t="shared" si="2"/>
        <v>6995.7249136451119</v>
      </c>
      <c r="D67" s="13">
        <f t="shared" si="3"/>
        <v>289.94656127159266</v>
      </c>
      <c r="E67" s="13">
        <f t="shared" ref="E67:E78" si="10">C66+D66</f>
        <v>6778.3726848434644</v>
      </c>
      <c r="F67" s="12">
        <f t="shared" ref="F67:F77" si="11">B67-E67</f>
        <v>1086.7611440082337</v>
      </c>
      <c r="G67" s="12">
        <f t="shared" ref="G67:G78" si="12">ABS(F67)</f>
        <v>1086.7611440082337</v>
      </c>
      <c r="H67" s="10">
        <f>SUM(G$3:G67)/COUNT(G$3:G67)</f>
        <v>419.0833477317575</v>
      </c>
      <c r="I67" s="10">
        <f>SUM(F$3:F67)/H67</f>
        <v>3.7474287368019708</v>
      </c>
      <c r="J67" s="11">
        <f t="shared" ref="J67:J77" si="13">(F67-$F$78)^2</f>
        <v>1105811.5222199268</v>
      </c>
      <c r="K67" s="10">
        <f>IFERROR(SQRT(SUM(J$3:J67)/(COUNT(J$3:J67)-1)),"")</f>
        <v>561.62439841857861</v>
      </c>
    </row>
    <row r="68" spans="1:11" x14ac:dyDescent="0.2">
      <c r="A68" s="2">
        <f>[2]ArdiData!A68</f>
        <v>66</v>
      </c>
      <c r="B68" s="13">
        <v>7010.35704845092</v>
      </c>
      <c r="C68" s="3">
        <f t="shared" ref="C68:C77" si="14">(1-$M$1)*E68+$M$1*B68</f>
        <v>7230.6085896235481</v>
      </c>
      <c r="D68" s="13">
        <f t="shared" ref="D68:D77" si="15">(1-$M$2)*D67+$M$2*(C68-C67)</f>
        <v>256.90883009569882</v>
      </c>
      <c r="E68" s="13">
        <f t="shared" si="10"/>
        <v>7285.6714749167049</v>
      </c>
      <c r="F68" s="12">
        <f t="shared" si="11"/>
        <v>-275.31442646578489</v>
      </c>
      <c r="G68" s="12">
        <f t="shared" si="12"/>
        <v>275.31442646578489</v>
      </c>
      <c r="H68" s="10">
        <f>SUM(G$3:G68)/COUNT(G$3:G68)</f>
        <v>416.90503074287915</v>
      </c>
      <c r="I68" s="10">
        <f>SUM(F$3:F68)/H68</f>
        <v>3.1066321066731284</v>
      </c>
      <c r="J68" s="11">
        <f t="shared" si="13"/>
        <v>96410.149075691224</v>
      </c>
      <c r="K68" s="10">
        <f>IFERROR(SQRT(SUM(J$3:J68)/(COUNT(J$3:J68)-1)),"")</f>
        <v>558.61664166752325</v>
      </c>
    </row>
    <row r="69" spans="1:11" x14ac:dyDescent="0.2">
      <c r="A69" s="2">
        <f>[2]ArdiData!A69</f>
        <v>67</v>
      </c>
      <c r="B69" s="13">
        <v>9422.7261880039478</v>
      </c>
      <c r="C69" s="3">
        <f t="shared" si="14"/>
        <v>7874.5591733761876</v>
      </c>
      <c r="D69" s="13">
        <f t="shared" si="15"/>
        <v>489.13388228986321</v>
      </c>
      <c r="E69" s="13">
        <f t="shared" si="10"/>
        <v>7487.5174197192473</v>
      </c>
      <c r="F69" s="12">
        <f t="shared" si="11"/>
        <v>1935.2087682847005</v>
      </c>
      <c r="G69" s="12">
        <f t="shared" si="12"/>
        <v>1935.2087682847005</v>
      </c>
      <c r="H69" s="10">
        <f>SUM(G$3:G69)/COUNT(G$3:G69)</f>
        <v>439.56628055693619</v>
      </c>
      <c r="I69" s="10">
        <f>SUM(F$3:F69)/H69</f>
        <v>7.3490153023820293</v>
      </c>
      <c r="J69" s="11">
        <f t="shared" si="13"/>
        <v>3610088.7581698275</v>
      </c>
      <c r="K69" s="10">
        <f>IFERROR(SQRT(SUM(J$3:J69)/(COUNT(J$3:J69)-1)),"")</f>
        <v>601.68330364956819</v>
      </c>
    </row>
    <row r="70" spans="1:11" x14ac:dyDescent="0.2">
      <c r="A70" s="2">
        <f>[2]ArdiData!A70</f>
        <v>68</v>
      </c>
      <c r="B70" s="13">
        <v>7040.5275765927445</v>
      </c>
      <c r="C70" s="3">
        <f t="shared" si="14"/>
        <v>8099.0599598513891</v>
      </c>
      <c r="D70" s="13">
        <f t="shared" si="15"/>
        <v>330.3540248010662</v>
      </c>
      <c r="E70" s="13">
        <f t="shared" si="10"/>
        <v>8363.69305566605</v>
      </c>
      <c r="F70" s="12">
        <f t="shared" si="11"/>
        <v>-1323.1654790733055</v>
      </c>
      <c r="G70" s="12">
        <f t="shared" si="12"/>
        <v>1323.1654790733055</v>
      </c>
      <c r="H70" s="10">
        <f>SUM(G$3:G70)/COUNT(G$3:G70)</f>
        <v>452.56038641747102</v>
      </c>
      <c r="I70" s="10">
        <f>SUM(F$3:F70)/H70</f>
        <v>4.2142748247334074</v>
      </c>
      <c r="J70" s="11">
        <f t="shared" si="13"/>
        <v>1845117.1406041181</v>
      </c>
      <c r="K70" s="10">
        <f>IFERROR(SQRT(SUM(J$3:J70)/(COUNT(J$3:J70)-1)),"")</f>
        <v>619.80523904616064</v>
      </c>
    </row>
    <row r="71" spans="1:11" x14ac:dyDescent="0.2">
      <c r="A71" s="2">
        <f>[2]ArdiData!A71</f>
        <v>69</v>
      </c>
      <c r="B71" s="13">
        <v>9903.7758241325882</v>
      </c>
      <c r="C71" s="3">
        <f t="shared" si="14"/>
        <v>8724.2863525484827</v>
      </c>
      <c r="D71" s="13">
        <f t="shared" si="15"/>
        <v>507.27744553868263</v>
      </c>
      <c r="E71" s="13">
        <f t="shared" si="10"/>
        <v>8429.4139846524558</v>
      </c>
      <c r="F71" s="12">
        <f t="shared" si="11"/>
        <v>1474.3618394801324</v>
      </c>
      <c r="G71" s="12">
        <f t="shared" si="12"/>
        <v>1474.3618394801324</v>
      </c>
      <c r="H71" s="10">
        <f>SUM(G$3:G71)/COUNT(G$3:G71)</f>
        <v>467.3691031285241</v>
      </c>
      <c r="I71" s="10">
        <f>SUM(F$3:F71)/H71</f>
        <v>7.235342815763727</v>
      </c>
      <c r="J71" s="11">
        <f t="shared" si="13"/>
        <v>2071228.7922492027</v>
      </c>
      <c r="K71" s="10">
        <f>IFERROR(SQRT(SUM(J$3:J71)/(COUNT(J$3:J71)-1)),"")</f>
        <v>639.50636516214115</v>
      </c>
    </row>
    <row r="72" spans="1:11" x14ac:dyDescent="0.2">
      <c r="A72" s="2">
        <f>[2]ArdiData!A72</f>
        <v>70</v>
      </c>
      <c r="B72" s="13">
        <v>7385.6932650971721</v>
      </c>
      <c r="C72" s="3">
        <f t="shared" si="14"/>
        <v>8862.3896914891666</v>
      </c>
      <c r="D72" s="13">
        <f t="shared" si="15"/>
        <v>285.77298157988338</v>
      </c>
      <c r="E72" s="13">
        <f t="shared" si="10"/>
        <v>9231.5637980871652</v>
      </c>
      <c r="F72" s="12">
        <f t="shared" si="11"/>
        <v>-1845.8705329899931</v>
      </c>
      <c r="G72" s="12">
        <f t="shared" si="12"/>
        <v>1845.8705329899931</v>
      </c>
      <c r="H72" s="10">
        <f>SUM(G$3:G72)/COUNT(G$3:G72)</f>
        <v>487.06198069797369</v>
      </c>
      <c r="I72" s="10">
        <f>SUM(F$3:F72)/H72</f>
        <v>3.1529973812371912</v>
      </c>
      <c r="J72" s="11">
        <f t="shared" si="13"/>
        <v>3538371.464477106</v>
      </c>
      <c r="K72" s="10">
        <f>IFERROR(SQRT(SUM(J$3:J72)/(COUNT(J$3:J72)-1)),"")</f>
        <v>674.03416739305192</v>
      </c>
    </row>
    <row r="73" spans="1:11" x14ac:dyDescent="0.2">
      <c r="A73" s="2">
        <f>[2]ArdiData!A73</f>
        <v>71</v>
      </c>
      <c r="B73" s="13">
        <v>9011.9704290236768</v>
      </c>
      <c r="C73" s="3">
        <f t="shared" si="14"/>
        <v>9120.9242242599757</v>
      </c>
      <c r="D73" s="13">
        <f t="shared" si="15"/>
        <v>269.42991229443885</v>
      </c>
      <c r="E73" s="13">
        <f t="shared" si="10"/>
        <v>9148.1626730690496</v>
      </c>
      <c r="F73" s="12">
        <f t="shared" si="11"/>
        <v>-136.19224404537272</v>
      </c>
      <c r="G73" s="12">
        <f t="shared" si="12"/>
        <v>136.19224404537272</v>
      </c>
      <c r="H73" s="10">
        <f>SUM(G$3:G73)/COUNT(G$3:G73)</f>
        <v>482.1201534211765</v>
      </c>
      <c r="I73" s="10">
        <f>SUM(F$3:F73)/H73</f>
        <v>2.9028301257776583</v>
      </c>
      <c r="J73" s="11">
        <f t="shared" si="13"/>
        <v>29370.300654045848</v>
      </c>
      <c r="K73" s="10">
        <f>IFERROR(SQRT(SUM(J$3:J73)/(COUNT(J$3:J73)-1)),"")</f>
        <v>669.51573499879032</v>
      </c>
    </row>
    <row r="74" spans="1:11" x14ac:dyDescent="0.2">
      <c r="A74" s="2">
        <f>[2]ArdiData!A74</f>
        <v>72</v>
      </c>
      <c r="B74" s="13">
        <v>10014.199326672129</v>
      </c>
      <c r="C74" s="3">
        <f t="shared" si="14"/>
        <v>9515.1231745779587</v>
      </c>
      <c r="D74" s="13">
        <f t="shared" si="15"/>
        <v>344.29133510856531</v>
      </c>
      <c r="E74" s="13">
        <f t="shared" si="10"/>
        <v>9390.3541365544152</v>
      </c>
      <c r="F74" s="12">
        <f t="shared" si="11"/>
        <v>623.84519011771408</v>
      </c>
      <c r="G74" s="12">
        <f t="shared" si="12"/>
        <v>623.84519011771408</v>
      </c>
      <c r="H74" s="10">
        <f>SUM(G$3:G74)/COUNT(G$3:G74)</f>
        <v>484.08855670862835</v>
      </c>
      <c r="I74" s="10">
        <f>SUM(F$3:F74)/H74</f>
        <v>4.179727175271994</v>
      </c>
      <c r="J74" s="11">
        <f t="shared" si="13"/>
        <v>346520.33553307143</v>
      </c>
      <c r="K74" s="10">
        <f>IFERROR(SQRT(SUM(J$3:J74)/(COUNT(J$3:J74)-1)),"")</f>
        <v>668.44482842799141</v>
      </c>
    </row>
    <row r="75" spans="1:11" x14ac:dyDescent="0.2">
      <c r="A75" s="2">
        <f>[2]ArdiData!A75</f>
        <v>73</v>
      </c>
      <c r="B75" s="13">
        <v>10910.3731121908</v>
      </c>
      <c r="C75" s="3">
        <f t="shared" si="14"/>
        <v>10069.606230187379</v>
      </c>
      <c r="D75" s="13">
        <f t="shared" si="15"/>
        <v>470.40636740907826</v>
      </c>
      <c r="E75" s="13">
        <f t="shared" si="10"/>
        <v>9859.4145096865232</v>
      </c>
      <c r="F75" s="12">
        <f t="shared" si="11"/>
        <v>1050.9586025042772</v>
      </c>
      <c r="G75" s="12">
        <f t="shared" si="12"/>
        <v>1050.9586025042772</v>
      </c>
      <c r="H75" s="10">
        <f>SUM(G$3:G75)/COUNT(G$3:G75)</f>
        <v>491.85389980171948</v>
      </c>
      <c r="I75" s="10">
        <f>SUM(F$3:F75)/H75</f>
        <v>6.2504672616337391</v>
      </c>
      <c r="J75" s="11">
        <f t="shared" si="13"/>
        <v>1031795.1765479931</v>
      </c>
      <c r="K75" s="10">
        <f>IFERROR(SQRT(SUM(J$3:J75)/(COUNT(J$3:J75)-1)),"")</f>
        <v>674.49474784678841</v>
      </c>
    </row>
    <row r="76" spans="1:11" x14ac:dyDescent="0.2">
      <c r="A76" s="2">
        <f>[2]ArdiData!A76</f>
        <v>74</v>
      </c>
      <c r="B76" s="13">
        <v>8358.5918304447059</v>
      </c>
      <c r="C76" s="3">
        <f t="shared" si="14"/>
        <v>10103.728444166107</v>
      </c>
      <c r="D76" s="13">
        <f t="shared" si="15"/>
        <v>208.63587535086799</v>
      </c>
      <c r="E76" s="13">
        <f t="shared" si="10"/>
        <v>10540.012597596457</v>
      </c>
      <c r="F76" s="12">
        <f t="shared" si="11"/>
        <v>-2181.4207671517506</v>
      </c>
      <c r="G76" s="12">
        <f t="shared" si="12"/>
        <v>2181.4207671517506</v>
      </c>
      <c r="H76" s="10">
        <f>SUM(G$3:G76)/COUNT(G$3:G76)</f>
        <v>514.68588449563879</v>
      </c>
      <c r="I76" s="10">
        <f>SUM(F$3:F76)/H76</f>
        <v>1.734836641072375</v>
      </c>
      <c r="J76" s="11">
        <f t="shared" si="13"/>
        <v>4913342.9490877027</v>
      </c>
      <c r="K76" s="10">
        <f>IFERROR(SQRT(SUM(J$3:J76)/(COUNT(J$3:J76)-1)),"")</f>
        <v>718.34332635563669</v>
      </c>
    </row>
    <row r="77" spans="1:11" x14ac:dyDescent="0.2">
      <c r="A77" s="2">
        <f>[2]ArdiData!A77</f>
        <v>75</v>
      </c>
      <c r="B77" s="13">
        <v>12058.374214587961</v>
      </c>
      <c r="C77" s="3">
        <f t="shared" si="14"/>
        <v>10661.566298531172</v>
      </c>
      <c r="D77" s="13">
        <f t="shared" si="15"/>
        <v>418.15706275938624</v>
      </c>
      <c r="E77" s="13">
        <f t="shared" si="10"/>
        <v>10312.364319516975</v>
      </c>
      <c r="F77" s="12">
        <f t="shared" si="11"/>
        <v>1746.0098950709853</v>
      </c>
      <c r="G77" s="12">
        <f t="shared" si="12"/>
        <v>1746.0098950709853</v>
      </c>
      <c r="H77" s="10">
        <f>SUM(G$3:G77)/COUNT(G$3:G77)</f>
        <v>531.10353796997686</v>
      </c>
      <c r="I77" s="10">
        <f>SUM(F$3:F77)/H77</f>
        <v>4.9687219863444785</v>
      </c>
      <c r="J77" s="11">
        <f t="shared" si="13"/>
        <v>2926920.4152448913</v>
      </c>
      <c r="K77" s="10">
        <f>IFERROR(SQRT(SUM(J$3:J77)/(COUNT(J$3:J77)-1)),"")</f>
        <v>740.67328059241811</v>
      </c>
    </row>
    <row r="78" spans="1:11" x14ac:dyDescent="0.2">
      <c r="A78" s="2">
        <f>[2]ArdiData!A78</f>
        <v>0</v>
      </c>
      <c r="B78" s="9"/>
      <c r="D78" s="13"/>
      <c r="E78" s="13">
        <f t="shared" si="10"/>
        <v>11079.723361290558</v>
      </c>
      <c r="F78" s="9">
        <f>AVERAGE(F3:F77)</f>
        <v>35.185411015156845</v>
      </c>
      <c r="G78" s="9">
        <f t="shared" si="12"/>
        <v>35.185411015156845</v>
      </c>
      <c r="H78" s="10">
        <f>1.25*H77</f>
        <v>663.8794224624711</v>
      </c>
      <c r="I78" s="10"/>
      <c r="J78" s="9"/>
      <c r="K78" s="9"/>
    </row>
  </sheetData>
  <conditionalFormatting sqref="L6:L15">
    <cfRule type="expression" dxfId="9" priority="2">
      <formula>$M5=$M$16</formula>
    </cfRule>
  </conditionalFormatting>
  <conditionalFormatting sqref="M6:V15">
    <cfRule type="cellIs" dxfId="8" priority="1" operator="equal">
      <formula>$W$16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2B7D5-CAF9-428F-976A-0F0F4CE58147}">
  <dimension ref="A1:Z64"/>
  <sheetViews>
    <sheetView zoomScaleNormal="100" workbookViewId="0">
      <selection activeCell="I13" sqref="I13:K58"/>
    </sheetView>
  </sheetViews>
  <sheetFormatPr defaultColWidth="9.140625" defaultRowHeight="15.75" x14ac:dyDescent="0.25"/>
  <cols>
    <col min="1" max="1" width="9.140625" style="173"/>
    <col min="2" max="2" width="4.85546875" style="173" customWidth="1"/>
    <col min="3" max="4" width="11.5703125" style="173" customWidth="1"/>
    <col min="5" max="5" width="20" style="173" bestFit="1" customWidth="1"/>
    <col min="6" max="6" width="9.28515625" style="173" bestFit="1" customWidth="1"/>
    <col min="7" max="7" width="8" style="174" bestFit="1" customWidth="1"/>
    <col min="8" max="8" width="12.42578125" style="174" bestFit="1" customWidth="1"/>
    <col min="9" max="12" width="8.42578125" style="174" bestFit="1" customWidth="1"/>
    <col min="13" max="14" width="11.42578125" style="174" customWidth="1"/>
    <col min="15" max="15" width="15.42578125" style="173" bestFit="1" customWidth="1"/>
    <col min="16" max="16384" width="9.140625" style="173"/>
  </cols>
  <sheetData>
    <row r="1" spans="1:26" x14ac:dyDescent="0.25">
      <c r="A1" s="173" t="s">
        <v>117</v>
      </c>
      <c r="G1" s="173"/>
      <c r="H1" s="173"/>
      <c r="I1" s="173"/>
      <c r="J1" s="173"/>
      <c r="K1" s="173" t="s">
        <v>43</v>
      </c>
      <c r="L1" s="188">
        <v>0.3</v>
      </c>
      <c r="M1" t="s">
        <v>140</v>
      </c>
      <c r="N1">
        <v>0.4</v>
      </c>
      <c r="O1" t="str">
        <f>B7&amp;" vs. "&amp;E7</f>
        <v>At vs. Ft=L(t-1)+G(t-1)</v>
      </c>
      <c r="P1"/>
      <c r="Q1"/>
      <c r="R1"/>
      <c r="S1"/>
      <c r="T1"/>
      <c r="U1"/>
      <c r="V1"/>
      <c r="W1"/>
      <c r="X1"/>
    </row>
    <row r="2" spans="1:26" x14ac:dyDescent="0.25">
      <c r="A2" s="173" t="s">
        <v>116</v>
      </c>
      <c r="G2" s="173"/>
      <c r="H2" s="173"/>
      <c r="I2" s="173"/>
      <c r="J2" s="173"/>
      <c r="K2" s="173"/>
      <c r="L2" s="173"/>
      <c r="M2"/>
      <c r="N2"/>
      <c r="O2"/>
      <c r="P2"/>
      <c r="Q2"/>
      <c r="R2"/>
      <c r="S2"/>
      <c r="T2"/>
      <c r="U2"/>
      <c r="V2"/>
      <c r="W2"/>
      <c r="X2"/>
    </row>
    <row r="3" spans="1:26" x14ac:dyDescent="0.25">
      <c r="A3" s="173" t="s">
        <v>115</v>
      </c>
      <c r="G3" s="173"/>
      <c r="H3" s="173"/>
      <c r="I3" s="173"/>
      <c r="J3" s="173"/>
      <c r="K3" s="173"/>
      <c r="L3" s="173"/>
      <c r="M3"/>
      <c r="O3">
        <v>0</v>
      </c>
      <c r="P3"/>
      <c r="Q3"/>
      <c r="R3"/>
      <c r="S3"/>
      <c r="T3"/>
      <c r="U3"/>
      <c r="V3"/>
      <c r="W3"/>
      <c r="X3"/>
    </row>
    <row r="4" spans="1:26" x14ac:dyDescent="0.25">
      <c r="A4" s="173" t="s">
        <v>114</v>
      </c>
      <c r="G4" s="173"/>
      <c r="H4" s="173"/>
      <c r="I4" s="173"/>
      <c r="J4" s="173"/>
      <c r="K4" s="173"/>
      <c r="L4" s="173"/>
      <c r="M4"/>
      <c r="O4">
        <v>0.1</v>
      </c>
      <c r="P4"/>
      <c r="Q4"/>
      <c r="R4"/>
      <c r="S4"/>
      <c r="T4"/>
      <c r="U4"/>
    </row>
    <row r="5" spans="1:26" x14ac:dyDescent="0.25">
      <c r="G5" s="173"/>
      <c r="H5" s="173"/>
      <c r="I5" s="188">
        <v>0.14951773249266317</v>
      </c>
      <c r="J5" s="188">
        <v>0.15487165456799762</v>
      </c>
      <c r="K5" s="188">
        <v>4.7996478069290013E-2</v>
      </c>
      <c r="L5" s="173"/>
      <c r="M5"/>
      <c r="O5"/>
      <c r="P5"/>
      <c r="Q5"/>
      <c r="R5"/>
      <c r="S5"/>
      <c r="T5"/>
      <c r="U5"/>
    </row>
    <row r="6" spans="1:26" ht="16.5" x14ac:dyDescent="0.3">
      <c r="G6" s="173"/>
      <c r="H6" s="173"/>
      <c r="I6" s="180">
        <f>I58</f>
        <v>1.4258323576256628</v>
      </c>
      <c r="J6" s="180">
        <f>J58</f>
        <v>3.7226651245796343</v>
      </c>
      <c r="K6" s="180">
        <f>K58</f>
        <v>0.56722599772187798</v>
      </c>
      <c r="L6" s="173"/>
      <c r="M6">
        <v>0</v>
      </c>
      <c r="N6" s="174">
        <v>0.1</v>
      </c>
      <c r="O6" s="187">
        <f>J6</f>
        <v>3.7226651245796343</v>
      </c>
      <c r="P6" s="187">
        <f>M6</f>
        <v>0</v>
      </c>
      <c r="Q6" s="187">
        <f t="shared" ref="Q6:Z6" si="0">P6+$N$6</f>
        <v>0.1</v>
      </c>
      <c r="R6" s="187">
        <f t="shared" si="0"/>
        <v>0.2</v>
      </c>
      <c r="S6" s="187">
        <f t="shared" si="0"/>
        <v>0.30000000000000004</v>
      </c>
      <c r="T6" s="187">
        <f t="shared" si="0"/>
        <v>0.4</v>
      </c>
      <c r="U6" s="187">
        <f t="shared" si="0"/>
        <v>0.5</v>
      </c>
      <c r="V6" s="187">
        <f t="shared" si="0"/>
        <v>0.6</v>
      </c>
      <c r="W6" s="187">
        <f t="shared" si="0"/>
        <v>0.7</v>
      </c>
      <c r="X6" s="187">
        <f t="shared" si="0"/>
        <v>0.79999999999999993</v>
      </c>
      <c r="Y6" s="187">
        <f t="shared" si="0"/>
        <v>0.89999999999999991</v>
      </c>
      <c r="Z6" s="187">
        <f t="shared" si="0"/>
        <v>0.99999999999999989</v>
      </c>
    </row>
    <row r="7" spans="1:26" ht="16.5" x14ac:dyDescent="0.3">
      <c r="A7" s="174" t="s">
        <v>69</v>
      </c>
      <c r="B7" s="183" t="s">
        <v>0</v>
      </c>
      <c r="C7" s="173" t="s">
        <v>139</v>
      </c>
      <c r="D7" s="173" t="s">
        <v>138</v>
      </c>
      <c r="E7" s="175" t="s">
        <v>137</v>
      </c>
      <c r="F7" s="175" t="s">
        <v>106</v>
      </c>
      <c r="G7" s="175" t="s">
        <v>39</v>
      </c>
      <c r="H7" s="175" t="s">
        <v>105</v>
      </c>
      <c r="I7" s="175" t="s">
        <v>1</v>
      </c>
      <c r="J7" s="175" t="s">
        <v>41</v>
      </c>
      <c r="K7" s="175" t="s">
        <v>42</v>
      </c>
      <c r="L7" s="173"/>
      <c r="M7" s="173"/>
      <c r="O7">
        <f>O3</f>
        <v>0</v>
      </c>
      <c r="P7">
        <f t="dataTable" ref="P7:Z17" dt2D="1" dtr="1" r1="N1" r2="L1"/>
        <v>3.6972178259058728</v>
      </c>
      <c r="Q7">
        <v>3.6667067891884035</v>
      </c>
      <c r="R7" s="173">
        <v>3.6380729418711799</v>
      </c>
      <c r="S7" s="173">
        <v>3.6490287473370437</v>
      </c>
      <c r="T7" s="173">
        <v>3.6926933899536034</v>
      </c>
      <c r="U7" s="173">
        <v>3.7544706637419449</v>
      </c>
      <c r="V7" s="173">
        <v>3.8250301046874653</v>
      </c>
      <c r="W7" s="173">
        <v>3.9014902451537523</v>
      </c>
      <c r="X7" s="173">
        <v>3.9863508303825395</v>
      </c>
      <c r="Y7" s="173">
        <v>4.0874865161015324</v>
      </c>
      <c r="Z7" s="173">
        <v>4.220074968763015</v>
      </c>
    </row>
    <row r="8" spans="1:26" x14ac:dyDescent="0.25">
      <c r="A8" s="173">
        <v>0</v>
      </c>
      <c r="C8" s="173">
        <f>B9</f>
        <v>2</v>
      </c>
      <c r="D8" s="173">
        <f>(B58-B9)/(A58-1)</f>
        <v>6.1224489795918366E-2</v>
      </c>
      <c r="L8" s="173"/>
      <c r="M8" s="173"/>
      <c r="O8">
        <f t="shared" ref="O8:O17" si="1">O7+$O$4</f>
        <v>0.1</v>
      </c>
      <c r="P8">
        <v>3.478968790696519</v>
      </c>
      <c r="Q8">
        <v>3.5051974199838014</v>
      </c>
      <c r="R8" s="173">
        <v>3.5370733966580867</v>
      </c>
      <c r="S8" s="173">
        <v>3.5750432007458968</v>
      </c>
      <c r="T8" s="173">
        <v>3.617218266177431</v>
      </c>
      <c r="U8" s="173">
        <v>3.6616617617594449</v>
      </c>
      <c r="V8" s="173">
        <v>3.7074210037908926</v>
      </c>
      <c r="W8" s="173">
        <v>3.7543478108601782</v>
      </c>
      <c r="X8" s="173">
        <v>3.8027453029857328</v>
      </c>
      <c r="Y8" s="173">
        <v>3.8532815121909594</v>
      </c>
      <c r="Z8" s="173">
        <v>3.9071451710270901</v>
      </c>
    </row>
    <row r="9" spans="1:26" ht="16.5" x14ac:dyDescent="0.3">
      <c r="A9" s="182">
        <v>1</v>
      </c>
      <c r="B9" s="181">
        <v>2</v>
      </c>
      <c r="C9" s="181">
        <f t="shared" ref="C9:C40" si="2">(1-$L$1)*B9+$L$1*E9</f>
        <v>2.0183673469387755</v>
      </c>
      <c r="D9" s="181">
        <f t="shared" ref="D9:D40" si="3">(1-$N$1)*D8+$N$1*(C9-C8)</f>
        <v>4.4081632653061219E-2</v>
      </c>
      <c r="E9" s="178">
        <f t="shared" ref="E9:E19" si="4">C8+D8</f>
        <v>2.0612244897959182</v>
      </c>
      <c r="F9" s="178">
        <f t="shared" ref="F9:F40" si="5">ABS(B9-E9)</f>
        <v>6.1224489795918213E-2</v>
      </c>
      <c r="G9" s="177">
        <f t="shared" ref="G9:G40" si="6">F9^2</f>
        <v>3.7484381507704935E-3</v>
      </c>
      <c r="H9" s="177">
        <f t="shared" ref="H9:H40" si="7">IFERROR(F9/B9,"")</f>
        <v>3.0612244897959107E-2</v>
      </c>
      <c r="I9" s="177">
        <f>AVERAGE(F$9:F9)</f>
        <v>6.1224489795918213E-2</v>
      </c>
      <c r="J9" s="177">
        <f>AVERAGE(G$9:G9)</f>
        <v>3.7484381507704935E-3</v>
      </c>
      <c r="K9" s="177">
        <f>AVERAGE(H$9:H9)</f>
        <v>3.0612244897959107E-2</v>
      </c>
      <c r="M9" s="173"/>
      <c r="O9">
        <f t="shared" si="1"/>
        <v>0.2</v>
      </c>
      <c r="P9">
        <v>3.5157985748465728</v>
      </c>
      <c r="Q9">
        <v>3.5385542319667906</v>
      </c>
      <c r="R9" s="173">
        <v>3.5641625065529521</v>
      </c>
      <c r="S9" s="173">
        <v>3.5929565401209196</v>
      </c>
      <c r="T9" s="173">
        <v>3.6245085551735361</v>
      </c>
      <c r="U9" s="173">
        <v>3.6580462259041981</v>
      </c>
      <c r="V9" s="173">
        <v>3.6931676895424932</v>
      </c>
      <c r="W9" s="173">
        <v>3.7298788185894232</v>
      </c>
      <c r="X9" s="173">
        <v>3.7683299255845788</v>
      </c>
      <c r="Y9" s="173">
        <v>3.8086035998713323</v>
      </c>
      <c r="Z9" s="173">
        <v>3.8506813900021051</v>
      </c>
    </row>
    <row r="10" spans="1:26" ht="16.5" x14ac:dyDescent="0.3">
      <c r="A10" s="182">
        <v>2</v>
      </c>
      <c r="B10" s="181">
        <v>2</v>
      </c>
      <c r="C10" s="181">
        <f t="shared" si="2"/>
        <v>2.0187346938775508</v>
      </c>
      <c r="D10" s="181">
        <f t="shared" si="3"/>
        <v>2.6595918367346837E-2</v>
      </c>
      <c r="E10" s="178">
        <f t="shared" si="4"/>
        <v>2.0624489795918368</v>
      </c>
      <c r="F10" s="178">
        <f t="shared" si="5"/>
        <v>6.2448979591836817E-2</v>
      </c>
      <c r="G10" s="177">
        <f t="shared" si="6"/>
        <v>3.8998750520616511E-3</v>
      </c>
      <c r="H10" s="177">
        <f t="shared" si="7"/>
        <v>3.1224489795918409E-2</v>
      </c>
      <c r="I10" s="177">
        <f>AVERAGE(F$9:F10)</f>
        <v>6.1836734693877515E-2</v>
      </c>
      <c r="J10" s="177">
        <f>AVERAGE(G$9:G10)</f>
        <v>3.8241566014160723E-3</v>
      </c>
      <c r="K10" s="177">
        <f>AVERAGE(H$9:H10)</f>
        <v>3.0918367346938758E-2</v>
      </c>
      <c r="L10" s="173"/>
      <c r="M10" s="173"/>
      <c r="O10">
        <f t="shared" si="1"/>
        <v>0.30000000000000004</v>
      </c>
      <c r="P10">
        <v>3.6394971563115819</v>
      </c>
      <c r="Q10" s="173">
        <v>3.6588793816582732</v>
      </c>
      <c r="R10" s="173">
        <v>3.6786759722314359</v>
      </c>
      <c r="S10" s="173">
        <v>3.6997333907945182</v>
      </c>
      <c r="T10" s="173">
        <v>3.7226651245796334</v>
      </c>
      <c r="U10" s="173">
        <v>3.7473440051393099</v>
      </c>
      <c r="V10" s="173">
        <v>3.7735662049392169</v>
      </c>
      <c r="W10" s="173">
        <v>3.8013896138063088</v>
      </c>
      <c r="X10" s="173">
        <v>3.8310923548223546</v>
      </c>
      <c r="Y10" s="173">
        <v>3.862983211377812</v>
      </c>
      <c r="Z10" s="173">
        <v>3.897232656993606</v>
      </c>
    </row>
    <row r="11" spans="1:26" ht="16.5" x14ac:dyDescent="0.3">
      <c r="A11" s="182">
        <v>3</v>
      </c>
      <c r="B11" s="181">
        <v>1</v>
      </c>
      <c r="C11" s="181">
        <f t="shared" si="2"/>
        <v>1.3135991836734693</v>
      </c>
      <c r="D11" s="181">
        <f t="shared" si="3"/>
        <v>-0.26609665306122454</v>
      </c>
      <c r="E11" s="178">
        <f t="shared" si="4"/>
        <v>2.0453306122448978</v>
      </c>
      <c r="F11" s="178">
        <f t="shared" si="5"/>
        <v>1.0453306122448978</v>
      </c>
      <c r="G11" s="177">
        <f t="shared" si="6"/>
        <v>1.0927160888962928</v>
      </c>
      <c r="H11" s="177">
        <f t="shared" si="7"/>
        <v>1.0453306122448978</v>
      </c>
      <c r="I11" s="177">
        <f>AVERAGE(F$9:F11)</f>
        <v>0.38966802721088428</v>
      </c>
      <c r="J11" s="177">
        <f>AVERAGE(G$9:G11)</f>
        <v>0.36678813403304167</v>
      </c>
      <c r="K11" s="177">
        <f>AVERAGE(H$9:H11)</f>
        <v>0.36905578231292507</v>
      </c>
      <c r="M11" s="173"/>
      <c r="O11">
        <f t="shared" si="1"/>
        <v>0.4</v>
      </c>
      <c r="P11">
        <v>3.7974243475553315</v>
      </c>
      <c r="Q11" s="173">
        <v>3.8148638892556819</v>
      </c>
      <c r="R11" s="173">
        <v>3.8309097087287101</v>
      </c>
      <c r="S11" s="173">
        <v>3.8462847039649399</v>
      </c>
      <c r="T11" s="173">
        <v>3.8623614003157356</v>
      </c>
      <c r="U11" s="173">
        <v>3.8796497625855348</v>
      </c>
      <c r="V11" s="173">
        <v>3.8981314874418951</v>
      </c>
      <c r="W11" s="173">
        <v>3.9177573808484634</v>
      </c>
      <c r="X11" s="173">
        <v>3.9386793295382847</v>
      </c>
      <c r="Y11" s="173">
        <v>3.9612448335740917</v>
      </c>
      <c r="Z11" s="173">
        <v>3.9858807737219291</v>
      </c>
    </row>
    <row r="12" spans="1:26" ht="16.5" x14ac:dyDescent="0.3">
      <c r="A12" s="182">
        <v>4</v>
      </c>
      <c r="B12" s="181">
        <v>0</v>
      </c>
      <c r="C12" s="181">
        <f t="shared" si="2"/>
        <v>0.3142507591836734</v>
      </c>
      <c r="D12" s="181">
        <f t="shared" si="3"/>
        <v>-0.55939736163265308</v>
      </c>
      <c r="E12" s="178">
        <f t="shared" si="4"/>
        <v>1.0475025306122447</v>
      </c>
      <c r="F12" s="178">
        <f t="shared" si="5"/>
        <v>1.0475025306122447</v>
      </c>
      <c r="G12" s="177">
        <f t="shared" si="6"/>
        <v>1.0972615516390567</v>
      </c>
      <c r="H12" s="177" t="str">
        <f t="shared" si="7"/>
        <v/>
      </c>
      <c r="I12" s="177">
        <f>AVERAGE(F$9:F12)</f>
        <v>0.55412665306122433</v>
      </c>
      <c r="J12" s="177">
        <f>AVERAGE(G$9:G12)</f>
        <v>0.54940648843454543</v>
      </c>
      <c r="K12" s="177">
        <f>AVERAGE(H$9:H12)</f>
        <v>0.36905578231292507</v>
      </c>
      <c r="L12" s="173"/>
      <c r="O12">
        <f t="shared" si="1"/>
        <v>0.5</v>
      </c>
      <c r="P12">
        <v>3.984998553153007</v>
      </c>
      <c r="Q12" s="173">
        <v>4.0017436984354493</v>
      </c>
      <c r="R12" s="173">
        <v>4.0162550388519174</v>
      </c>
      <c r="S12" s="173">
        <v>4.0281855986745638</v>
      </c>
      <c r="T12" s="173">
        <v>4.0391940426593305</v>
      </c>
      <c r="U12" s="173">
        <v>4.05050662652366</v>
      </c>
      <c r="V12" s="173">
        <v>4.0625777670443952</v>
      </c>
      <c r="W12" s="173">
        <v>4.0754086442864308</v>
      </c>
      <c r="X12" s="173">
        <v>4.0889100412705686</v>
      </c>
      <c r="Y12" s="173">
        <v>4.1031167830609938</v>
      </c>
      <c r="Z12" s="173">
        <v>4.1182479259208966</v>
      </c>
    </row>
    <row r="13" spans="1:26" ht="16.5" x14ac:dyDescent="0.3">
      <c r="A13" s="182">
        <v>5</v>
      </c>
      <c r="B13" s="181">
        <v>2</v>
      </c>
      <c r="C13" s="181">
        <f t="shared" si="2"/>
        <v>1.3264560192653061</v>
      </c>
      <c r="D13" s="181">
        <f t="shared" si="3"/>
        <v>6.9243687053061276E-2</v>
      </c>
      <c r="E13" s="178">
        <f t="shared" si="4"/>
        <v>-0.24514660244897968</v>
      </c>
      <c r="F13" s="178">
        <f t="shared" si="5"/>
        <v>2.2451466024489797</v>
      </c>
      <c r="G13" s="177">
        <f t="shared" si="6"/>
        <v>5.0406832664881964</v>
      </c>
      <c r="H13" s="177">
        <f t="shared" si="7"/>
        <v>1.1225733012244898</v>
      </c>
      <c r="I13" s="177">
        <f>AVERAGE(F$9:F13)</f>
        <v>0.8923306429387754</v>
      </c>
      <c r="J13" s="177">
        <f>AVERAGE(G$9:G13)</f>
        <v>1.4476618440452758</v>
      </c>
      <c r="K13" s="177">
        <f>AVERAGE(H$9:H13)</f>
        <v>0.55743516204081622</v>
      </c>
      <c r="L13" s="186"/>
      <c r="O13">
        <f t="shared" si="1"/>
        <v>0.6</v>
      </c>
      <c r="P13">
        <v>4.2061952090744334</v>
      </c>
      <c r="Q13" s="173">
        <v>4.2227634923656199</v>
      </c>
      <c r="R13">
        <v>4.238007978246654</v>
      </c>
      <c r="S13">
        <v>4.2494459354259462</v>
      </c>
      <c r="T13" s="173">
        <v>4.2579978360239856</v>
      </c>
      <c r="U13" s="173">
        <v>4.2652292965052556</v>
      </c>
      <c r="V13" s="173">
        <v>4.2723057560032336</v>
      </c>
      <c r="W13" s="173">
        <v>4.2797918934165127</v>
      </c>
      <c r="X13" s="173">
        <v>4.2877975828276735</v>
      </c>
      <c r="Y13" s="173">
        <v>4.2962076788573071</v>
      </c>
      <c r="Z13" s="173">
        <v>4.3048758987930293</v>
      </c>
    </row>
    <row r="14" spans="1:26" ht="16.5" x14ac:dyDescent="0.3">
      <c r="A14" s="182">
        <v>6</v>
      </c>
      <c r="B14" s="181">
        <v>1</v>
      </c>
      <c r="C14" s="181">
        <f t="shared" si="2"/>
        <v>1.1187099118955102</v>
      </c>
      <c r="D14" s="181">
        <f t="shared" si="3"/>
        <v>-4.1552230716081613E-2</v>
      </c>
      <c r="E14" s="178">
        <f t="shared" si="4"/>
        <v>1.3956997063183674</v>
      </c>
      <c r="F14" s="178">
        <f t="shared" si="5"/>
        <v>0.39569970631836737</v>
      </c>
      <c r="G14" s="177">
        <f t="shared" si="6"/>
        <v>0.15657825758044219</v>
      </c>
      <c r="H14" s="177">
        <f t="shared" si="7"/>
        <v>0.39569970631836737</v>
      </c>
      <c r="I14" s="177">
        <f>AVERAGE(F$9:F14)</f>
        <v>0.8095588201687075</v>
      </c>
      <c r="J14" s="177">
        <f>AVERAGE(G$9:G14)</f>
        <v>1.2324812463011368</v>
      </c>
      <c r="K14" s="177">
        <f>AVERAGE(H$9:H14)</f>
        <v>0.52508807089632648</v>
      </c>
      <c r="L14" s="186"/>
      <c r="O14">
        <f t="shared" si="1"/>
        <v>0.7</v>
      </c>
      <c r="P14">
        <v>4.4671956337693128</v>
      </c>
      <c r="Q14" s="173">
        <v>4.4820294911467871</v>
      </c>
      <c r="R14">
        <v>4.499040446550131</v>
      </c>
      <c r="S14">
        <v>4.513288153010234</v>
      </c>
      <c r="T14" s="173">
        <v>4.5236360137174474</v>
      </c>
      <c r="U14" s="173">
        <v>4.5306860602759533</v>
      </c>
      <c r="V14" s="173">
        <v>4.5355997118986355</v>
      </c>
      <c r="W14" s="173">
        <v>4.5394914829146424</v>
      </c>
      <c r="X14" s="173">
        <v>4.5431757204081258</v>
      </c>
      <c r="Y14" s="173">
        <v>4.547115943653715</v>
      </c>
      <c r="Z14" s="173">
        <v>4.5514774125938997</v>
      </c>
    </row>
    <row r="15" spans="1:26" ht="16.5" x14ac:dyDescent="0.3">
      <c r="A15" s="182">
        <v>7</v>
      </c>
      <c r="B15" s="181">
        <v>0</v>
      </c>
      <c r="C15" s="181">
        <f t="shared" si="2"/>
        <v>0.32314730435382855</v>
      </c>
      <c r="D15" s="181">
        <f t="shared" si="3"/>
        <v>-0.3431563814463216</v>
      </c>
      <c r="E15" s="178">
        <f t="shared" si="4"/>
        <v>1.0771576811794286</v>
      </c>
      <c r="F15" s="178">
        <f t="shared" si="5"/>
        <v>1.0771576811794286</v>
      </c>
      <c r="G15" s="177">
        <f t="shared" si="6"/>
        <v>1.1602686701238434</v>
      </c>
      <c r="H15" s="177" t="str">
        <f t="shared" si="7"/>
        <v/>
      </c>
      <c r="I15" s="177">
        <f>AVERAGE(F$9:F15)</f>
        <v>0.84778722888452485</v>
      </c>
      <c r="J15" s="177">
        <f>AVERAGE(G$9:G15)</f>
        <v>1.2221651639900948</v>
      </c>
      <c r="K15" s="177">
        <f>AVERAGE(H$9:H15)</f>
        <v>0.52508807089632648</v>
      </c>
      <c r="L15" s="186"/>
      <c r="O15">
        <f t="shared" si="1"/>
        <v>0.79999999999999993</v>
      </c>
      <c r="P15">
        <v>4.7776558425889126</v>
      </c>
      <c r="Q15" s="173">
        <v>4.7850592666031853</v>
      </c>
      <c r="R15">
        <v>4.7997447016879331</v>
      </c>
      <c r="S15">
        <v>4.8162620849391455</v>
      </c>
      <c r="T15" s="173">
        <v>4.8315737230284377</v>
      </c>
      <c r="U15" s="173">
        <v>4.8442540496678035</v>
      </c>
      <c r="V15" s="173">
        <v>4.8539020998745075</v>
      </c>
      <c r="W15" s="173">
        <v>4.8607199507741861</v>
      </c>
      <c r="X15" s="173">
        <v>4.8652190273529161</v>
      </c>
      <c r="Y15" s="173">
        <v>4.8680234593316358</v>
      </c>
      <c r="Z15" s="173">
        <v>4.8697457854925146</v>
      </c>
    </row>
    <row r="16" spans="1:26" ht="16.5" x14ac:dyDescent="0.3">
      <c r="A16" s="182">
        <v>8</v>
      </c>
      <c r="B16" s="181">
        <v>2</v>
      </c>
      <c r="C16" s="181">
        <f t="shared" si="2"/>
        <v>1.3939972768722519</v>
      </c>
      <c r="D16" s="181">
        <f t="shared" si="3"/>
        <v>0.22244616013957647</v>
      </c>
      <c r="E16" s="178">
        <f t="shared" si="4"/>
        <v>-2.0009077092493055E-2</v>
      </c>
      <c r="F16" s="178">
        <f t="shared" si="5"/>
        <v>2.0200090770924932</v>
      </c>
      <c r="G16" s="177">
        <f t="shared" si="6"/>
        <v>4.0804366715360665</v>
      </c>
      <c r="H16" s="177">
        <f t="shared" si="7"/>
        <v>1.0100045385462466</v>
      </c>
      <c r="I16" s="177">
        <f>AVERAGE(F$9:F16)</f>
        <v>0.99431495991052088</v>
      </c>
      <c r="J16" s="177">
        <f>AVERAGE(G$9:G16)</f>
        <v>1.5794491024333412</v>
      </c>
      <c r="K16" s="177">
        <f>AVERAGE(H$9:H16)</f>
        <v>0.60590748217131318</v>
      </c>
      <c r="L16" s="186"/>
      <c r="O16">
        <f t="shared" si="1"/>
        <v>0.89999999999999991</v>
      </c>
      <c r="P16">
        <v>5.1593555260560278</v>
      </c>
      <c r="Q16" s="173">
        <v>5.1515316517960086</v>
      </c>
      <c r="R16">
        <v>5.15139483315994</v>
      </c>
      <c r="S16">
        <v>5.1566900974359866</v>
      </c>
      <c r="T16" s="173">
        <v>5.1656133210107438</v>
      </c>
      <c r="U16" s="173">
        <v>5.1767418567860668</v>
      </c>
      <c r="V16" s="173">
        <v>5.1889737794119197</v>
      </c>
      <c r="W16" s="173">
        <v>5.2014748610185686</v>
      </c>
      <c r="X16" s="173">
        <v>5.2136324670939791</v>
      </c>
      <c r="Y16" s="173">
        <v>5.2250156334328786</v>
      </c>
      <c r="Z16" s="173">
        <v>5.2353406510421294</v>
      </c>
    </row>
    <row r="17" spans="1:26" ht="16.5" x14ac:dyDescent="0.3">
      <c r="A17" s="182">
        <v>9</v>
      </c>
      <c r="B17" s="181">
        <v>2</v>
      </c>
      <c r="C17" s="181">
        <f t="shared" si="2"/>
        <v>1.8849330311035484</v>
      </c>
      <c r="D17" s="181">
        <f t="shared" si="3"/>
        <v>0.32984199777626444</v>
      </c>
      <c r="E17" s="178">
        <f t="shared" si="4"/>
        <v>1.6164434370118284</v>
      </c>
      <c r="F17" s="178">
        <f t="shared" si="5"/>
        <v>0.38355656298817165</v>
      </c>
      <c r="G17" s="177">
        <f t="shared" si="6"/>
        <v>0.14711563701129929</v>
      </c>
      <c r="H17" s="177">
        <f t="shared" si="7"/>
        <v>0.19177828149408582</v>
      </c>
      <c r="I17" s="177">
        <f>AVERAGE(F$9:F17)</f>
        <v>0.92645291580803757</v>
      </c>
      <c r="J17" s="177">
        <f>AVERAGE(G$9:G17)</f>
        <v>1.4203009396086701</v>
      </c>
      <c r="K17" s="177">
        <f>AVERAGE(H$9:H17)</f>
        <v>0.5467461677888521</v>
      </c>
      <c r="L17" s="186"/>
      <c r="O17">
        <f t="shared" si="1"/>
        <v>0.99999999999999989</v>
      </c>
      <c r="P17">
        <v>5.6763015410245714</v>
      </c>
      <c r="Q17" s="173">
        <v>5.6763015410245714</v>
      </c>
      <c r="R17">
        <v>5.6763015410245714</v>
      </c>
      <c r="S17">
        <v>5.6763015410245705</v>
      </c>
      <c r="T17" s="173">
        <v>5.6763015410245705</v>
      </c>
      <c r="U17" s="173">
        <v>5.6763015410245705</v>
      </c>
      <c r="V17" s="173">
        <v>5.6763015410245705</v>
      </c>
      <c r="W17" s="173">
        <v>5.6763015410245687</v>
      </c>
      <c r="X17" s="173">
        <v>5.6763015410245687</v>
      </c>
      <c r="Y17" s="173">
        <v>5.6763015410245687</v>
      </c>
      <c r="Z17" s="173">
        <v>5.6763015410245687</v>
      </c>
    </row>
    <row r="18" spans="1:26" ht="16.5" x14ac:dyDescent="0.3">
      <c r="A18" s="182">
        <v>10</v>
      </c>
      <c r="B18" s="181">
        <v>3</v>
      </c>
      <c r="C18" s="181">
        <f t="shared" si="2"/>
        <v>2.7644325086639432</v>
      </c>
      <c r="D18" s="181">
        <f t="shared" si="3"/>
        <v>0.54970498968991655</v>
      </c>
      <c r="E18" s="178">
        <f t="shared" si="4"/>
        <v>2.2147750288798127</v>
      </c>
      <c r="F18" s="178">
        <f t="shared" si="5"/>
        <v>0.7852249711201873</v>
      </c>
      <c r="G18" s="177">
        <f t="shared" si="6"/>
        <v>0.61657825527069898</v>
      </c>
      <c r="H18" s="177">
        <f t="shared" si="7"/>
        <v>0.26174165704006241</v>
      </c>
      <c r="I18" s="177">
        <f>AVERAGE(F$9:F18)</f>
        <v>0.91233012133925262</v>
      </c>
      <c r="J18" s="177">
        <f>AVERAGE(G$9:G18)</f>
        <v>1.339928671174873</v>
      </c>
      <c r="K18" s="177">
        <f>AVERAGE(H$9:H18)</f>
        <v>0.51112060394525338</v>
      </c>
      <c r="L18" s="186"/>
      <c r="O18" s="177"/>
      <c r="P18" s="177">
        <f>MIN(P7:Z17)</f>
        <v>3.478968790696519</v>
      </c>
      <c r="R18"/>
      <c r="S18"/>
    </row>
    <row r="19" spans="1:26" ht="16.5" x14ac:dyDescent="0.3">
      <c r="A19" s="182">
        <v>11</v>
      </c>
      <c r="B19" s="181">
        <v>1</v>
      </c>
      <c r="C19" s="181">
        <f t="shared" si="2"/>
        <v>1.6942412495061578</v>
      </c>
      <c r="D19" s="181">
        <f t="shared" si="3"/>
        <v>-9.8253509849164256E-2</v>
      </c>
      <c r="E19" s="178">
        <f t="shared" si="4"/>
        <v>3.3141374983538596</v>
      </c>
      <c r="F19" s="178">
        <f t="shared" si="5"/>
        <v>2.3141374983538596</v>
      </c>
      <c r="G19" s="177">
        <f t="shared" si="6"/>
        <v>5.3552323612874595</v>
      </c>
      <c r="H19" s="177">
        <f t="shared" si="7"/>
        <v>2.3141374983538596</v>
      </c>
      <c r="I19" s="177">
        <f>AVERAGE(F$9:F19)</f>
        <v>1.0397671556133079</v>
      </c>
      <c r="J19" s="177">
        <f>AVERAGE(G$9:G19)</f>
        <v>1.7049562793669262</v>
      </c>
      <c r="K19" s="177">
        <f>AVERAGE(H$9:H19)</f>
        <v>0.71145581443509853</v>
      </c>
      <c r="L19" s="186"/>
      <c r="N19" s="177"/>
      <c r="O19" s="177"/>
      <c r="Q19"/>
      <c r="R19"/>
      <c r="S19"/>
    </row>
    <row r="20" spans="1:26" ht="16.5" x14ac:dyDescent="0.3">
      <c r="A20" s="182">
        <v>12</v>
      </c>
      <c r="B20" s="181">
        <v>3</v>
      </c>
      <c r="C20" s="181">
        <f t="shared" si="2"/>
        <v>2.88596887465431</v>
      </c>
      <c r="D20" s="181">
        <f t="shared" si="3"/>
        <v>0.41773894414976231</v>
      </c>
      <c r="E20" s="178">
        <f t="shared" ref="E20:E59" si="8">(1-$L$1)*E19+$L$1*B19</f>
        <v>2.6198962488477013</v>
      </c>
      <c r="F20" s="178">
        <f t="shared" si="5"/>
        <v>0.38010375115229866</v>
      </c>
      <c r="G20" s="177">
        <f t="shared" si="6"/>
        <v>0.14447886164004858</v>
      </c>
      <c r="H20" s="177">
        <f t="shared" si="7"/>
        <v>0.12670125038409955</v>
      </c>
      <c r="I20" s="177">
        <f>AVERAGE(F$9:F20)</f>
        <v>0.98479520524155717</v>
      </c>
      <c r="J20" s="177">
        <f>AVERAGE(G$9:G20)</f>
        <v>1.5749164945563532</v>
      </c>
      <c r="K20" s="177">
        <f>AVERAGE(H$9:H20)</f>
        <v>0.65298035802999865</v>
      </c>
      <c r="L20" s="186"/>
      <c r="N20" s="177"/>
      <c r="O20" s="177"/>
      <c r="Q20"/>
      <c r="R20"/>
      <c r="S20"/>
    </row>
    <row r="21" spans="1:26" ht="16.5" x14ac:dyDescent="0.3">
      <c r="A21" s="182">
        <v>13</v>
      </c>
      <c r="B21" s="181">
        <v>3</v>
      </c>
      <c r="C21" s="181">
        <f t="shared" si="2"/>
        <v>2.9201782122580169</v>
      </c>
      <c r="D21" s="181">
        <f t="shared" si="3"/>
        <v>0.26432710153134015</v>
      </c>
      <c r="E21" s="178">
        <f t="shared" si="8"/>
        <v>2.7339273741933905</v>
      </c>
      <c r="F21" s="178">
        <f t="shared" si="5"/>
        <v>0.26607262580660951</v>
      </c>
      <c r="G21" s="177">
        <f t="shared" si="6"/>
        <v>7.0794642203624039E-2</v>
      </c>
      <c r="H21" s="177">
        <f t="shared" si="7"/>
        <v>8.8690875268869832E-2</v>
      </c>
      <c r="I21" s="177">
        <f>AVERAGE(F$9:F21)</f>
        <v>0.92950885297733044</v>
      </c>
      <c r="J21" s="177">
        <f>AVERAGE(G$9:G21)</f>
        <v>1.4592148136061431</v>
      </c>
      <c r="K21" s="177">
        <f>AVERAGE(H$9:H21)</f>
        <v>0.60168131414262327</v>
      </c>
      <c r="L21" s="186"/>
      <c r="N21" s="177"/>
      <c r="O21" s="177"/>
      <c r="Q21"/>
      <c r="R21"/>
      <c r="S21"/>
    </row>
    <row r="22" spans="1:26" ht="16.5" x14ac:dyDescent="0.3">
      <c r="A22" s="182">
        <v>14</v>
      </c>
      <c r="B22" s="181">
        <v>2</v>
      </c>
      <c r="C22" s="181">
        <f t="shared" si="2"/>
        <v>2.2441247485806119</v>
      </c>
      <c r="D22" s="181">
        <f t="shared" si="3"/>
        <v>-0.11182512455215793</v>
      </c>
      <c r="E22" s="178">
        <f t="shared" si="8"/>
        <v>2.8137491619353732</v>
      </c>
      <c r="F22" s="178">
        <f t="shared" si="5"/>
        <v>0.81374916193537317</v>
      </c>
      <c r="G22" s="177">
        <f t="shared" si="6"/>
        <v>0.66218769855052217</v>
      </c>
      <c r="H22" s="177">
        <f t="shared" si="7"/>
        <v>0.40687458096768658</v>
      </c>
      <c r="I22" s="177">
        <f>AVERAGE(F$9:F22)</f>
        <v>0.92124030361719067</v>
      </c>
      <c r="J22" s="177">
        <f>AVERAGE(G$9:G22)</f>
        <v>1.4022843053878844</v>
      </c>
      <c r="K22" s="177">
        <f>AVERAGE(H$9:H22)</f>
        <v>0.58544741971137859</v>
      </c>
      <c r="L22" s="186"/>
      <c r="N22" s="177"/>
      <c r="O22" s="177"/>
      <c r="Q22"/>
      <c r="R22"/>
      <c r="S22"/>
    </row>
    <row r="23" spans="1:26" ht="16.5" x14ac:dyDescent="0.3">
      <c r="A23" s="182">
        <v>15</v>
      </c>
      <c r="B23" s="181">
        <v>1</v>
      </c>
      <c r="C23" s="181">
        <f t="shared" si="2"/>
        <v>1.4708873240064282</v>
      </c>
      <c r="D23" s="181">
        <f t="shared" si="3"/>
        <v>-0.37639004456096825</v>
      </c>
      <c r="E23" s="178">
        <f t="shared" si="8"/>
        <v>2.5696244133547612</v>
      </c>
      <c r="F23" s="178">
        <f t="shared" si="5"/>
        <v>1.5696244133547612</v>
      </c>
      <c r="G23" s="177">
        <f t="shared" si="6"/>
        <v>2.4637207989992782</v>
      </c>
      <c r="H23" s="177">
        <f t="shared" si="7"/>
        <v>1.5696244133547612</v>
      </c>
      <c r="I23" s="177">
        <f>AVERAGE(F$9:F23)</f>
        <v>0.96446591093302869</v>
      </c>
      <c r="J23" s="177">
        <f>AVERAGE(G$9:G23)</f>
        <v>1.4730467382953107</v>
      </c>
      <c r="K23" s="177">
        <f>AVERAGE(H$9:H23)</f>
        <v>0.6611533422993312</v>
      </c>
      <c r="L23" s="186"/>
      <c r="N23" s="177"/>
      <c r="O23" s="177"/>
      <c r="Q23"/>
      <c r="R23"/>
      <c r="S23"/>
    </row>
    <row r="24" spans="1:26" ht="16.5" x14ac:dyDescent="0.3">
      <c r="A24" s="182">
        <v>16</v>
      </c>
      <c r="B24" s="181">
        <v>6</v>
      </c>
      <c r="C24" s="181">
        <f t="shared" si="2"/>
        <v>4.8296211268044988</v>
      </c>
      <c r="D24" s="181">
        <f t="shared" si="3"/>
        <v>1.1176594943826474</v>
      </c>
      <c r="E24" s="178">
        <f t="shared" si="8"/>
        <v>2.0987370893483326</v>
      </c>
      <c r="F24" s="178">
        <f t="shared" si="5"/>
        <v>3.9012629106516674</v>
      </c>
      <c r="G24" s="177">
        <f t="shared" si="6"/>
        <v>15.21985229802632</v>
      </c>
      <c r="H24" s="177">
        <f t="shared" si="7"/>
        <v>0.65021048510861124</v>
      </c>
      <c r="I24" s="177">
        <f>AVERAGE(F$9:F24)</f>
        <v>1.1480157234154436</v>
      </c>
      <c r="J24" s="177">
        <f>AVERAGE(G$9:G24)</f>
        <v>2.3322220857784988</v>
      </c>
      <c r="K24" s="177">
        <f>AVERAGE(H$9:H24)</f>
        <v>0.66037170964285108</v>
      </c>
      <c r="L24" s="186"/>
      <c r="N24" s="177"/>
      <c r="O24" s="177"/>
      <c r="Q24"/>
      <c r="R24"/>
      <c r="S24"/>
    </row>
    <row r="25" spans="1:26" ht="16.5" x14ac:dyDescent="0.3">
      <c r="A25" s="182">
        <v>17</v>
      </c>
      <c r="B25" s="181">
        <v>2</v>
      </c>
      <c r="C25" s="181">
        <f t="shared" si="2"/>
        <v>2.3807347887631494</v>
      </c>
      <c r="D25" s="181">
        <f t="shared" si="3"/>
        <v>-0.30895883858695139</v>
      </c>
      <c r="E25" s="178">
        <f t="shared" si="8"/>
        <v>3.2691159625438324</v>
      </c>
      <c r="F25" s="178">
        <f t="shared" si="5"/>
        <v>1.2691159625438324</v>
      </c>
      <c r="G25" s="177">
        <f t="shared" si="6"/>
        <v>1.6106553263835581</v>
      </c>
      <c r="H25" s="177">
        <f t="shared" si="7"/>
        <v>0.6345579812719162</v>
      </c>
      <c r="I25" s="177">
        <f>AVERAGE(F$9:F25)</f>
        <v>1.155139266893584</v>
      </c>
      <c r="J25" s="177">
        <f>AVERAGE(G$9:G25)</f>
        <v>2.2897769822846787</v>
      </c>
      <c r="K25" s="177">
        <f>AVERAGE(H$9:H25)</f>
        <v>0.65865079441812213</v>
      </c>
      <c r="L25" s="186"/>
      <c r="N25" s="177"/>
      <c r="O25" s="177"/>
      <c r="Q25"/>
      <c r="R25"/>
      <c r="S25"/>
    </row>
    <row r="26" spans="1:26" ht="16.5" x14ac:dyDescent="0.3">
      <c r="A26" s="182">
        <v>18</v>
      </c>
      <c r="B26" s="181">
        <v>1</v>
      </c>
      <c r="C26" s="181">
        <f t="shared" si="2"/>
        <v>1.5665143521342046</v>
      </c>
      <c r="D26" s="181">
        <f t="shared" si="3"/>
        <v>-0.51106347780374872</v>
      </c>
      <c r="E26" s="178">
        <f t="shared" si="8"/>
        <v>2.8883811737806826</v>
      </c>
      <c r="F26" s="178">
        <f t="shared" si="5"/>
        <v>1.8883811737806826</v>
      </c>
      <c r="G26" s="177">
        <f t="shared" si="6"/>
        <v>3.5659834574893088</v>
      </c>
      <c r="H26" s="177">
        <f t="shared" si="7"/>
        <v>1.8883811737806826</v>
      </c>
      <c r="I26" s="177">
        <f>AVERAGE(F$9:F26)</f>
        <v>1.1958749283873118</v>
      </c>
      <c r="J26" s="177">
        <f>AVERAGE(G$9:G26)</f>
        <v>2.3606773420182692</v>
      </c>
      <c r="K26" s="177">
        <f>AVERAGE(H$9:H26)</f>
        <v>0.73550894312828219</v>
      </c>
      <c r="L26" s="186"/>
      <c r="N26" s="177"/>
      <c r="O26" s="177"/>
      <c r="Q26"/>
      <c r="R26"/>
      <c r="S26"/>
    </row>
    <row r="27" spans="1:26" ht="16.5" x14ac:dyDescent="0.3">
      <c r="A27" s="182">
        <v>19</v>
      </c>
      <c r="B27" s="181">
        <v>2</v>
      </c>
      <c r="C27" s="181">
        <f t="shared" si="2"/>
        <v>2.0965600464939431</v>
      </c>
      <c r="D27" s="181">
        <f t="shared" si="3"/>
        <v>-9.4619808938353839E-2</v>
      </c>
      <c r="E27" s="178">
        <f t="shared" si="8"/>
        <v>2.3218668216464775</v>
      </c>
      <c r="F27" s="178">
        <f t="shared" si="5"/>
        <v>0.32186682164647751</v>
      </c>
      <c r="G27" s="177">
        <f t="shared" si="6"/>
        <v>0.10359825087680537</v>
      </c>
      <c r="H27" s="177">
        <f t="shared" si="7"/>
        <v>0.16093341082323875</v>
      </c>
      <c r="I27" s="177">
        <f>AVERAGE(F$9:F27)</f>
        <v>1.1498745017167415</v>
      </c>
      <c r="J27" s="177">
        <f>AVERAGE(G$9:G27)</f>
        <v>2.2418837056424028</v>
      </c>
      <c r="K27" s="177">
        <f>AVERAGE(H$9:H27)</f>
        <v>0.70171038240445605</v>
      </c>
      <c r="L27" s="186"/>
      <c r="N27" s="177"/>
      <c r="O27" s="177"/>
      <c r="Q27"/>
      <c r="R27"/>
      <c r="S27"/>
    </row>
    <row r="28" spans="1:26" ht="16.5" x14ac:dyDescent="0.3">
      <c r="A28" s="182">
        <v>20</v>
      </c>
      <c r="B28" s="181">
        <v>2</v>
      </c>
      <c r="C28" s="181">
        <f t="shared" si="2"/>
        <v>2.0675920325457602</v>
      </c>
      <c r="D28" s="181">
        <f t="shared" si="3"/>
        <v>-6.8359090942285483E-2</v>
      </c>
      <c r="E28" s="178">
        <f t="shared" si="8"/>
        <v>2.2253067751525339</v>
      </c>
      <c r="F28" s="178">
        <f t="shared" si="5"/>
        <v>0.22530677515253394</v>
      </c>
      <c r="G28" s="177">
        <f t="shared" si="6"/>
        <v>5.0763142929634485E-2</v>
      </c>
      <c r="H28" s="177">
        <f t="shared" si="7"/>
        <v>0.11265338757626697</v>
      </c>
      <c r="I28" s="177">
        <f>AVERAGE(F$9:F28)</f>
        <v>1.1036461153885313</v>
      </c>
      <c r="J28" s="177">
        <f>AVERAGE(G$9:G28)</f>
        <v>2.1323276775067646</v>
      </c>
      <c r="K28" s="177">
        <f>AVERAGE(H$9:H28)</f>
        <v>0.66898499380289012</v>
      </c>
      <c r="L28" s="186"/>
      <c r="N28" s="177"/>
      <c r="O28" s="177"/>
      <c r="Q28"/>
      <c r="R28"/>
      <c r="S28"/>
    </row>
    <row r="29" spans="1:26" ht="16.5" x14ac:dyDescent="0.3">
      <c r="A29" s="182">
        <v>21</v>
      </c>
      <c r="B29" s="181">
        <v>3</v>
      </c>
      <c r="C29" s="181">
        <f t="shared" si="2"/>
        <v>2.7473144227820319</v>
      </c>
      <c r="D29" s="181">
        <f t="shared" si="3"/>
        <v>0.23087350152913741</v>
      </c>
      <c r="E29" s="178">
        <f t="shared" si="8"/>
        <v>2.1577147426067738</v>
      </c>
      <c r="F29" s="178">
        <f t="shared" si="5"/>
        <v>0.84228525739322624</v>
      </c>
      <c r="G29" s="177">
        <f t="shared" si="6"/>
        <v>0.70944445482197338</v>
      </c>
      <c r="H29" s="177">
        <f t="shared" si="7"/>
        <v>0.28076175246440876</v>
      </c>
      <c r="I29" s="177">
        <f>AVERAGE(F$9:F29)</f>
        <v>1.0912003602458977</v>
      </c>
      <c r="J29" s="177">
        <f>AVERAGE(G$9:G29)</f>
        <v>2.0645713335693934</v>
      </c>
      <c r="K29" s="177">
        <f>AVERAGE(H$9:H29)</f>
        <v>0.64855219162718059</v>
      </c>
      <c r="L29" s="186"/>
      <c r="N29" s="177"/>
      <c r="O29" s="177"/>
      <c r="Q29"/>
      <c r="R29"/>
      <c r="S29"/>
    </row>
    <row r="30" spans="1:26" ht="16.5" x14ac:dyDescent="0.3">
      <c r="A30" s="182">
        <v>22</v>
      </c>
      <c r="B30" s="181">
        <v>4</v>
      </c>
      <c r="C30" s="181">
        <f t="shared" si="2"/>
        <v>3.523120095947422</v>
      </c>
      <c r="D30" s="181">
        <f t="shared" si="3"/>
        <v>0.44884637018363849</v>
      </c>
      <c r="E30" s="178">
        <f t="shared" si="8"/>
        <v>2.4104003198247415</v>
      </c>
      <c r="F30" s="178">
        <f t="shared" si="5"/>
        <v>1.5895996801752585</v>
      </c>
      <c r="G30" s="177">
        <f t="shared" si="6"/>
        <v>2.5268271432132843</v>
      </c>
      <c r="H30" s="177">
        <f t="shared" si="7"/>
        <v>0.39739992004381464</v>
      </c>
      <c r="I30" s="177">
        <f>AVERAGE(F$9:F30)</f>
        <v>1.1138548747881414</v>
      </c>
      <c r="J30" s="177">
        <f>AVERAGE(G$9:G30)</f>
        <v>2.0855829612804793</v>
      </c>
      <c r="K30" s="177">
        <f>AVERAGE(H$9:H30)</f>
        <v>0.63599457804801229</v>
      </c>
      <c r="L30" s="186"/>
      <c r="N30" s="177"/>
      <c r="O30" s="177"/>
    </row>
    <row r="31" spans="1:26" ht="16.5" x14ac:dyDescent="0.3">
      <c r="A31" s="182">
        <v>23</v>
      </c>
      <c r="B31" s="181">
        <v>4</v>
      </c>
      <c r="C31" s="181">
        <f t="shared" si="2"/>
        <v>3.6661840671631953</v>
      </c>
      <c r="D31" s="181">
        <f t="shared" si="3"/>
        <v>0.32653341059649238</v>
      </c>
      <c r="E31" s="178">
        <f t="shared" si="8"/>
        <v>2.887280223877319</v>
      </c>
      <c r="F31" s="178">
        <f t="shared" si="5"/>
        <v>1.112719776122681</v>
      </c>
      <c r="G31" s="177">
        <f t="shared" si="6"/>
        <v>1.2381453001745093</v>
      </c>
      <c r="H31" s="177">
        <f t="shared" si="7"/>
        <v>0.27817994403067026</v>
      </c>
      <c r="I31" s="177">
        <f>AVERAGE(F$9:F31)</f>
        <v>1.1138055226722516</v>
      </c>
      <c r="J31" s="177">
        <f>AVERAGE(G$9:G31)</f>
        <v>2.0487378455802197</v>
      </c>
      <c r="K31" s="177">
        <f>AVERAGE(H$9:H31)</f>
        <v>0.61895578595194833</v>
      </c>
      <c r="L31" s="186"/>
      <c r="N31" s="177"/>
      <c r="O31" s="177"/>
    </row>
    <row r="32" spans="1:26" ht="16.5" x14ac:dyDescent="0.3">
      <c r="A32" s="182">
        <v>24</v>
      </c>
      <c r="B32" s="181">
        <v>5</v>
      </c>
      <c r="C32" s="181">
        <f t="shared" si="2"/>
        <v>4.4663288470142373</v>
      </c>
      <c r="D32" s="181">
        <f t="shared" si="3"/>
        <v>0.51597795829831217</v>
      </c>
      <c r="E32" s="178">
        <f t="shared" si="8"/>
        <v>3.2210961567141227</v>
      </c>
      <c r="F32" s="178">
        <f t="shared" si="5"/>
        <v>1.7789038432858773</v>
      </c>
      <c r="G32" s="177">
        <f t="shared" si="6"/>
        <v>3.1644988836572647</v>
      </c>
      <c r="H32" s="177">
        <f t="shared" si="7"/>
        <v>0.35578076865717545</v>
      </c>
      <c r="I32" s="177">
        <f>AVERAGE(F$9:F32)</f>
        <v>1.1415179526978194</v>
      </c>
      <c r="J32" s="177">
        <f>AVERAGE(G$9:G32)</f>
        <v>2.0952278888334299</v>
      </c>
      <c r="K32" s="177">
        <f>AVERAGE(H$9:H32)</f>
        <v>0.60699328516582229</v>
      </c>
      <c r="L32" s="186"/>
      <c r="N32" s="177"/>
      <c r="O32" s="177"/>
    </row>
    <row r="33" spans="1:15" ht="16.5" hidden="1" x14ac:dyDescent="0.3">
      <c r="A33" s="182">
        <v>25</v>
      </c>
      <c r="B33" s="181">
        <v>4</v>
      </c>
      <c r="C33" s="181">
        <f t="shared" si="2"/>
        <v>3.9264301929099656</v>
      </c>
      <c r="D33" s="181">
        <f t="shared" si="3"/>
        <v>9.3627313337278639E-2</v>
      </c>
      <c r="E33" s="178">
        <f t="shared" si="8"/>
        <v>3.7547673096998859</v>
      </c>
      <c r="F33" s="178">
        <f t="shared" si="5"/>
        <v>0.24523269030011408</v>
      </c>
      <c r="G33" s="177">
        <f t="shared" si="6"/>
        <v>6.0139072391831666E-2</v>
      </c>
      <c r="H33" s="177">
        <f t="shared" si="7"/>
        <v>6.1308172575028519E-2</v>
      </c>
      <c r="I33" s="177">
        <f>AVERAGE(F$9:F33)</f>
        <v>1.1056665422019112</v>
      </c>
      <c r="J33" s="177">
        <f>AVERAGE(G$9:G33)</f>
        <v>2.0138243361757659</v>
      </c>
      <c r="K33" s="177">
        <f>AVERAGE(H$9:H33)</f>
        <v>0.58326784548796173</v>
      </c>
      <c r="L33" s="186"/>
      <c r="N33" s="177"/>
      <c r="O33" s="177"/>
    </row>
    <row r="34" spans="1:15" ht="16.5" hidden="1" x14ac:dyDescent="0.3">
      <c r="A34" s="182">
        <v>26</v>
      </c>
      <c r="B34" s="181">
        <v>2</v>
      </c>
      <c r="C34" s="181">
        <f t="shared" si="2"/>
        <v>2.5485011350369762</v>
      </c>
      <c r="D34" s="181">
        <f t="shared" si="3"/>
        <v>-0.49499523514682858</v>
      </c>
      <c r="E34" s="178">
        <f t="shared" si="8"/>
        <v>3.8283371167899203</v>
      </c>
      <c r="F34" s="178">
        <f t="shared" si="5"/>
        <v>1.8283371167899203</v>
      </c>
      <c r="G34" s="177">
        <f t="shared" si="6"/>
        <v>3.3428166126316787</v>
      </c>
      <c r="H34" s="177">
        <f t="shared" si="7"/>
        <v>0.91416855839496014</v>
      </c>
      <c r="I34" s="177">
        <f>AVERAGE(F$9:F34)</f>
        <v>1.1334615643014501</v>
      </c>
      <c r="J34" s="177">
        <f>AVERAGE(G$9:G34)</f>
        <v>2.0649394237317624</v>
      </c>
      <c r="K34" s="177">
        <f>AVERAGE(H$9:H34)</f>
        <v>0.59705537519242002</v>
      </c>
      <c r="L34" s="186"/>
      <c r="N34" s="177"/>
      <c r="O34" s="177"/>
    </row>
    <row r="35" spans="1:15" ht="16.5" hidden="1" x14ac:dyDescent="0.3">
      <c r="A35" s="182">
        <v>27</v>
      </c>
      <c r="B35" s="181">
        <v>1</v>
      </c>
      <c r="C35" s="181">
        <f t="shared" si="2"/>
        <v>1.6839507945258831</v>
      </c>
      <c r="D35" s="181">
        <f t="shared" si="3"/>
        <v>-0.64281727729253446</v>
      </c>
      <c r="E35" s="178">
        <f t="shared" si="8"/>
        <v>3.2798359817529441</v>
      </c>
      <c r="F35" s="178">
        <f t="shared" si="5"/>
        <v>2.2798359817529441</v>
      </c>
      <c r="G35" s="177">
        <f t="shared" si="6"/>
        <v>5.1976521036954102</v>
      </c>
      <c r="H35" s="177">
        <f t="shared" si="7"/>
        <v>2.2798359817529441</v>
      </c>
      <c r="I35" s="177">
        <f>AVERAGE(F$9:F35)</f>
        <v>1.1759198760589129</v>
      </c>
      <c r="J35" s="177">
        <f>AVERAGE(G$9:G35)</f>
        <v>2.180965819285972</v>
      </c>
      <c r="K35" s="177">
        <f>AVERAGE(H$9:H35)</f>
        <v>0.664366599454841</v>
      </c>
      <c r="L35" s="186"/>
      <c r="N35" s="177"/>
      <c r="O35" s="177"/>
    </row>
    <row r="36" spans="1:15" ht="16.5" hidden="1" x14ac:dyDescent="0.3">
      <c r="A36" s="182">
        <v>28</v>
      </c>
      <c r="B36" s="181">
        <v>4</v>
      </c>
      <c r="C36" s="181">
        <f t="shared" si="2"/>
        <v>3.578765556168118</v>
      </c>
      <c r="D36" s="181">
        <f t="shared" si="3"/>
        <v>0.37223553828137335</v>
      </c>
      <c r="E36" s="178">
        <f t="shared" si="8"/>
        <v>2.5958851872270605</v>
      </c>
      <c r="F36" s="178">
        <f t="shared" si="5"/>
        <v>1.4041148127729395</v>
      </c>
      <c r="G36" s="177">
        <f t="shared" si="6"/>
        <v>1.9715384074483868</v>
      </c>
      <c r="H36" s="177">
        <f t="shared" si="7"/>
        <v>0.35102870319323487</v>
      </c>
      <c r="I36" s="177">
        <f>AVERAGE(F$9:F36)</f>
        <v>1.1840696952272709</v>
      </c>
      <c r="J36" s="177">
        <f>AVERAGE(G$9:G36)</f>
        <v>2.1734862688632011</v>
      </c>
      <c r="K36" s="177">
        <f>AVERAGE(H$9:H36)</f>
        <v>0.65231514190631767</v>
      </c>
      <c r="L36" s="186"/>
      <c r="N36" s="177"/>
      <c r="O36" s="177"/>
    </row>
    <row r="37" spans="1:15" ht="16.5" hidden="1" x14ac:dyDescent="0.3">
      <c r="A37" s="182">
        <v>29</v>
      </c>
      <c r="B37" s="181">
        <v>3</v>
      </c>
      <c r="C37" s="181">
        <f t="shared" si="2"/>
        <v>3.0051358893176823</v>
      </c>
      <c r="D37" s="181">
        <f t="shared" si="3"/>
        <v>-6.1105437713502853E-3</v>
      </c>
      <c r="E37" s="178">
        <f t="shared" si="8"/>
        <v>3.0171196310589421</v>
      </c>
      <c r="F37" s="178">
        <f t="shared" si="5"/>
        <v>1.7119631058942097E-2</v>
      </c>
      <c r="G37" s="177">
        <f t="shared" si="6"/>
        <v>2.9308176759429492E-4</v>
      </c>
      <c r="H37" s="177">
        <f t="shared" si="7"/>
        <v>5.7065436863140322E-3</v>
      </c>
      <c r="I37" s="177">
        <f>AVERAGE(F$9:F37)</f>
        <v>1.143830037842156</v>
      </c>
      <c r="J37" s="177">
        <f>AVERAGE(G$9:G37)</f>
        <v>2.0985485727564557</v>
      </c>
      <c r="K37" s="177">
        <f>AVERAGE(H$9:H37)</f>
        <v>0.62836667530557688</v>
      </c>
      <c r="L37" s="186"/>
      <c r="N37" s="177"/>
      <c r="O37" s="177"/>
    </row>
    <row r="38" spans="1:15" ht="16.5" hidden="1" x14ac:dyDescent="0.3">
      <c r="A38" s="182">
        <v>30</v>
      </c>
      <c r="B38" s="181">
        <v>4</v>
      </c>
      <c r="C38" s="181">
        <f t="shared" si="2"/>
        <v>3.7035951225223775</v>
      </c>
      <c r="D38" s="181">
        <f t="shared" si="3"/>
        <v>0.27571736701906796</v>
      </c>
      <c r="E38" s="178">
        <f t="shared" si="8"/>
        <v>3.0119837417412594</v>
      </c>
      <c r="F38" s="178">
        <f t="shared" si="5"/>
        <v>0.98801625825874062</v>
      </c>
      <c r="G38" s="177">
        <f t="shared" si="6"/>
        <v>0.97617612658360242</v>
      </c>
      <c r="H38" s="177">
        <f t="shared" si="7"/>
        <v>0.24700406456468516</v>
      </c>
      <c r="I38" s="177">
        <f>AVERAGE(F$9:F38)</f>
        <v>1.1386362451893755</v>
      </c>
      <c r="J38" s="177">
        <f>AVERAGE(G$9:G38)</f>
        <v>2.0611361578840275</v>
      </c>
      <c r="K38" s="177">
        <f>AVERAGE(H$9:H38)</f>
        <v>0.61474658206483068</v>
      </c>
      <c r="L38" s="186"/>
      <c r="N38" s="177"/>
      <c r="O38" s="177"/>
    </row>
    <row r="39" spans="1:15" ht="16.5" hidden="1" x14ac:dyDescent="0.3">
      <c r="A39" s="182">
        <v>31</v>
      </c>
      <c r="B39" s="181">
        <v>3</v>
      </c>
      <c r="C39" s="181">
        <f t="shared" si="2"/>
        <v>3.0925165857656642</v>
      </c>
      <c r="D39" s="181">
        <f t="shared" si="3"/>
        <v>-7.9000994491244564E-2</v>
      </c>
      <c r="E39" s="178">
        <f t="shared" si="8"/>
        <v>3.3083886192188814</v>
      </c>
      <c r="F39" s="178">
        <f t="shared" si="5"/>
        <v>0.30838861921888139</v>
      </c>
      <c r="G39" s="177">
        <f t="shared" si="6"/>
        <v>9.5103540463728223E-2</v>
      </c>
      <c r="H39" s="177">
        <f t="shared" si="7"/>
        <v>0.10279620640629379</v>
      </c>
      <c r="I39" s="177">
        <f>AVERAGE(F$9:F39)</f>
        <v>1.1118540637064565</v>
      </c>
      <c r="J39" s="177">
        <f>AVERAGE(G$9:G39)</f>
        <v>1.9977157508704693</v>
      </c>
      <c r="K39" s="177">
        <f>AVERAGE(H$9:H39)</f>
        <v>0.59709312083522592</v>
      </c>
      <c r="L39" s="186"/>
      <c r="N39" s="177"/>
      <c r="O39" s="177"/>
    </row>
    <row r="40" spans="1:15" ht="16.5" hidden="1" x14ac:dyDescent="0.3">
      <c r="A40" s="182">
        <v>32</v>
      </c>
      <c r="B40" s="181">
        <v>1</v>
      </c>
      <c r="C40" s="181">
        <f t="shared" si="2"/>
        <v>1.6647616100359648</v>
      </c>
      <c r="D40" s="181">
        <f t="shared" si="3"/>
        <v>-0.61850258698662652</v>
      </c>
      <c r="E40" s="178">
        <f t="shared" si="8"/>
        <v>3.2158720334532167</v>
      </c>
      <c r="F40" s="178">
        <f t="shared" si="5"/>
        <v>2.2158720334532167</v>
      </c>
      <c r="G40" s="177">
        <f t="shared" si="6"/>
        <v>4.9100888686400932</v>
      </c>
      <c r="H40" s="177">
        <f t="shared" si="7"/>
        <v>2.2158720334532167</v>
      </c>
      <c r="I40" s="177">
        <f>AVERAGE(F$9:F40)</f>
        <v>1.1463546252610426</v>
      </c>
      <c r="J40" s="177">
        <f>AVERAGE(G$9:G40)</f>
        <v>2.0887274108007698</v>
      </c>
      <c r="K40" s="177">
        <f>AVERAGE(H$9:H40)</f>
        <v>0.65105241792249235</v>
      </c>
      <c r="L40" s="186"/>
      <c r="N40" s="177"/>
      <c r="O40" s="177"/>
    </row>
    <row r="41" spans="1:15" ht="16.5" hidden="1" x14ac:dyDescent="0.3">
      <c r="A41" s="182">
        <v>33</v>
      </c>
      <c r="B41" s="181">
        <v>5</v>
      </c>
      <c r="C41" s="181">
        <f t="shared" ref="C41:C58" si="9">(1-$L$1)*B41+$L$1*E41</f>
        <v>4.2653331270251753</v>
      </c>
      <c r="D41" s="181">
        <f t="shared" ref="D41:D58" si="10">(1-$N$1)*D40+$N$1*(C41-C40)</f>
        <v>0.66912705460370847</v>
      </c>
      <c r="E41" s="178">
        <f t="shared" si="8"/>
        <v>2.5511104234172515</v>
      </c>
      <c r="F41" s="178">
        <f t="shared" ref="F41:F58" si="11">ABS(B41-E41)</f>
        <v>2.4488895765827485</v>
      </c>
      <c r="G41" s="177">
        <f t="shared" ref="G41:G58" si="12">F41^2</f>
        <v>5.9970601582956338</v>
      </c>
      <c r="H41" s="177">
        <f t="shared" ref="H41:H58" si="13">IFERROR(F41/B41,"")</f>
        <v>0.48977791531654968</v>
      </c>
      <c r="I41" s="177">
        <f>AVERAGE(F$9:F41)</f>
        <v>1.1858253813617003</v>
      </c>
      <c r="J41" s="177">
        <f>AVERAGE(G$9:G41)</f>
        <v>2.2071617364824325</v>
      </c>
      <c r="K41" s="177">
        <f>AVERAGE(H$9:H41)</f>
        <v>0.64585001461262315</v>
      </c>
      <c r="L41" s="186"/>
      <c r="N41" s="177"/>
      <c r="O41" s="177"/>
    </row>
    <row r="42" spans="1:15" ht="16.5" hidden="1" x14ac:dyDescent="0.3">
      <c r="A42" s="182">
        <v>34</v>
      </c>
      <c r="B42" s="181">
        <v>2</v>
      </c>
      <c r="C42" s="181">
        <f t="shared" si="9"/>
        <v>2.3857331889176225</v>
      </c>
      <c r="D42" s="181">
        <f t="shared" si="10"/>
        <v>-0.3503637424807961</v>
      </c>
      <c r="E42" s="178">
        <f t="shared" si="8"/>
        <v>3.2857772963920757</v>
      </c>
      <c r="F42" s="178">
        <f t="shared" si="11"/>
        <v>1.2857772963920757</v>
      </c>
      <c r="G42" s="177">
        <f t="shared" si="12"/>
        <v>1.6532232559173157</v>
      </c>
      <c r="H42" s="177">
        <f t="shared" si="13"/>
        <v>0.64288864819603786</v>
      </c>
      <c r="I42" s="177">
        <f>AVERAGE(F$9:F42)</f>
        <v>1.1887651435684763</v>
      </c>
      <c r="J42" s="177">
        <f>AVERAGE(G$9:G42)</f>
        <v>2.190869428230517</v>
      </c>
      <c r="K42" s="177">
        <f>AVERAGE(H$9:H42)</f>
        <v>0.64575747191210486</v>
      </c>
      <c r="L42" s="186"/>
      <c r="N42" s="177"/>
      <c r="O42" s="177"/>
    </row>
    <row r="43" spans="1:15" ht="16.5" hidden="1" x14ac:dyDescent="0.3">
      <c r="A43" s="182">
        <v>35</v>
      </c>
      <c r="B43" s="181">
        <v>0</v>
      </c>
      <c r="C43" s="181">
        <f t="shared" si="9"/>
        <v>0.87001323224233584</v>
      </c>
      <c r="D43" s="181">
        <f t="shared" si="10"/>
        <v>-0.81650622815859242</v>
      </c>
      <c r="E43" s="178">
        <f t="shared" si="8"/>
        <v>2.9000441074744527</v>
      </c>
      <c r="F43" s="178">
        <f t="shared" si="11"/>
        <v>2.9000441074744527</v>
      </c>
      <c r="G43" s="177">
        <f t="shared" si="12"/>
        <v>8.4102558252972948</v>
      </c>
      <c r="H43" s="177" t="str">
        <f t="shared" si="13"/>
        <v/>
      </c>
      <c r="I43" s="177">
        <f>AVERAGE(F$9:F43)</f>
        <v>1.237658828251504</v>
      </c>
      <c r="J43" s="177">
        <f>AVERAGE(G$9:G43)</f>
        <v>2.3685661824324251</v>
      </c>
      <c r="K43" s="177">
        <f>AVERAGE(H$9:H43)</f>
        <v>0.64575747191210486</v>
      </c>
      <c r="L43" s="186"/>
      <c r="N43" s="177"/>
      <c r="O43" s="177"/>
    </row>
    <row r="44" spans="1:15" ht="16.5" hidden="1" x14ac:dyDescent="0.3">
      <c r="A44" s="182">
        <v>36</v>
      </c>
      <c r="B44" s="181">
        <v>7</v>
      </c>
      <c r="C44" s="181">
        <f t="shared" si="9"/>
        <v>5.5090092625696343</v>
      </c>
      <c r="D44" s="181">
        <f t="shared" si="10"/>
        <v>1.3656946752357642</v>
      </c>
      <c r="E44" s="178">
        <f t="shared" si="8"/>
        <v>2.030030875232117</v>
      </c>
      <c r="F44" s="178">
        <f t="shared" si="11"/>
        <v>4.969969124767883</v>
      </c>
      <c r="G44" s="177">
        <f t="shared" si="12"/>
        <v>24.700593101146037</v>
      </c>
      <c r="H44" s="177">
        <f t="shared" si="13"/>
        <v>0.70999558925255468</v>
      </c>
      <c r="I44" s="177">
        <f>AVERAGE(F$9:F44)</f>
        <v>1.3413341142658479</v>
      </c>
      <c r="J44" s="177">
        <f>AVERAGE(G$9:G44)</f>
        <v>2.9889002635078032</v>
      </c>
      <c r="K44" s="177">
        <f>AVERAGE(H$9:H44)</f>
        <v>0.64770408152848213</v>
      </c>
      <c r="L44" s="186"/>
      <c r="N44" s="177"/>
      <c r="O44" s="177"/>
    </row>
    <row r="45" spans="1:15" ht="16.5" hidden="1" x14ac:dyDescent="0.3">
      <c r="A45" s="182">
        <v>37</v>
      </c>
      <c r="B45" s="181">
        <v>3</v>
      </c>
      <c r="C45" s="181">
        <f t="shared" si="9"/>
        <v>3.156306483798744</v>
      </c>
      <c r="D45" s="181">
        <f t="shared" si="10"/>
        <v>-0.12166430636689773</v>
      </c>
      <c r="E45" s="178">
        <f t="shared" si="8"/>
        <v>3.5210216126624818</v>
      </c>
      <c r="F45" s="178">
        <f t="shared" si="11"/>
        <v>0.52102161266248181</v>
      </c>
      <c r="G45" s="177">
        <f t="shared" si="12"/>
        <v>0.27146352086141323</v>
      </c>
      <c r="H45" s="177">
        <f t="shared" si="13"/>
        <v>0.17367387088749395</v>
      </c>
      <c r="I45" s="177">
        <f>AVERAGE(F$9:F45)</f>
        <v>1.3191635061144056</v>
      </c>
      <c r="J45" s="177">
        <f>AVERAGE(G$9:G45)</f>
        <v>2.9154560272200634</v>
      </c>
      <c r="K45" s="177">
        <f>AVERAGE(H$9:H45)</f>
        <v>0.63376201650962949</v>
      </c>
      <c r="L45" s="186"/>
      <c r="N45" s="177"/>
      <c r="O45" s="177"/>
    </row>
    <row r="46" spans="1:15" ht="16.5" hidden="1" x14ac:dyDescent="0.3">
      <c r="A46" s="182">
        <v>38</v>
      </c>
      <c r="B46" s="181">
        <v>5</v>
      </c>
      <c r="C46" s="181">
        <f t="shared" si="9"/>
        <v>4.5094145386591213</v>
      </c>
      <c r="D46" s="181">
        <f t="shared" si="10"/>
        <v>0.46824463812401235</v>
      </c>
      <c r="E46" s="178">
        <f t="shared" si="8"/>
        <v>3.3647151288637369</v>
      </c>
      <c r="F46" s="178">
        <f t="shared" si="11"/>
        <v>1.6352848711362631</v>
      </c>
      <c r="G46" s="177">
        <f t="shared" si="12"/>
        <v>2.6741566097671448</v>
      </c>
      <c r="H46" s="177">
        <f t="shared" si="13"/>
        <v>0.32705697422725261</v>
      </c>
      <c r="I46" s="177">
        <f>AVERAGE(F$9:F46)</f>
        <v>1.3274824894044546</v>
      </c>
      <c r="J46" s="177">
        <f>AVERAGE(G$9:G46)</f>
        <v>2.9091060425502495</v>
      </c>
      <c r="K46" s="177">
        <f>AVERAGE(H$9:H46)</f>
        <v>0.62499901530156166</v>
      </c>
      <c r="L46" s="186"/>
      <c r="N46" s="177"/>
      <c r="O46" s="177"/>
    </row>
    <row r="47" spans="1:15" ht="16.5" hidden="1" x14ac:dyDescent="0.3">
      <c r="A47" s="182">
        <v>39</v>
      </c>
      <c r="B47" s="181">
        <v>5</v>
      </c>
      <c r="C47" s="181">
        <f t="shared" si="9"/>
        <v>4.6565901770613847</v>
      </c>
      <c r="D47" s="181">
        <f t="shared" si="10"/>
        <v>0.33981703823531273</v>
      </c>
      <c r="E47" s="178">
        <f t="shared" si="8"/>
        <v>3.8553005902046156</v>
      </c>
      <c r="F47" s="178">
        <f t="shared" si="11"/>
        <v>1.1446994097953844</v>
      </c>
      <c r="G47" s="177">
        <f t="shared" si="12"/>
        <v>1.3103367387859015</v>
      </c>
      <c r="H47" s="177">
        <f t="shared" si="13"/>
        <v>0.22893988195907689</v>
      </c>
      <c r="I47" s="177">
        <f>AVERAGE(F$9:F47)</f>
        <v>1.3227957437734528</v>
      </c>
      <c r="J47" s="177">
        <f>AVERAGE(G$9:G47)</f>
        <v>2.8681119578383432</v>
      </c>
      <c r="K47" s="177">
        <f>AVERAGE(H$9:H47)</f>
        <v>0.61399737270871491</v>
      </c>
      <c r="L47" s="186"/>
      <c r="N47" s="177"/>
      <c r="O47" s="177"/>
    </row>
    <row r="48" spans="1:15" ht="16.5" hidden="1" x14ac:dyDescent="0.3">
      <c r="A48" s="182">
        <v>40</v>
      </c>
      <c r="B48" s="181">
        <v>6</v>
      </c>
      <c r="C48" s="181">
        <f t="shared" si="9"/>
        <v>5.4596131239429688</v>
      </c>
      <c r="D48" s="181">
        <f t="shared" si="10"/>
        <v>0.5250994016938213</v>
      </c>
      <c r="E48" s="178">
        <f t="shared" si="8"/>
        <v>4.1987104131432309</v>
      </c>
      <c r="F48" s="178">
        <f t="shared" si="11"/>
        <v>1.8012895868567691</v>
      </c>
      <c r="G48" s="177">
        <f t="shared" si="12"/>
        <v>3.24464417571863</v>
      </c>
      <c r="H48" s="177">
        <f t="shared" si="13"/>
        <v>0.30021493114279485</v>
      </c>
      <c r="I48" s="177">
        <f>AVERAGE(F$9:F48)</f>
        <v>1.3347580898505356</v>
      </c>
      <c r="J48" s="177">
        <f>AVERAGE(G$9:G48)</f>
        <v>2.8775252632853503</v>
      </c>
      <c r="K48" s="177">
        <f>AVERAGE(H$9:H48)</f>
        <v>0.60551676617990624</v>
      </c>
      <c r="L48" s="186"/>
      <c r="N48" s="177"/>
      <c r="O48" s="177"/>
    </row>
    <row r="49" spans="1:15" ht="16.5" hidden="1" x14ac:dyDescent="0.3">
      <c r="A49" s="182">
        <v>41</v>
      </c>
      <c r="B49" s="181">
        <v>2</v>
      </c>
      <c r="C49" s="181">
        <f t="shared" si="9"/>
        <v>2.821729186760078</v>
      </c>
      <c r="D49" s="181">
        <f t="shared" si="10"/>
        <v>-0.74009393385686373</v>
      </c>
      <c r="E49" s="178">
        <f t="shared" si="8"/>
        <v>4.7390972892002612</v>
      </c>
      <c r="F49" s="178">
        <f t="shared" si="11"/>
        <v>2.7390972892002612</v>
      </c>
      <c r="G49" s="177">
        <f t="shared" si="12"/>
        <v>7.5026539597042197</v>
      </c>
      <c r="H49" s="177">
        <f t="shared" si="13"/>
        <v>1.3695486446001306</v>
      </c>
      <c r="I49" s="177">
        <f>AVERAGE(F$9:F49)</f>
        <v>1.3690102654444314</v>
      </c>
      <c r="J49" s="177">
        <f>AVERAGE(G$9:G49)</f>
        <v>2.9903332802711766</v>
      </c>
      <c r="K49" s="177">
        <f>AVERAGE(H$9:H49)</f>
        <v>0.62562286824359636</v>
      </c>
      <c r="L49" s="186"/>
      <c r="N49" s="177"/>
      <c r="O49" s="177"/>
    </row>
    <row r="50" spans="1:15" ht="16.5" hidden="1" x14ac:dyDescent="0.3">
      <c r="A50" s="182">
        <v>42</v>
      </c>
      <c r="B50" s="181">
        <v>3</v>
      </c>
      <c r="C50" s="181">
        <f t="shared" si="9"/>
        <v>3.2752104307320544</v>
      </c>
      <c r="D50" s="181">
        <f t="shared" si="10"/>
        <v>-0.2626638627253276</v>
      </c>
      <c r="E50" s="178">
        <f t="shared" si="8"/>
        <v>3.9173681024401827</v>
      </c>
      <c r="F50" s="178">
        <f t="shared" si="11"/>
        <v>0.91736810244018274</v>
      </c>
      <c r="G50" s="177">
        <f t="shared" si="12"/>
        <v>0.8415642353747016</v>
      </c>
      <c r="H50" s="177">
        <f t="shared" si="13"/>
        <v>0.30578936748006091</v>
      </c>
      <c r="I50" s="177">
        <f>AVERAGE(F$9:F50)</f>
        <v>1.3582568806109969</v>
      </c>
      <c r="J50" s="177">
        <f>AVERAGE(G$9:G50)</f>
        <v>2.9391721125355463</v>
      </c>
      <c r="K50" s="177">
        <f>AVERAGE(H$9:H50)</f>
        <v>0.61742200924965951</v>
      </c>
      <c r="L50" s="186"/>
      <c r="N50" s="177"/>
      <c r="O50" s="177"/>
    </row>
    <row r="51" spans="1:15" ht="16.5" hidden="1" x14ac:dyDescent="0.3">
      <c r="A51" s="182">
        <v>43</v>
      </c>
      <c r="B51" s="181">
        <v>4</v>
      </c>
      <c r="C51" s="181">
        <f t="shared" si="9"/>
        <v>3.8926473015124383</v>
      </c>
      <c r="D51" s="181">
        <f t="shared" si="10"/>
        <v>8.9376430676957025E-2</v>
      </c>
      <c r="E51" s="178">
        <f t="shared" si="8"/>
        <v>3.6421576717081279</v>
      </c>
      <c r="F51" s="178">
        <f t="shared" si="11"/>
        <v>0.35784232829187212</v>
      </c>
      <c r="G51" s="177">
        <f t="shared" si="12"/>
        <v>0.12805113191734799</v>
      </c>
      <c r="H51" s="177">
        <f t="shared" si="13"/>
        <v>8.9460582072968031E-2</v>
      </c>
      <c r="I51" s="177">
        <f>AVERAGE(F$9:F51)</f>
        <v>1.334991425905901</v>
      </c>
      <c r="J51" s="177">
        <f>AVERAGE(G$9:G51)</f>
        <v>2.8737972060095416</v>
      </c>
      <c r="K51" s="177">
        <f>AVERAGE(H$9:H51)</f>
        <v>0.60422297357024213</v>
      </c>
      <c r="L51" s="186"/>
      <c r="N51" s="177"/>
      <c r="O51" s="177"/>
    </row>
    <row r="52" spans="1:15" ht="16.5" hidden="1" x14ac:dyDescent="0.3">
      <c r="A52" s="182">
        <v>44</v>
      </c>
      <c r="B52" s="181">
        <v>2</v>
      </c>
      <c r="C52" s="181">
        <f t="shared" si="9"/>
        <v>2.5248531110587065</v>
      </c>
      <c r="D52" s="181">
        <f t="shared" si="10"/>
        <v>-0.49349181777531853</v>
      </c>
      <c r="E52" s="178">
        <f t="shared" si="8"/>
        <v>3.7495103701956891</v>
      </c>
      <c r="F52" s="178">
        <f t="shared" si="11"/>
        <v>1.7495103701956891</v>
      </c>
      <c r="G52" s="177">
        <f t="shared" si="12"/>
        <v>3.060786535422257</v>
      </c>
      <c r="H52" s="177">
        <f t="shared" si="13"/>
        <v>0.87475518509784456</v>
      </c>
      <c r="I52" s="177">
        <f>AVERAGE(F$9:F52)</f>
        <v>1.3444123110033961</v>
      </c>
      <c r="J52" s="177">
        <f>AVERAGE(G$9:G52)</f>
        <v>2.8780469634961943</v>
      </c>
      <c r="K52" s="177">
        <f>AVERAGE(H$9:H52)</f>
        <v>0.61082132019286661</v>
      </c>
      <c r="L52" s="186"/>
      <c r="N52" s="177"/>
      <c r="O52" s="177"/>
    </row>
    <row r="53" spans="1:15" ht="16.5" x14ac:dyDescent="0.3">
      <c r="A53" s="182">
        <v>45</v>
      </c>
      <c r="B53" s="181">
        <v>3</v>
      </c>
      <c r="C53" s="181">
        <f t="shared" si="9"/>
        <v>3.0673971777410944</v>
      </c>
      <c r="D53" s="181">
        <f t="shared" si="10"/>
        <v>-7.9077463992235919E-2</v>
      </c>
      <c r="E53" s="178">
        <f t="shared" si="8"/>
        <v>3.2246572591369822</v>
      </c>
      <c r="F53" s="178">
        <f t="shared" si="11"/>
        <v>0.2246572591369822</v>
      </c>
      <c r="G53" s="177">
        <f t="shared" si="12"/>
        <v>5.0470884082941175E-2</v>
      </c>
      <c r="H53" s="177">
        <f t="shared" si="13"/>
        <v>7.4885753045660738E-2</v>
      </c>
      <c r="I53" s="177">
        <f>AVERAGE(F$9:F53)</f>
        <v>1.3195288654063648</v>
      </c>
      <c r="J53" s="177">
        <f>AVERAGE(G$9:G53)</f>
        <v>2.8152119395092328</v>
      </c>
      <c r="K53" s="177">
        <f>AVERAGE(H$9:H53)</f>
        <v>0.59806094954650446</v>
      </c>
      <c r="L53" s="186"/>
      <c r="N53" s="177"/>
      <c r="O53" s="177"/>
    </row>
    <row r="54" spans="1:15" ht="16.5" x14ac:dyDescent="0.3">
      <c r="A54" s="182">
        <v>46</v>
      </c>
      <c r="B54" s="181">
        <v>3</v>
      </c>
      <c r="C54" s="181">
        <f t="shared" si="9"/>
        <v>3.0471780244187658</v>
      </c>
      <c r="D54" s="181">
        <f t="shared" si="10"/>
        <v>-5.5534139724272992E-2</v>
      </c>
      <c r="E54" s="178">
        <f t="shared" si="8"/>
        <v>3.1572600813958873</v>
      </c>
      <c r="F54" s="178">
        <f t="shared" si="11"/>
        <v>0.15726008139588732</v>
      </c>
      <c r="G54" s="177">
        <f t="shared" si="12"/>
        <v>2.4730733200641106E-2</v>
      </c>
      <c r="H54" s="177">
        <f t="shared" si="13"/>
        <v>5.2420027131962442E-2</v>
      </c>
      <c r="I54" s="177">
        <f>AVERAGE(F$9:F54)</f>
        <v>1.2942621527104847</v>
      </c>
      <c r="J54" s="177">
        <f>AVERAGE(G$9:G54)</f>
        <v>2.7545493045894811</v>
      </c>
      <c r="K54" s="177">
        <f>AVERAGE(H$9:H54)</f>
        <v>0.58537162576942214</v>
      </c>
      <c r="L54" s="186"/>
      <c r="N54" s="177"/>
      <c r="O54" s="177"/>
    </row>
    <row r="55" spans="1:15" ht="15.75" customHeight="1" x14ac:dyDescent="0.3">
      <c r="A55" s="182">
        <v>47</v>
      </c>
      <c r="B55" s="181">
        <v>6</v>
      </c>
      <c r="C55" s="181">
        <f t="shared" si="9"/>
        <v>5.1330246170931355</v>
      </c>
      <c r="D55" s="181">
        <f t="shared" si="10"/>
        <v>0.8010181532351841</v>
      </c>
      <c r="E55" s="178">
        <f t="shared" si="8"/>
        <v>3.110082056977121</v>
      </c>
      <c r="F55" s="178">
        <f t="shared" si="11"/>
        <v>2.889917943022879</v>
      </c>
      <c r="G55" s="177">
        <f t="shared" si="12"/>
        <v>8.3516257174055877</v>
      </c>
      <c r="H55" s="177">
        <f t="shared" si="13"/>
        <v>0.48165299050381316</v>
      </c>
      <c r="I55" s="177">
        <f>AVERAGE(F$9:F55)</f>
        <v>1.3282122759086208</v>
      </c>
      <c r="J55" s="177">
        <f>AVERAGE(G$9:G55)</f>
        <v>2.8736360367770577</v>
      </c>
      <c r="K55" s="177">
        <f>AVERAGE(H$9:H55)</f>
        <v>0.5830143840588401</v>
      </c>
      <c r="L55" s="186"/>
      <c r="N55" s="177"/>
      <c r="O55" s="177"/>
    </row>
    <row r="56" spans="1:15" ht="16.5" x14ac:dyDescent="0.3">
      <c r="A56" s="182">
        <v>48</v>
      </c>
      <c r="B56" s="181">
        <v>11</v>
      </c>
      <c r="C56" s="181">
        <f t="shared" si="9"/>
        <v>8.8931172319651939</v>
      </c>
      <c r="D56" s="181">
        <f t="shared" si="10"/>
        <v>1.984647937889934</v>
      </c>
      <c r="E56" s="178">
        <f t="shared" si="8"/>
        <v>3.9770574398839842</v>
      </c>
      <c r="F56" s="178">
        <f t="shared" si="11"/>
        <v>7.0229425601160163</v>
      </c>
      <c r="G56" s="177">
        <f t="shared" si="12"/>
        <v>49.321722202688903</v>
      </c>
      <c r="H56" s="177">
        <f t="shared" si="13"/>
        <v>0.63844932364691054</v>
      </c>
      <c r="I56" s="177">
        <f>AVERAGE(F$9:F56)</f>
        <v>1.4468524901629418</v>
      </c>
      <c r="J56" s="177">
        <f>AVERAGE(G$9:G56)</f>
        <v>3.8413044985668878</v>
      </c>
      <c r="K56" s="177">
        <f>AVERAGE(H$9:H56)</f>
        <v>0.58424627160524167</v>
      </c>
      <c r="L56" s="186"/>
      <c r="N56" s="177"/>
      <c r="O56" s="177"/>
    </row>
    <row r="57" spans="1:15" ht="16.5" x14ac:dyDescent="0.3">
      <c r="A57" s="182">
        <v>49</v>
      </c>
      <c r="B57" s="181">
        <v>5</v>
      </c>
      <c r="C57" s="181">
        <f t="shared" si="9"/>
        <v>5.3251820623756361</v>
      </c>
      <c r="D57" s="181">
        <f t="shared" si="10"/>
        <v>-0.23638530510186273</v>
      </c>
      <c r="E57" s="178">
        <f t="shared" si="8"/>
        <v>6.0839402079187881</v>
      </c>
      <c r="F57" s="178">
        <f t="shared" si="11"/>
        <v>1.0839402079187881</v>
      </c>
      <c r="G57" s="177">
        <f t="shared" si="12"/>
        <v>1.1749263743430256</v>
      </c>
      <c r="H57" s="177">
        <f t="shared" si="13"/>
        <v>0.21678804158375761</v>
      </c>
      <c r="I57" s="177">
        <f>AVERAGE(F$9:F57)</f>
        <v>1.4394461170559181</v>
      </c>
      <c r="J57" s="177">
        <f>AVERAGE(G$9:G57)</f>
        <v>3.786888618480686</v>
      </c>
      <c r="K57" s="177">
        <f>AVERAGE(H$9:H57)</f>
        <v>0.57625804921347024</v>
      </c>
      <c r="L57" s="186"/>
      <c r="N57" s="177"/>
      <c r="O57" s="177"/>
    </row>
    <row r="58" spans="1:15" ht="16.5" x14ac:dyDescent="0.3">
      <c r="A58" s="182">
        <v>50</v>
      </c>
      <c r="B58" s="181">
        <v>5</v>
      </c>
      <c r="C58" s="181">
        <f t="shared" si="9"/>
        <v>5.2276274436629455</v>
      </c>
      <c r="D58" s="181">
        <f t="shared" si="10"/>
        <v>-0.18085303054619387</v>
      </c>
      <c r="E58" s="178">
        <f t="shared" si="8"/>
        <v>5.7587581455431511</v>
      </c>
      <c r="F58" s="178">
        <f t="shared" si="11"/>
        <v>0.75875814554315113</v>
      </c>
      <c r="G58" s="177">
        <f t="shared" si="12"/>
        <v>0.5757139234280817</v>
      </c>
      <c r="H58" s="177">
        <f t="shared" si="13"/>
        <v>0.15175162910863021</v>
      </c>
      <c r="I58" s="177">
        <f>AVERAGE(F$9:F58)</f>
        <v>1.4258323576256628</v>
      </c>
      <c r="J58" s="177">
        <f>AVERAGE(G$9:G58)</f>
        <v>3.7226651245796343</v>
      </c>
      <c r="K58" s="177">
        <f>AVERAGE(H$9:H58)</f>
        <v>0.56722599772187798</v>
      </c>
      <c r="L58" s="186"/>
      <c r="N58" s="177"/>
      <c r="O58" s="177"/>
    </row>
    <row r="59" spans="1:15" ht="16.5" x14ac:dyDescent="0.3">
      <c r="E59" s="178">
        <f t="shared" si="8"/>
        <v>5.5311307018802056</v>
      </c>
      <c r="L59" s="186"/>
      <c r="N59" s="177"/>
      <c r="O59" s="177"/>
    </row>
    <row r="60" spans="1:15" x14ac:dyDescent="0.25">
      <c r="L60" s="186"/>
      <c r="N60" s="177"/>
      <c r="O60" s="177"/>
    </row>
    <row r="61" spans="1:15" x14ac:dyDescent="0.25">
      <c r="L61" s="186"/>
      <c r="N61" s="177"/>
      <c r="O61" s="177"/>
    </row>
    <row r="62" spans="1:15" x14ac:dyDescent="0.25">
      <c r="L62" s="186"/>
      <c r="N62" s="177"/>
      <c r="O62" s="177"/>
    </row>
    <row r="63" spans="1:15" x14ac:dyDescent="0.25">
      <c r="L63" s="177"/>
      <c r="M63" s="173"/>
      <c r="N63" s="177"/>
      <c r="O63" s="177"/>
    </row>
    <row r="64" spans="1:15" x14ac:dyDescent="0.25">
      <c r="E64" s="176"/>
      <c r="F64" s="175"/>
    </row>
  </sheetData>
  <conditionalFormatting sqref="P7:Z17">
    <cfRule type="cellIs" dxfId="7" priority="1" operator="equal">
      <formula>$P$18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5DC20-F0E7-49C6-8378-085D5244E72C}">
  <dimension ref="A1:BC300"/>
  <sheetViews>
    <sheetView zoomScale="96" zoomScaleNormal="96" workbookViewId="0">
      <selection activeCell="B2" sqref="B2"/>
    </sheetView>
  </sheetViews>
  <sheetFormatPr defaultColWidth="9.140625" defaultRowHeight="15" x14ac:dyDescent="0.25"/>
  <cols>
    <col min="1" max="1" width="4.5703125" style="22" bestFit="1" customWidth="1"/>
    <col min="2" max="2" width="11.42578125" style="22" bestFit="1" customWidth="1"/>
    <col min="3" max="3" width="13" style="22" customWidth="1"/>
    <col min="4" max="4" width="8.7109375" style="22" customWidth="1"/>
    <col min="5" max="5" width="12.42578125" style="22" bestFit="1" customWidth="1"/>
    <col min="6" max="6" width="9.7109375" style="22" customWidth="1"/>
    <col min="7" max="7" width="9.140625" style="22"/>
    <col min="8" max="8" width="4.140625" style="22" customWidth="1"/>
    <col min="9" max="9" width="12.140625" style="22" bestFit="1" customWidth="1"/>
    <col min="10" max="13" width="9.28515625" style="22" bestFit="1" customWidth="1"/>
    <col min="14" max="15" width="9.140625" style="22"/>
    <col min="16" max="16" width="9.28515625" style="22" bestFit="1" customWidth="1"/>
    <col min="17" max="27" width="9.140625" style="22"/>
    <col min="28" max="28" width="9.140625" style="22" customWidth="1"/>
    <col min="29" max="31" width="9.140625" style="22"/>
    <col min="32" max="32" width="9.28515625" bestFit="1" customWidth="1"/>
    <col min="33" max="33" width="14" customWidth="1"/>
    <col min="34" max="34" width="12.28515625" customWidth="1"/>
    <col min="35" max="35" width="10.140625" bestFit="1" customWidth="1"/>
    <col min="36" max="36" width="10.140625" customWidth="1"/>
    <col min="37" max="39" width="9.28515625" customWidth="1"/>
    <col min="40" max="40" width="9.28515625" bestFit="1" customWidth="1"/>
    <col min="41" max="41" width="12.28515625" bestFit="1" customWidth="1"/>
    <col min="51" max="16384" width="9.140625" style="22"/>
  </cols>
  <sheetData>
    <row r="1" spans="1:55" ht="15.75" thickBot="1" x14ac:dyDescent="0.3">
      <c r="D1" s="51" t="s">
        <v>15</v>
      </c>
      <c r="E1" s="52">
        <v>1</v>
      </c>
      <c r="F1" s="51" t="s">
        <v>148</v>
      </c>
      <c r="G1" s="7">
        <v>0.31904520104151834</v>
      </c>
    </row>
    <row r="2" spans="1:55" customFormat="1" ht="17.25" thickBot="1" x14ac:dyDescent="0.35">
      <c r="A2" s="23" t="s">
        <v>4</v>
      </c>
      <c r="B2" s="213" t="s">
        <v>126</v>
      </c>
      <c r="C2" s="31" t="s">
        <v>19</v>
      </c>
      <c r="D2" s="31" t="s">
        <v>5</v>
      </c>
      <c r="E2" s="1" t="s">
        <v>36</v>
      </c>
      <c r="F2" s="1" t="s">
        <v>39</v>
      </c>
      <c r="G2" s="1" t="s">
        <v>41</v>
      </c>
      <c r="H2" s="22"/>
    </row>
    <row r="3" spans="1:55" customFormat="1" x14ac:dyDescent="0.25">
      <c r="A3" s="22">
        <v>0</v>
      </c>
      <c r="B3" s="22">
        <f>B4</f>
        <v>50</v>
      </c>
      <c r="C3" s="211">
        <f>B4</f>
        <v>50</v>
      </c>
      <c r="D3" s="211">
        <f>(B31-B4)/(A31-1)</f>
        <v>-7.407407407407407E-2</v>
      </c>
      <c r="E3" s="31"/>
      <c r="F3" s="31"/>
      <c r="G3" s="31"/>
      <c r="H3" s="22"/>
      <c r="X3" s="22"/>
      <c r="Y3" s="22"/>
      <c r="Z3" s="22"/>
      <c r="AA3" s="22"/>
      <c r="AB3" s="22"/>
      <c r="AC3" s="22"/>
      <c r="AD3" s="22"/>
      <c r="AE3" s="22"/>
      <c r="AY3" s="22"/>
      <c r="AZ3" s="22"/>
      <c r="BA3" s="22"/>
      <c r="BB3" s="22"/>
      <c r="BC3" s="22"/>
    </row>
    <row r="4" spans="1:55" customFormat="1" ht="16.5" x14ac:dyDescent="0.3">
      <c r="A4" s="50">
        <v>1</v>
      </c>
      <c r="B4" s="208">
        <f>'[3]1.StatFitPoissNorm'!B2</f>
        <v>50</v>
      </c>
      <c r="C4" s="212">
        <f t="shared" ref="C4:C31" si="0">$E$1*B4+(1-$E$1)*E4</f>
        <v>50</v>
      </c>
      <c r="D4" s="212">
        <f t="shared" ref="D4:D31" si="1">(1-$G$1)*D3+$G$1*(C4-C3)</f>
        <v>-5.0441096219146789E-2</v>
      </c>
      <c r="E4" s="211">
        <f t="shared" ref="E4:E32" si="2">C3+D3</f>
        <v>49.925925925925924</v>
      </c>
      <c r="F4" s="48">
        <f t="shared" ref="F4:F31" si="3">(B4-E4)^2</f>
        <v>5.4869684499317247E-3</v>
      </c>
      <c r="G4" s="48">
        <f>AVERAGE(F$4:F4)</f>
        <v>5.4869684499317247E-3</v>
      </c>
      <c r="H4" s="22"/>
      <c r="I4" s="22"/>
      <c r="K4">
        <v>0.9</v>
      </c>
      <c r="X4" s="22"/>
      <c r="Y4" s="22"/>
      <c r="Z4" s="22"/>
      <c r="AA4" s="22"/>
      <c r="AB4" s="22"/>
      <c r="AC4" s="22"/>
      <c r="AD4" s="22"/>
      <c r="AE4" s="22"/>
      <c r="AY4" s="22"/>
      <c r="AZ4" s="22"/>
      <c r="BA4" s="22"/>
      <c r="BB4" s="22"/>
      <c r="BC4" s="22"/>
    </row>
    <row r="5" spans="1:55" customFormat="1" ht="16.5" x14ac:dyDescent="0.3">
      <c r="A5" s="50">
        <v>2</v>
      </c>
      <c r="B5" s="208">
        <f>'[3]1.StatFitPoissNorm'!B3</f>
        <v>25</v>
      </c>
      <c r="C5" s="212">
        <f t="shared" si="0"/>
        <v>25</v>
      </c>
      <c r="D5" s="212">
        <f t="shared" si="1"/>
        <v>-8.0104781325731143</v>
      </c>
      <c r="E5" s="211">
        <f t="shared" si="2"/>
        <v>49.949558903780854</v>
      </c>
      <c r="F5" s="48">
        <f t="shared" si="3"/>
        <v>622.48048949323049</v>
      </c>
      <c r="G5" s="48">
        <f>AVERAGE(F$4:F5)</f>
        <v>311.24298823084024</v>
      </c>
      <c r="H5" s="22"/>
      <c r="I5" s="22"/>
      <c r="K5">
        <v>0.01</v>
      </c>
      <c r="X5" s="22"/>
      <c r="Y5" s="22"/>
      <c r="Z5" s="22"/>
      <c r="AA5" s="22"/>
      <c r="AB5" s="22"/>
      <c r="AC5" s="22"/>
      <c r="AD5" s="22"/>
      <c r="AE5" s="22"/>
      <c r="AY5" s="22"/>
      <c r="AZ5" s="22"/>
      <c r="BA5" s="22"/>
      <c r="BB5" s="22"/>
      <c r="BC5" s="22"/>
    </row>
    <row r="6" spans="1:55" customFormat="1" ht="16.5" x14ac:dyDescent="0.3">
      <c r="A6" s="50">
        <v>3</v>
      </c>
      <c r="B6" s="208">
        <f>'[3]1.StatFitPoissNorm'!B4</f>
        <v>33</v>
      </c>
      <c r="C6" s="212">
        <f t="shared" si="0"/>
        <v>33</v>
      </c>
      <c r="D6" s="212">
        <f t="shared" si="1"/>
        <v>-2.9024119179954919</v>
      </c>
      <c r="E6" s="211">
        <f t="shared" si="2"/>
        <v>16.989521867426888</v>
      </c>
      <c r="F6" s="48">
        <f t="shared" si="3"/>
        <v>256.33541003360182</v>
      </c>
      <c r="G6" s="48">
        <f>AVERAGE(F$4:F6)</f>
        <v>292.94046216509406</v>
      </c>
      <c r="H6" s="22"/>
      <c r="I6" s="22">
        <v>0.2</v>
      </c>
      <c r="J6">
        <v>0.02</v>
      </c>
      <c r="K6" s="47">
        <f>G31</f>
        <v>746.72247994877853</v>
      </c>
      <c r="L6">
        <f>I6</f>
        <v>0.2</v>
      </c>
      <c r="M6">
        <f t="shared" ref="M6:V6" si="4">L6+$J$6</f>
        <v>0.22</v>
      </c>
      <c r="N6">
        <f t="shared" si="4"/>
        <v>0.24</v>
      </c>
      <c r="O6">
        <f t="shared" si="4"/>
        <v>0.26</v>
      </c>
      <c r="P6">
        <f t="shared" si="4"/>
        <v>0.28000000000000003</v>
      </c>
      <c r="Q6">
        <f t="shared" si="4"/>
        <v>0.30000000000000004</v>
      </c>
      <c r="R6">
        <f t="shared" si="4"/>
        <v>0.32000000000000006</v>
      </c>
      <c r="S6">
        <f t="shared" si="4"/>
        <v>0.34000000000000008</v>
      </c>
      <c r="T6">
        <f t="shared" si="4"/>
        <v>0.3600000000000001</v>
      </c>
      <c r="U6">
        <f t="shared" si="4"/>
        <v>0.38000000000000012</v>
      </c>
      <c r="V6">
        <f t="shared" si="4"/>
        <v>0.40000000000000013</v>
      </c>
      <c r="X6" s="22"/>
      <c r="Y6" s="22"/>
      <c r="Z6" s="22"/>
      <c r="AA6" s="22"/>
      <c r="AB6" s="22"/>
      <c r="AC6" s="22"/>
      <c r="AD6" s="22"/>
      <c r="AE6" s="22"/>
      <c r="AY6" s="22"/>
      <c r="AZ6" s="22"/>
      <c r="BA6" s="22"/>
      <c r="BB6" s="22"/>
      <c r="BC6" s="22"/>
    </row>
    <row r="7" spans="1:55" customFormat="1" ht="16.5" x14ac:dyDescent="0.3">
      <c r="A7" s="50">
        <v>4</v>
      </c>
      <c r="B7" s="208">
        <f>'[3]1.StatFitPoissNorm'!B5</f>
        <v>72</v>
      </c>
      <c r="C7" s="212">
        <f t="shared" si="0"/>
        <v>72</v>
      </c>
      <c r="D7" s="212">
        <f t="shared" si="1"/>
        <v>10.466351516505894</v>
      </c>
      <c r="E7" s="211">
        <f t="shared" si="2"/>
        <v>30.097588082004506</v>
      </c>
      <c r="F7" s="48">
        <f t="shared" si="3"/>
        <v>1755.8121245453708</v>
      </c>
      <c r="G7" s="48">
        <f>AVERAGE(F$4:F7)</f>
        <v>658.65837776016326</v>
      </c>
      <c r="H7" s="22"/>
      <c r="I7" s="22"/>
      <c r="K7">
        <f>K4</f>
        <v>0.9</v>
      </c>
      <c r="L7">
        <f t="dataTable" ref="L7:V17" dt2D="1" dtr="1" r1="G1" r2="E1"/>
        <v>601.46932344147592</v>
      </c>
      <c r="M7">
        <v>612.81120773605221</v>
      </c>
      <c r="N7">
        <v>624.39180726145321</v>
      </c>
      <c r="O7">
        <v>636.21498901797099</v>
      </c>
      <c r="P7">
        <v>648.28439805712719</v>
      </c>
      <c r="Q7">
        <v>660.60350694159297</v>
      </c>
      <c r="R7">
        <v>673.17563566938122</v>
      </c>
      <c r="S7">
        <v>686.00395325603756</v>
      </c>
      <c r="T7">
        <v>699.09146951616083</v>
      </c>
      <c r="U7">
        <v>712.44102299288591</v>
      </c>
      <c r="V7">
        <v>726.05526885065842</v>
      </c>
      <c r="X7" s="22"/>
      <c r="Y7" s="22"/>
      <c r="Z7" s="22"/>
      <c r="AA7" s="22"/>
      <c r="AB7" s="22"/>
      <c r="AC7" s="22"/>
      <c r="AD7" s="22"/>
      <c r="AE7" s="22"/>
      <c r="AY7" s="22"/>
      <c r="AZ7" s="22"/>
      <c r="BA7" s="22"/>
      <c r="BB7" s="22"/>
      <c r="BC7" s="22"/>
    </row>
    <row r="8" spans="1:55" customFormat="1" ht="16.5" x14ac:dyDescent="0.3">
      <c r="A8" s="50">
        <v>5</v>
      </c>
      <c r="B8" s="208">
        <f>'[3]1.StatFitPoissNorm'!B6</f>
        <v>67</v>
      </c>
      <c r="C8" s="212">
        <f t="shared" si="0"/>
        <v>67</v>
      </c>
      <c r="D8" s="212">
        <f t="shared" si="1"/>
        <v>5.531886287543478</v>
      </c>
      <c r="E8" s="211">
        <f t="shared" si="2"/>
        <v>82.466351516505895</v>
      </c>
      <c r="F8" s="48">
        <f t="shared" si="3"/>
        <v>239.2080292321242</v>
      </c>
      <c r="G8" s="48">
        <f>AVERAGE(F$4:F8)</f>
        <v>574.76830805455552</v>
      </c>
      <c r="H8" s="22"/>
      <c r="I8" s="22"/>
      <c r="K8">
        <f t="shared" ref="K8:K17" si="5">K7+$K$5</f>
        <v>0.91</v>
      </c>
      <c r="L8">
        <v>607.12736073479084</v>
      </c>
      <c r="M8">
        <v>618.67131882295496</v>
      </c>
      <c r="N8">
        <v>630.45921322917536</v>
      </c>
      <c r="O8">
        <v>642.49494515485333</v>
      </c>
      <c r="P8">
        <v>654.78219318202821</v>
      </c>
      <c r="Q8">
        <v>667.32446241696675</v>
      </c>
      <c r="R8">
        <v>680.12510504443185</v>
      </c>
      <c r="S8">
        <v>693.18732326543534</v>
      </c>
      <c r="T8">
        <v>706.51416294418561</v>
      </c>
      <c r="U8">
        <v>720.10850373864105</v>
      </c>
      <c r="V8">
        <v>733.97304940764786</v>
      </c>
      <c r="X8" s="22"/>
      <c r="Y8" s="22"/>
      <c r="Z8" s="22"/>
      <c r="AA8" s="22"/>
      <c r="AB8" s="22"/>
      <c r="AC8" s="22"/>
      <c r="AD8" s="22"/>
      <c r="AE8" s="22"/>
      <c r="AY8" s="22"/>
      <c r="AZ8" s="22"/>
      <c r="BA8" s="22"/>
      <c r="BB8" s="22"/>
      <c r="BC8" s="22"/>
    </row>
    <row r="9" spans="1:55" customFormat="1" ht="16.5" x14ac:dyDescent="0.3">
      <c r="A9" s="50">
        <v>6</v>
      </c>
      <c r="B9" s="208">
        <f>'[3]1.StatFitPoissNorm'!B7</f>
        <v>35</v>
      </c>
      <c r="C9" s="212">
        <f t="shared" si="0"/>
        <v>35</v>
      </c>
      <c r="D9" s="212">
        <f t="shared" si="1"/>
        <v>-6.442481918533236</v>
      </c>
      <c r="E9" s="211">
        <f t="shared" si="2"/>
        <v>72.531886287543472</v>
      </c>
      <c r="F9" s="48">
        <f t="shared" si="3"/>
        <v>1408.6424883010936</v>
      </c>
      <c r="G9" s="48">
        <f>AVERAGE(F$4:F9)</f>
        <v>713.7473380956452</v>
      </c>
      <c r="H9" s="22"/>
      <c r="I9" s="22"/>
      <c r="K9">
        <f t="shared" si="5"/>
        <v>0.92</v>
      </c>
      <c r="L9">
        <v>612.85178821280465</v>
      </c>
      <c r="M9">
        <v>624.60111045555402</v>
      </c>
      <c r="N9">
        <v>636.59976219009513</v>
      </c>
      <c r="O9">
        <v>648.85169198547715</v>
      </c>
      <c r="P9">
        <v>661.36062664184499</v>
      </c>
      <c r="Q9">
        <v>674.13012036323175</v>
      </c>
      <c r="R9">
        <v>687.16357624293084</v>
      </c>
      <c r="S9">
        <v>700.46425082308087</v>
      </c>
      <c r="T9">
        <v>714.03524985161494</v>
      </c>
      <c r="U9">
        <v>727.87952084999688</v>
      </c>
      <c r="V9">
        <v>741.99984607398414</v>
      </c>
      <c r="X9" s="22"/>
      <c r="Y9" s="22"/>
      <c r="Z9" s="22"/>
      <c r="AA9" s="22"/>
      <c r="AB9" s="22"/>
      <c r="AC9" s="22"/>
      <c r="AD9" s="22"/>
      <c r="AE9" s="22"/>
      <c r="AY9" s="22"/>
      <c r="AZ9" s="22"/>
      <c r="BA9" s="22"/>
      <c r="BB9" s="22"/>
      <c r="BC9" s="22"/>
    </row>
    <row r="10" spans="1:55" customFormat="1" ht="16.5" x14ac:dyDescent="0.3">
      <c r="A10" s="50">
        <v>7</v>
      </c>
      <c r="B10" s="208">
        <f>'[3]1.StatFitPoissNorm'!B8</f>
        <v>42</v>
      </c>
      <c r="C10" s="212">
        <f t="shared" si="0"/>
        <v>42</v>
      </c>
      <c r="D10" s="212">
        <f t="shared" si="1"/>
        <v>-2.1537225723378244</v>
      </c>
      <c r="E10" s="211">
        <f t="shared" si="2"/>
        <v>28.557518081466764</v>
      </c>
      <c r="F10" s="48">
        <f t="shared" si="3"/>
        <v>180.70032013009299</v>
      </c>
      <c r="G10" s="48">
        <f>AVERAGE(F$4:F10)</f>
        <v>637.59776410056634</v>
      </c>
      <c r="H10" s="22"/>
      <c r="I10" s="22"/>
      <c r="K10">
        <f t="shared" si="5"/>
        <v>0.93</v>
      </c>
      <c r="L10">
        <v>618.64609741228901</v>
      </c>
      <c r="M10">
        <v>630.60435440314518</v>
      </c>
      <c r="N10">
        <v>642.81753098927118</v>
      </c>
      <c r="O10">
        <v>655.28963871160545</v>
      </c>
      <c r="P10">
        <v>668.02446996229207</v>
      </c>
      <c r="Q10">
        <v>681.02564753941374</v>
      </c>
      <c r="R10">
        <v>694.29664737627627</v>
      </c>
      <c r="S10">
        <v>707.84080500585389</v>
      </c>
      <c r="T10">
        <v>721.6613136940897</v>
      </c>
      <c r="U10">
        <v>735.7612197074435</v>
      </c>
      <c r="V10">
        <v>750.1434181976</v>
      </c>
      <c r="X10" s="22"/>
      <c r="Y10" s="22"/>
      <c r="Z10" s="22"/>
      <c r="AA10" s="22"/>
      <c r="AB10" s="22"/>
      <c r="AC10" s="22"/>
      <c r="AD10" s="22"/>
      <c r="AE10" s="22"/>
      <c r="AY10" s="22"/>
      <c r="AZ10" s="22"/>
      <c r="BA10" s="22"/>
      <c r="BB10" s="22"/>
      <c r="BC10" s="22"/>
    </row>
    <row r="11" spans="1:55" customFormat="1" ht="16.5" x14ac:dyDescent="0.3">
      <c r="A11" s="50">
        <v>8</v>
      </c>
      <c r="B11" s="208">
        <f>'[3]1.StatFitPoissNorm'!B9</f>
        <v>44</v>
      </c>
      <c r="C11" s="212">
        <f t="shared" si="0"/>
        <v>44</v>
      </c>
      <c r="D11" s="212">
        <f t="shared" si="1"/>
        <v>-0.82849731917561042</v>
      </c>
      <c r="E11" s="211">
        <f t="shared" si="2"/>
        <v>39.846277427662173</v>
      </c>
      <c r="F11" s="48">
        <f t="shared" si="3"/>
        <v>17.253411207948776</v>
      </c>
      <c r="G11" s="48">
        <f>AVERAGE(F$4:F11)</f>
        <v>560.05471998898906</v>
      </c>
      <c r="H11" s="22"/>
      <c r="I11" s="22"/>
      <c r="K11">
        <f t="shared" si="5"/>
        <v>0.94000000000000006</v>
      </c>
      <c r="L11">
        <v>624.51404414100205</v>
      </c>
      <c r="M11">
        <v>636.68511203295213</v>
      </c>
      <c r="N11">
        <v>649.11691386078667</v>
      </c>
      <c r="O11">
        <v>661.81354241692134</v>
      </c>
      <c r="P11">
        <v>674.77887600499798</v>
      </c>
      <c r="Q11">
        <v>688.01662874007991</v>
      </c>
      <c r="R11">
        <v>701.53037485028165</v>
      </c>
      <c r="S11">
        <v>715.32355735006217</v>
      </c>
      <c r="T11">
        <v>729.39948884246462</v>
      </c>
      <c r="U11">
        <v>743.76134978054529</v>
      </c>
      <c r="V11">
        <v>758.41218758281957</v>
      </c>
      <c r="X11" s="22"/>
      <c r="Y11" s="22"/>
      <c r="Z11" s="22"/>
      <c r="AA11" s="22"/>
      <c r="AB11" s="22"/>
      <c r="AC11" s="22"/>
      <c r="AD11" s="22"/>
      <c r="AE11" s="22"/>
      <c r="AY11" s="22"/>
      <c r="AZ11" s="22"/>
      <c r="BA11" s="22"/>
      <c r="BB11" s="22"/>
      <c r="BC11" s="22"/>
    </row>
    <row r="12" spans="1:55" customFormat="1" ht="16.5" x14ac:dyDescent="0.3">
      <c r="A12" s="50">
        <v>9</v>
      </c>
      <c r="B12" s="208">
        <f>'[3]1.StatFitPoissNorm'!B10</f>
        <v>51</v>
      </c>
      <c r="C12" s="212">
        <f t="shared" si="0"/>
        <v>51</v>
      </c>
      <c r="D12" s="212">
        <f t="shared" si="1"/>
        <v>1.6691471818737593</v>
      </c>
      <c r="E12" s="211">
        <f t="shared" si="2"/>
        <v>43.171502680824389</v>
      </c>
      <c r="F12" s="48">
        <f t="shared" si="3"/>
        <v>61.285370276339727</v>
      </c>
      <c r="G12" s="48">
        <f>AVERAGE(F$4:F12)</f>
        <v>504.63590335425022</v>
      </c>
      <c r="H12" s="22"/>
      <c r="I12" s="22"/>
      <c r="K12">
        <f t="shared" si="5"/>
        <v>0.95000000000000007</v>
      </c>
      <c r="L12">
        <v>630.45966331484999</v>
      </c>
      <c r="M12">
        <v>642.84775089270386</v>
      </c>
      <c r="N12">
        <v>655.50264095990644</v>
      </c>
      <c r="O12">
        <v>668.42852877827067</v>
      </c>
      <c r="P12">
        <v>681.62940211637567</v>
      </c>
      <c r="Q12">
        <v>695.10909267352758</v>
      </c>
      <c r="R12">
        <v>708.87130230220635</v>
      </c>
      <c r="S12">
        <v>722.91961421986741</v>
      </c>
      <c r="T12">
        <v>737.25749680417459</v>
      </c>
      <c r="U12">
        <v>751.88830517951169</v>
      </c>
      <c r="V12">
        <v>766.81528391281336</v>
      </c>
      <c r="X12" s="22"/>
      <c r="Y12" s="22"/>
      <c r="Z12" s="22"/>
      <c r="AA12" s="22"/>
      <c r="AB12" s="22"/>
      <c r="AC12" s="22"/>
      <c r="AD12" s="22"/>
      <c r="AE12" s="22"/>
      <c r="AY12" s="22"/>
      <c r="AZ12" s="22"/>
      <c r="BA12" s="22"/>
      <c r="BB12" s="22"/>
      <c r="BC12" s="22"/>
    </row>
    <row r="13" spans="1:55" customFormat="1" ht="16.5" x14ac:dyDescent="0.3">
      <c r="A13" s="50">
        <v>10</v>
      </c>
      <c r="B13" s="208">
        <f>'[3]1.StatFitPoissNorm'!B11</f>
        <v>39</v>
      </c>
      <c r="C13" s="212">
        <f t="shared" si="0"/>
        <v>39</v>
      </c>
      <c r="D13" s="212">
        <f t="shared" si="1"/>
        <v>-2.6919286288332582</v>
      </c>
      <c r="E13" s="211">
        <f t="shared" si="2"/>
        <v>52.669147181873761</v>
      </c>
      <c r="F13" s="48">
        <f t="shared" si="3"/>
        <v>186.84558467972738</v>
      </c>
      <c r="G13" s="48">
        <f>AVERAGE(F$4:F13)</f>
        <v>472.8568714867979</v>
      </c>
      <c r="H13" s="22"/>
      <c r="I13" s="22"/>
      <c r="K13">
        <f t="shared" si="5"/>
        <v>0.96000000000000008</v>
      </c>
      <c r="L13">
        <v>636.48728498322635</v>
      </c>
      <c r="M13">
        <v>649.09696264934507</v>
      </c>
      <c r="N13">
        <v>661.97979844415477</v>
      </c>
      <c r="O13">
        <v>675.14011454720674</v>
      </c>
      <c r="P13">
        <v>688.5820353010738</v>
      </c>
      <c r="Q13">
        <v>702.30954015670318</v>
      </c>
      <c r="R13">
        <v>716.32649219016059</v>
      </c>
      <c r="S13">
        <v>730.63665221378926</v>
      </c>
      <c r="T13">
        <v>745.24368592593771</v>
      </c>
      <c r="U13">
        <v>760.15116919759578</v>
      </c>
      <c r="V13">
        <v>775.36259474857457</v>
      </c>
      <c r="X13" s="22"/>
      <c r="Y13" s="22"/>
      <c r="Z13" s="22"/>
      <c r="AA13" s="22"/>
      <c r="AB13" s="22"/>
      <c r="AC13" s="22"/>
      <c r="AD13" s="22"/>
      <c r="AE13" s="22"/>
      <c r="AY13" s="22"/>
      <c r="AZ13" s="22"/>
      <c r="BA13" s="22"/>
      <c r="BB13" s="22"/>
      <c r="BC13" s="22"/>
    </row>
    <row r="14" spans="1:55" customFormat="1" ht="16.5" x14ac:dyDescent="0.3">
      <c r="A14" s="50">
        <v>11</v>
      </c>
      <c r="B14" s="208">
        <f>'[3]1.StatFitPoissNorm'!B12</f>
        <v>46</v>
      </c>
      <c r="C14" s="212">
        <f t="shared" si="0"/>
        <v>46</v>
      </c>
      <c r="D14" s="212">
        <f t="shared" si="1"/>
        <v>0.40023468903289561</v>
      </c>
      <c r="E14" s="211">
        <f t="shared" si="2"/>
        <v>36.30807137116674</v>
      </c>
      <c r="F14" s="48">
        <f t="shared" si="3"/>
        <v>93.93348054639776</v>
      </c>
      <c r="G14" s="48">
        <f>AVERAGE(F$4:F14)</f>
        <v>438.40929049221609</v>
      </c>
      <c r="H14" s="22"/>
      <c r="I14" s="22"/>
      <c r="K14">
        <f t="shared" si="5"/>
        <v>0.97000000000000008</v>
      </c>
      <c r="L14">
        <v>642.60155167237974</v>
      </c>
      <c r="M14">
        <v>655.43778253485948</v>
      </c>
      <c r="N14">
        <v>668.55385027885484</v>
      </c>
      <c r="O14">
        <v>681.95423200595064</v>
      </c>
      <c r="P14">
        <v>695.64321965737497</v>
      </c>
      <c r="Q14">
        <v>709.62497490286876</v>
      </c>
      <c r="R14">
        <v>723.90356035597108</v>
      </c>
      <c r="S14">
        <v>738.48295698287643</v>
      </c>
      <c r="T14">
        <v>753.36707501264993</v>
      </c>
      <c r="U14">
        <v>768.55976335069579</v>
      </c>
      <c r="V14">
        <v>784.0648206943988</v>
      </c>
      <c r="X14" s="22"/>
      <c r="Y14" s="22"/>
      <c r="Z14" s="22"/>
      <c r="AA14" s="22"/>
      <c r="AB14" s="22"/>
      <c r="AC14" s="22"/>
      <c r="AD14" s="22"/>
      <c r="AE14" s="22"/>
      <c r="AY14" s="22"/>
      <c r="AZ14" s="22"/>
      <c r="BA14" s="22"/>
      <c r="BB14" s="22"/>
      <c r="BC14" s="22"/>
    </row>
    <row r="15" spans="1:55" customFormat="1" ht="16.5" x14ac:dyDescent="0.3">
      <c r="A15" s="50">
        <v>12</v>
      </c>
      <c r="B15" s="208">
        <f>'[3]1.StatFitPoissNorm'!B13</f>
        <v>41</v>
      </c>
      <c r="C15" s="212">
        <f t="shared" si="0"/>
        <v>41</v>
      </c>
      <c r="D15" s="212">
        <f t="shared" si="1"/>
        <v>-1.322684273000986</v>
      </c>
      <c r="E15" s="211">
        <f t="shared" si="2"/>
        <v>46.400234689032892</v>
      </c>
      <c r="F15" s="48">
        <f t="shared" si="3"/>
        <v>29.162534696634179</v>
      </c>
      <c r="G15" s="48">
        <f>AVERAGE(F$4:F15)</f>
        <v>404.30539417591757</v>
      </c>
      <c r="H15" s="22"/>
      <c r="I15" s="22"/>
      <c r="K15">
        <f t="shared" si="5"/>
        <v>0.98000000000000009</v>
      </c>
      <c r="L15">
        <v>648.80743719097313</v>
      </c>
      <c r="M15">
        <v>661.87561046714393</v>
      </c>
      <c r="N15">
        <v>675.23066196277898</v>
      </c>
      <c r="O15">
        <v>688.87725562570938</v>
      </c>
      <c r="P15">
        <v>702.81988634014203</v>
      </c>
      <c r="Q15">
        <v>717.06293721162376</v>
      </c>
      <c r="R15">
        <v>731.61071392248789</v>
      </c>
      <c r="S15">
        <v>746.46746588162046</v>
      </c>
      <c r="T15">
        <v>761.63740135386809</v>
      </c>
      <c r="U15">
        <v>777.12470148796933</v>
      </c>
      <c r="V15">
        <v>792.93353640036355</v>
      </c>
      <c r="X15" s="22"/>
      <c r="Y15" s="22"/>
      <c r="Z15" s="22"/>
      <c r="AA15" s="22"/>
      <c r="AB15" s="22"/>
      <c r="AC15" s="22"/>
      <c r="AD15" s="22"/>
      <c r="AE15" s="22"/>
      <c r="AY15" s="22"/>
      <c r="AZ15" s="22"/>
      <c r="BA15" s="22"/>
      <c r="BB15" s="22"/>
      <c r="BC15" s="22"/>
    </row>
    <row r="16" spans="1:55" customFormat="1" ht="16.5" x14ac:dyDescent="0.3">
      <c r="A16" s="50">
        <v>13</v>
      </c>
      <c r="B16" s="208">
        <f>'[3]1.StatFitPoissNorm'!B14</f>
        <v>69</v>
      </c>
      <c r="C16" s="212">
        <f t="shared" si="0"/>
        <v>69</v>
      </c>
      <c r="D16" s="212">
        <f t="shared" si="1"/>
        <v>8.03257742595558</v>
      </c>
      <c r="E16" s="211">
        <f t="shared" si="2"/>
        <v>39.677315726999012</v>
      </c>
      <c r="F16" s="48">
        <f t="shared" si="3"/>
        <v>859.81981297409948</v>
      </c>
      <c r="G16" s="48">
        <f>AVERAGE(F$4:F16)</f>
        <v>439.3449648527008</v>
      </c>
      <c r="H16" s="22"/>
      <c r="I16" s="22"/>
      <c r="K16">
        <f t="shared" si="5"/>
        <v>0.9900000000000001</v>
      </c>
      <c r="L16">
        <v>655.11026705800191</v>
      </c>
      <c r="M16">
        <v>668.41623403284416</v>
      </c>
      <c r="N16">
        <v>682.01652639207248</v>
      </c>
      <c r="O16">
        <v>695.91603118206126</v>
      </c>
      <c r="P16">
        <v>710.1194863487882</v>
      </c>
      <c r="Q16">
        <v>724.63154090879686</v>
      </c>
      <c r="R16">
        <v>739.45679293150295</v>
      </c>
      <c r="S16">
        <v>754.59981492656766</v>
      </c>
      <c r="T16">
        <v>770.06517371362202</v>
      </c>
      <c r="U16">
        <v>785.85744962415731</v>
      </c>
      <c r="V16">
        <v>801.98125816427398</v>
      </c>
      <c r="X16" s="22"/>
      <c r="Y16" s="22"/>
      <c r="Z16" s="22"/>
      <c r="AA16" s="22"/>
      <c r="AB16" s="22"/>
      <c r="AC16" s="22"/>
      <c r="AD16" s="22"/>
      <c r="AE16" s="22"/>
      <c r="AY16" s="22"/>
      <c r="AZ16" s="22"/>
      <c r="BA16" s="22"/>
      <c r="BB16" s="22"/>
      <c r="BC16" s="22"/>
    </row>
    <row r="17" spans="1:55" customFormat="1" ht="16.5" x14ac:dyDescent="0.3">
      <c r="A17" s="50">
        <v>14</v>
      </c>
      <c r="B17" s="208">
        <f>'[3]1.StatFitPoissNorm'!B15</f>
        <v>28</v>
      </c>
      <c r="C17" s="212">
        <f t="shared" si="0"/>
        <v>28</v>
      </c>
      <c r="D17" s="212">
        <f t="shared" si="1"/>
        <v>-7.6110310964922325</v>
      </c>
      <c r="E17" s="211">
        <f t="shared" si="2"/>
        <v>77.03257742595558</v>
      </c>
      <c r="F17" s="48">
        <f t="shared" si="3"/>
        <v>2404.1936490323287</v>
      </c>
      <c r="G17" s="48">
        <f>AVERAGE(F$4:F17)</f>
        <v>579.69129943695987</v>
      </c>
      <c r="H17" s="22"/>
      <c r="I17" s="22"/>
      <c r="K17">
        <f t="shared" si="5"/>
        <v>1</v>
      </c>
      <c r="L17">
        <v>661.51574073102267</v>
      </c>
      <c r="M17">
        <v>675.06585354024526</v>
      </c>
      <c r="N17">
        <v>688.91819210584833</v>
      </c>
      <c r="O17">
        <v>703.07790761218064</v>
      </c>
      <c r="P17">
        <v>717.5500264735681</v>
      </c>
      <c r="Q17">
        <v>732.33951392648976</v>
      </c>
      <c r="R17">
        <v>747.451316179522</v>
      </c>
      <c r="S17">
        <v>762.89039059865456</v>
      </c>
      <c r="T17">
        <v>778.66173091234009</v>
      </c>
      <c r="U17">
        <v>794.77039223178497</v>
      </c>
      <c r="V17">
        <v>811.22151900036977</v>
      </c>
      <c r="X17" s="22"/>
      <c r="Y17" s="22"/>
      <c r="Z17" s="22"/>
      <c r="AA17" s="22"/>
      <c r="AB17" s="22"/>
      <c r="AC17" s="22"/>
      <c r="AD17" s="22"/>
      <c r="AE17" s="22"/>
      <c r="AY17" s="22"/>
      <c r="AZ17" s="22"/>
      <c r="BA17" s="22"/>
      <c r="BB17" s="22"/>
      <c r="BC17" s="22"/>
    </row>
    <row r="18" spans="1:55" ht="16.5" x14ac:dyDescent="0.3">
      <c r="A18" s="50">
        <v>15</v>
      </c>
      <c r="B18" s="208">
        <f>'[3]1.StatFitPoissNorm'!B16</f>
        <v>82</v>
      </c>
      <c r="C18" s="212">
        <f t="shared" si="0"/>
        <v>82</v>
      </c>
      <c r="D18" s="212">
        <f t="shared" si="1"/>
        <v>12.045672706063371</v>
      </c>
      <c r="E18" s="211">
        <f t="shared" si="2"/>
        <v>20.388968903507767</v>
      </c>
      <c r="F18" s="48">
        <f t="shared" si="3"/>
        <v>3795.9191527729331</v>
      </c>
      <c r="G18" s="48">
        <f>AVERAGE(F$4:F18)</f>
        <v>794.10648965935809</v>
      </c>
      <c r="K18"/>
      <c r="L18"/>
      <c r="W18" s="22">
        <f>MIN(L7:V17)</f>
        <v>601.46932344147592</v>
      </c>
    </row>
    <row r="19" spans="1:55" ht="16.5" x14ac:dyDescent="0.3">
      <c r="A19" s="50">
        <v>16</v>
      </c>
      <c r="B19" s="208">
        <f>'[3]1.StatFitPoissNorm'!B17</f>
        <v>65</v>
      </c>
      <c r="C19" s="212">
        <f t="shared" si="0"/>
        <v>65</v>
      </c>
      <c r="D19" s="212">
        <f t="shared" si="1"/>
        <v>2.7787902181712401</v>
      </c>
      <c r="E19" s="211">
        <f t="shared" si="2"/>
        <v>94.045672706063371</v>
      </c>
      <c r="F19" s="48">
        <f t="shared" si="3"/>
        <v>843.65110294775468</v>
      </c>
      <c r="G19" s="48">
        <f>AVERAGE(F$4:F19)</f>
        <v>797.20302798988291</v>
      </c>
    </row>
    <row r="20" spans="1:55" ht="16.5" x14ac:dyDescent="0.3">
      <c r="A20" s="50">
        <v>17</v>
      </c>
      <c r="B20" s="208">
        <f>'[3]1.StatFitPoissNorm'!B18</f>
        <v>47</v>
      </c>
      <c r="C20" s="212">
        <f t="shared" si="0"/>
        <v>47</v>
      </c>
      <c r="D20" s="212">
        <f t="shared" si="1"/>
        <v>-3.8505830843847386</v>
      </c>
      <c r="E20" s="211">
        <f t="shared" si="2"/>
        <v>67.778790218171238</v>
      </c>
      <c r="F20" s="48">
        <f t="shared" si="3"/>
        <v>431.75812293076876</v>
      </c>
      <c r="G20" s="48">
        <f>AVERAGE(F$4:F20)</f>
        <v>775.70626886875857</v>
      </c>
    </row>
    <row r="21" spans="1:55" ht="16.5" x14ac:dyDescent="0.3">
      <c r="A21" s="50">
        <v>18</v>
      </c>
      <c r="B21" s="208">
        <f>'[3]1.StatFitPoissNorm'!B19</f>
        <v>53</v>
      </c>
      <c r="C21" s="212">
        <f t="shared" si="0"/>
        <v>53</v>
      </c>
      <c r="D21" s="212">
        <f t="shared" si="1"/>
        <v>-0.70780182385102997</v>
      </c>
      <c r="E21" s="211">
        <f t="shared" si="2"/>
        <v>43.149416915615262</v>
      </c>
      <c r="F21" s="48">
        <f t="shared" si="3"/>
        <v>97.033987102366737</v>
      </c>
      <c r="G21" s="48">
        <f>AVERAGE(F$4:F21)</f>
        <v>738.00225321507014</v>
      </c>
    </row>
    <row r="22" spans="1:55" ht="16.5" x14ac:dyDescent="0.3">
      <c r="A22" s="50">
        <v>19</v>
      </c>
      <c r="B22" s="208">
        <f>'[3]1.StatFitPoissNorm'!B20</f>
        <v>90</v>
      </c>
      <c r="C22" s="212">
        <f t="shared" si="0"/>
        <v>90</v>
      </c>
      <c r="D22" s="212">
        <f t="shared" si="1"/>
        <v>11.322691389873253</v>
      </c>
      <c r="E22" s="211">
        <f t="shared" si="2"/>
        <v>52.292198176148972</v>
      </c>
      <c r="F22" s="48">
        <f t="shared" si="3"/>
        <v>1421.8783183868229</v>
      </c>
      <c r="G22" s="48">
        <f>AVERAGE(F$4:F22)</f>
        <v>773.99573032937292</v>
      </c>
    </row>
    <row r="23" spans="1:55" ht="16.5" x14ac:dyDescent="0.3">
      <c r="A23" s="50">
        <v>20</v>
      </c>
      <c r="B23" s="208">
        <f>'[3]1.StatFitPoissNorm'!B21</f>
        <v>56</v>
      </c>
      <c r="C23" s="212">
        <f t="shared" si="0"/>
        <v>56</v>
      </c>
      <c r="D23" s="212">
        <f t="shared" si="1"/>
        <v>-3.1372957963515518</v>
      </c>
      <c r="E23" s="211">
        <f t="shared" si="2"/>
        <v>101.32269138987326</v>
      </c>
      <c r="F23" s="48">
        <f t="shared" si="3"/>
        <v>2054.1463548216916</v>
      </c>
      <c r="G23" s="48">
        <f>AVERAGE(F$4:F23)</f>
        <v>838.00326155398886</v>
      </c>
    </row>
    <row r="24" spans="1:55" ht="16.5" x14ac:dyDescent="0.3">
      <c r="A24" s="50">
        <v>21</v>
      </c>
      <c r="B24" s="208">
        <f>'[3]1.StatFitPoissNorm'!B22</f>
        <v>51</v>
      </c>
      <c r="C24" s="212">
        <f t="shared" si="0"/>
        <v>51</v>
      </c>
      <c r="D24" s="212">
        <f t="shared" si="1"/>
        <v>-3.731582633485452</v>
      </c>
      <c r="E24" s="211">
        <f t="shared" si="2"/>
        <v>52.862704203648448</v>
      </c>
      <c r="F24" s="48">
        <f t="shared" si="3"/>
        <v>3.4696669502895996</v>
      </c>
      <c r="G24" s="48">
        <f>AVERAGE(F$4:F24)</f>
        <v>798.26356657286033</v>
      </c>
    </row>
    <row r="25" spans="1:55" ht="16.5" x14ac:dyDescent="0.3">
      <c r="A25" s="50">
        <v>22</v>
      </c>
      <c r="B25" s="208">
        <f>'[3]1.StatFitPoissNorm'!B23</f>
        <v>40</v>
      </c>
      <c r="C25" s="212">
        <f t="shared" si="0"/>
        <v>40</v>
      </c>
      <c r="D25" s="212">
        <f t="shared" si="1"/>
        <v>-6.0505363134387498</v>
      </c>
      <c r="E25" s="211">
        <f t="shared" si="2"/>
        <v>47.268417366514548</v>
      </c>
      <c r="F25" s="48">
        <f t="shared" si="3"/>
        <v>52.829891013850279</v>
      </c>
      <c r="G25" s="48">
        <f>AVERAGE(F$4:F25)</f>
        <v>764.38021768381441</v>
      </c>
    </row>
    <row r="26" spans="1:55" ht="16.5" x14ac:dyDescent="0.3">
      <c r="A26" s="50">
        <v>23</v>
      </c>
      <c r="B26" s="208">
        <f>'[3]1.StatFitPoissNorm'!B24</f>
        <v>61</v>
      </c>
      <c r="C26" s="212">
        <f t="shared" si="0"/>
        <v>61</v>
      </c>
      <c r="D26" s="212">
        <f t="shared" si="1"/>
        <v>2.5798074829632087</v>
      </c>
      <c r="E26" s="211">
        <f t="shared" si="2"/>
        <v>33.949463686561252</v>
      </c>
      <c r="F26" s="48">
        <f t="shared" si="3"/>
        <v>731.73151484466837</v>
      </c>
      <c r="G26" s="48">
        <f>AVERAGE(F$4:F26)</f>
        <v>762.96070886472114</v>
      </c>
    </row>
    <row r="27" spans="1:55" ht="16.5" x14ac:dyDescent="0.3">
      <c r="A27" s="50">
        <v>24</v>
      </c>
      <c r="B27" s="208">
        <f>'[3]1.StatFitPoissNorm'!B25</f>
        <v>72</v>
      </c>
      <c r="C27" s="212">
        <f t="shared" si="0"/>
        <v>72</v>
      </c>
      <c r="D27" s="212">
        <f t="shared" si="1"/>
        <v>5.2662294973694994</v>
      </c>
      <c r="E27" s="211">
        <f t="shared" si="2"/>
        <v>63.579807482963211</v>
      </c>
      <c r="F27" s="48">
        <f t="shared" si="3"/>
        <v>70.899642023962329</v>
      </c>
      <c r="G27" s="48">
        <f>AVERAGE(F$4:F27)</f>
        <v>734.12483107968956</v>
      </c>
    </row>
    <row r="28" spans="1:55" ht="16.5" x14ac:dyDescent="0.3">
      <c r="A28" s="50">
        <v>25</v>
      </c>
      <c r="B28" s="208">
        <f>'[3]1.StatFitPoissNorm'!B26</f>
        <v>39</v>
      </c>
      <c r="C28" s="212">
        <f t="shared" si="0"/>
        <v>39</v>
      </c>
      <c r="D28" s="212">
        <f t="shared" si="1"/>
        <v>-6.9424273857196326</v>
      </c>
      <c r="E28" s="211">
        <f t="shared" si="2"/>
        <v>77.266229497369494</v>
      </c>
      <c r="F28" s="48">
        <f t="shared" si="3"/>
        <v>1464.3043199453512</v>
      </c>
      <c r="G28" s="48">
        <f>AVERAGE(F$4:F28)</f>
        <v>763.33201063431591</v>
      </c>
    </row>
    <row r="29" spans="1:55" ht="16.5" x14ac:dyDescent="0.3">
      <c r="A29" s="50">
        <v>26</v>
      </c>
      <c r="B29" s="208">
        <f>'[3]1.StatFitPoissNorm'!B27</f>
        <v>31</v>
      </c>
      <c r="C29" s="212">
        <f t="shared" si="0"/>
        <v>31</v>
      </c>
      <c r="D29" s="212">
        <f t="shared" si="1"/>
        <v>-7.2798408530587162</v>
      </c>
      <c r="E29" s="211">
        <f t="shared" si="2"/>
        <v>32.057572614280367</v>
      </c>
      <c r="F29" s="48">
        <f t="shared" si="3"/>
        <v>1.1184598344758108</v>
      </c>
      <c r="G29" s="48">
        <f>AVERAGE(F$4:F29)</f>
        <v>734.01610483432216</v>
      </c>
    </row>
    <row r="30" spans="1:55" ht="16.5" x14ac:dyDescent="0.3">
      <c r="A30" s="50">
        <v>27</v>
      </c>
      <c r="B30" s="208">
        <f>'[3]1.StatFitPoissNorm'!B28</f>
        <v>62</v>
      </c>
      <c r="C30" s="212">
        <f t="shared" si="0"/>
        <v>62</v>
      </c>
      <c r="D30" s="212">
        <f t="shared" si="1"/>
        <v>4.9331586677427284</v>
      </c>
      <c r="E30" s="211">
        <f t="shared" si="2"/>
        <v>23.720159146941285</v>
      </c>
      <c r="F30" s="48">
        <f t="shared" si="3"/>
        <v>1465.3462157355029</v>
      </c>
      <c r="G30" s="48">
        <f>AVERAGE(F$4:F30)</f>
        <v>761.10240523806954</v>
      </c>
    </row>
    <row r="31" spans="1:55" ht="16.5" x14ac:dyDescent="0.3">
      <c r="A31" s="50">
        <v>28</v>
      </c>
      <c r="B31" s="208">
        <f>'[3]1.StatFitPoissNorm'!B29</f>
        <v>48</v>
      </c>
      <c r="C31" s="212">
        <f t="shared" si="0"/>
        <v>48</v>
      </c>
      <c r="D31" s="212">
        <f t="shared" si="1"/>
        <v>-1.1073747457582157</v>
      </c>
      <c r="E31" s="211">
        <f t="shared" si="2"/>
        <v>66.933158667742731</v>
      </c>
      <c r="F31" s="48">
        <f t="shared" si="3"/>
        <v>358.46449713792168</v>
      </c>
      <c r="G31" s="48">
        <f>AVERAGE(F$4:F31)</f>
        <v>746.72247994877853</v>
      </c>
    </row>
    <row r="32" spans="1:55" ht="16.5" x14ac:dyDescent="0.3">
      <c r="A32" s="5">
        <v>29</v>
      </c>
      <c r="B32"/>
      <c r="E32" s="1">
        <f t="shared" si="2"/>
        <v>46.892625254241786</v>
      </c>
      <c r="F32" s="31"/>
      <c r="G32"/>
      <c r="AY32"/>
      <c r="AZ32"/>
      <c r="BA32"/>
      <c r="BB32"/>
      <c r="BC32"/>
    </row>
    <row r="33" spans="1:55" x14ac:dyDescent="0.25">
      <c r="A33"/>
      <c r="B33"/>
      <c r="C33"/>
      <c r="AY33"/>
      <c r="AZ33"/>
      <c r="BA33"/>
      <c r="BB33"/>
      <c r="BC33"/>
    </row>
    <row r="34" spans="1:55" x14ac:dyDescent="0.25">
      <c r="A34"/>
      <c r="B34"/>
      <c r="C34"/>
      <c r="AY34"/>
      <c r="AZ34"/>
      <c r="BA34"/>
      <c r="BB34"/>
      <c r="BC34"/>
    </row>
    <row r="35" spans="1:55" x14ac:dyDescent="0.25">
      <c r="A35" s="22" t="s">
        <v>147</v>
      </c>
      <c r="B35"/>
      <c r="C35"/>
      <c r="AY35"/>
      <c r="AZ35"/>
      <c r="BA35"/>
      <c r="BB35"/>
      <c r="BC35"/>
    </row>
    <row r="36" spans="1:55" x14ac:dyDescent="0.25">
      <c r="A36" s="22" t="s">
        <v>146</v>
      </c>
      <c r="B36"/>
      <c r="C36"/>
      <c r="AY36"/>
      <c r="AZ36"/>
      <c r="BA36"/>
      <c r="BB36"/>
      <c r="BC36"/>
    </row>
    <row r="37" spans="1:55" x14ac:dyDescent="0.25">
      <c r="A37" s="22" t="s">
        <v>145</v>
      </c>
      <c r="B37"/>
      <c r="C37"/>
      <c r="AY37"/>
      <c r="AZ37"/>
      <c r="BA37"/>
      <c r="BB37"/>
      <c r="BC37"/>
    </row>
    <row r="38" spans="1:55" x14ac:dyDescent="0.25">
      <c r="A38" s="57" t="s">
        <v>46</v>
      </c>
      <c r="B38"/>
      <c r="C38"/>
      <c r="AY38"/>
      <c r="AZ38"/>
      <c r="BA38"/>
      <c r="BB38"/>
      <c r="BC38"/>
    </row>
    <row r="39" spans="1:55" x14ac:dyDescent="0.25">
      <c r="A39" t="s">
        <v>144</v>
      </c>
      <c r="B39"/>
      <c r="C39"/>
      <c r="AY39"/>
      <c r="AZ39"/>
      <c r="BA39"/>
      <c r="BB39"/>
      <c r="BC39"/>
    </row>
    <row r="40" spans="1:55" x14ac:dyDescent="0.25">
      <c r="A40" t="s">
        <v>47</v>
      </c>
      <c r="B40"/>
      <c r="C40"/>
      <c r="AY40"/>
      <c r="AZ40"/>
      <c r="BA40"/>
      <c r="BB40"/>
      <c r="BC40"/>
    </row>
    <row r="41" spans="1:55" x14ac:dyDescent="0.25">
      <c r="A41" t="s">
        <v>143</v>
      </c>
      <c r="B41"/>
      <c r="C41"/>
      <c r="AY41"/>
      <c r="AZ41"/>
      <c r="BA41"/>
      <c r="BB41"/>
      <c r="BC41"/>
    </row>
    <row r="42" spans="1:55" x14ac:dyDescent="0.25">
      <c r="A42" t="s">
        <v>142</v>
      </c>
      <c r="B42"/>
      <c r="C42"/>
      <c r="AY42"/>
      <c r="AZ42"/>
      <c r="BA42"/>
      <c r="BB42"/>
      <c r="BC42"/>
    </row>
    <row r="43" spans="1:55" x14ac:dyDescent="0.25">
      <c r="A43" t="s">
        <v>141</v>
      </c>
      <c r="B43"/>
      <c r="C43"/>
      <c r="AY43"/>
      <c r="AZ43"/>
      <c r="BA43"/>
      <c r="BB43"/>
      <c r="BC43"/>
    </row>
    <row r="44" spans="1:55" x14ac:dyDescent="0.25">
      <c r="A44"/>
      <c r="B44"/>
      <c r="C44"/>
      <c r="AY44"/>
      <c r="AZ44"/>
      <c r="BA44"/>
      <c r="BB44"/>
      <c r="BC44"/>
    </row>
    <row r="45" spans="1:55" x14ac:dyDescent="0.25">
      <c r="A45"/>
      <c r="B45"/>
      <c r="C45"/>
      <c r="AY45"/>
      <c r="AZ45"/>
      <c r="BA45"/>
      <c r="BB45"/>
      <c r="BC45"/>
    </row>
    <row r="46" spans="1:55" x14ac:dyDescent="0.25">
      <c r="A46"/>
      <c r="B46"/>
      <c r="C46"/>
      <c r="AY46"/>
      <c r="AZ46"/>
      <c r="BA46"/>
      <c r="BB46"/>
      <c r="BC46"/>
    </row>
    <row r="47" spans="1:55" x14ac:dyDescent="0.25">
      <c r="A47"/>
      <c r="B47"/>
      <c r="C47"/>
      <c r="AY47"/>
      <c r="AZ47"/>
      <c r="BA47"/>
      <c r="BB47"/>
      <c r="BC47"/>
    </row>
    <row r="48" spans="1:55" x14ac:dyDescent="0.25">
      <c r="A48"/>
      <c r="B48"/>
      <c r="C48"/>
      <c r="AY48"/>
      <c r="AZ48"/>
      <c r="BA48"/>
      <c r="BB48"/>
      <c r="BC48"/>
    </row>
    <row r="49" spans="1:55" x14ac:dyDescent="0.25">
      <c r="A49"/>
      <c r="B49"/>
      <c r="C49"/>
      <c r="AY49"/>
      <c r="AZ49"/>
      <c r="BA49"/>
      <c r="BB49"/>
      <c r="BC49"/>
    </row>
    <row r="50" spans="1:55" x14ac:dyDescent="0.25">
      <c r="A50"/>
      <c r="B50"/>
      <c r="C50"/>
      <c r="AY50"/>
      <c r="AZ50"/>
      <c r="BA50"/>
      <c r="BB50"/>
      <c r="BC50"/>
    </row>
    <row r="51" spans="1:55" x14ac:dyDescent="0.25">
      <c r="A51"/>
      <c r="B51"/>
      <c r="C51"/>
      <c r="AY51"/>
      <c r="AZ51"/>
      <c r="BA51"/>
      <c r="BB51"/>
      <c r="BC51"/>
    </row>
    <row r="52" spans="1:55" x14ac:dyDescent="0.25">
      <c r="A52"/>
      <c r="B52"/>
      <c r="C52"/>
      <c r="AY52"/>
      <c r="AZ52"/>
      <c r="BA52"/>
      <c r="BB52"/>
      <c r="BC52"/>
    </row>
    <row r="53" spans="1:55" x14ac:dyDescent="0.25">
      <c r="A53"/>
      <c r="B53"/>
      <c r="C53"/>
      <c r="AY53"/>
      <c r="AZ53"/>
      <c r="BA53"/>
      <c r="BB53"/>
      <c r="BC53"/>
    </row>
    <row r="54" spans="1:55" x14ac:dyDescent="0.25">
      <c r="A54"/>
      <c r="B54"/>
      <c r="C54"/>
      <c r="AY54"/>
      <c r="AZ54"/>
      <c r="BA54"/>
      <c r="BB54"/>
      <c r="BC54"/>
    </row>
    <row r="55" spans="1:55" x14ac:dyDescent="0.25">
      <c r="A55"/>
      <c r="B55"/>
      <c r="C55"/>
      <c r="AY55"/>
      <c r="AZ55"/>
      <c r="BA55"/>
      <c r="BB55"/>
      <c r="BC55"/>
    </row>
    <row r="56" spans="1:55" x14ac:dyDescent="0.25">
      <c r="A56"/>
      <c r="B56"/>
      <c r="C56"/>
      <c r="AY56"/>
      <c r="AZ56"/>
      <c r="BA56"/>
      <c r="BB56"/>
      <c r="BC56"/>
    </row>
    <row r="57" spans="1:55" x14ac:dyDescent="0.25">
      <c r="A57"/>
      <c r="B57"/>
      <c r="C57"/>
      <c r="AY57"/>
      <c r="AZ57"/>
      <c r="BA57"/>
      <c r="BB57"/>
      <c r="BC57"/>
    </row>
    <row r="58" spans="1:55" x14ac:dyDescent="0.25">
      <c r="A58"/>
      <c r="B58"/>
      <c r="C58"/>
      <c r="AY58"/>
      <c r="AZ58"/>
      <c r="BA58"/>
      <c r="BB58"/>
      <c r="BC58"/>
    </row>
    <row r="59" spans="1:55" x14ac:dyDescent="0.25">
      <c r="A59"/>
      <c r="B59"/>
      <c r="C59"/>
      <c r="AY59"/>
      <c r="AZ59"/>
      <c r="BA59"/>
      <c r="BB59"/>
      <c r="BC59"/>
    </row>
    <row r="60" spans="1:55" x14ac:dyDescent="0.25">
      <c r="A60"/>
      <c r="B60"/>
      <c r="C60"/>
      <c r="AY60"/>
      <c r="AZ60"/>
      <c r="BA60"/>
      <c r="BB60"/>
      <c r="BC60"/>
    </row>
    <row r="61" spans="1:55" x14ac:dyDescent="0.25">
      <c r="A61"/>
      <c r="B61"/>
      <c r="C61"/>
      <c r="AY61"/>
      <c r="AZ61"/>
      <c r="BA61"/>
      <c r="BB61"/>
      <c r="BC61"/>
    </row>
    <row r="62" spans="1:55" x14ac:dyDescent="0.25">
      <c r="A62"/>
      <c r="B62"/>
      <c r="C62"/>
      <c r="AY62"/>
      <c r="AZ62"/>
      <c r="BA62"/>
      <c r="BB62"/>
      <c r="BC62"/>
    </row>
    <row r="63" spans="1:55" x14ac:dyDescent="0.25">
      <c r="A63"/>
      <c r="B63"/>
      <c r="C63"/>
      <c r="AY63"/>
      <c r="AZ63"/>
      <c r="BA63"/>
      <c r="BB63"/>
      <c r="BC63"/>
    </row>
    <row r="64" spans="1:55" x14ac:dyDescent="0.25">
      <c r="A64"/>
      <c r="B64"/>
      <c r="C64"/>
      <c r="AY64"/>
      <c r="AZ64"/>
      <c r="BA64"/>
      <c r="BB64"/>
      <c r="BC64"/>
    </row>
    <row r="65" spans="1:55" x14ac:dyDescent="0.25">
      <c r="A65"/>
      <c r="B65"/>
      <c r="C65"/>
      <c r="AY65"/>
      <c r="AZ65"/>
      <c r="BA65"/>
      <c r="BB65"/>
      <c r="BC65"/>
    </row>
    <row r="66" spans="1:55" x14ac:dyDescent="0.25">
      <c r="A66"/>
      <c r="B66"/>
      <c r="C66"/>
      <c r="AY66"/>
      <c r="AZ66"/>
      <c r="BA66"/>
      <c r="BB66"/>
      <c r="BC66"/>
    </row>
    <row r="67" spans="1:55" x14ac:dyDescent="0.25">
      <c r="A67"/>
      <c r="B67"/>
      <c r="C67"/>
      <c r="AY67"/>
      <c r="AZ67"/>
      <c r="BA67"/>
      <c r="BB67"/>
      <c r="BC67"/>
    </row>
    <row r="68" spans="1:55" x14ac:dyDescent="0.25">
      <c r="A68"/>
      <c r="B68"/>
      <c r="C68"/>
      <c r="AY68"/>
      <c r="AZ68"/>
      <c r="BA68"/>
      <c r="BB68"/>
      <c r="BC68"/>
    </row>
    <row r="69" spans="1:55" x14ac:dyDescent="0.25">
      <c r="A69"/>
      <c r="B69"/>
      <c r="C69"/>
      <c r="AY69"/>
      <c r="AZ69"/>
      <c r="BA69"/>
      <c r="BB69"/>
      <c r="BC69"/>
    </row>
    <row r="70" spans="1:55" x14ac:dyDescent="0.25">
      <c r="A70"/>
      <c r="B70"/>
      <c r="C70"/>
      <c r="AY70"/>
      <c r="AZ70"/>
      <c r="BA70"/>
      <c r="BB70"/>
      <c r="BC70"/>
    </row>
    <row r="71" spans="1:55" x14ac:dyDescent="0.25">
      <c r="A71"/>
      <c r="B71"/>
      <c r="C71"/>
      <c r="AY71"/>
      <c r="AZ71"/>
      <c r="BA71"/>
      <c r="BB71"/>
      <c r="BC71"/>
    </row>
    <row r="72" spans="1:55" x14ac:dyDescent="0.25">
      <c r="A72"/>
      <c r="B72"/>
      <c r="C72"/>
      <c r="AY72"/>
      <c r="AZ72"/>
      <c r="BA72"/>
      <c r="BB72"/>
      <c r="BC72"/>
    </row>
    <row r="73" spans="1:55" x14ac:dyDescent="0.25">
      <c r="A73"/>
      <c r="B73"/>
      <c r="C73"/>
      <c r="AY73"/>
      <c r="AZ73"/>
      <c r="BA73"/>
      <c r="BB73"/>
      <c r="BC73"/>
    </row>
    <row r="74" spans="1:55" x14ac:dyDescent="0.25">
      <c r="A74"/>
      <c r="B74"/>
      <c r="C74"/>
      <c r="AY74"/>
      <c r="AZ74"/>
      <c r="BA74"/>
      <c r="BB74"/>
      <c r="BC74"/>
    </row>
    <row r="75" spans="1:55" x14ac:dyDescent="0.25">
      <c r="A75"/>
      <c r="B75"/>
      <c r="C75"/>
      <c r="AY75"/>
      <c r="AZ75"/>
      <c r="BA75"/>
      <c r="BB75"/>
      <c r="BC75"/>
    </row>
    <row r="76" spans="1:55" x14ac:dyDescent="0.25">
      <c r="A76"/>
      <c r="B76"/>
      <c r="C76"/>
      <c r="AY76"/>
      <c r="AZ76"/>
      <c r="BA76"/>
      <c r="BB76"/>
      <c r="BC76"/>
    </row>
    <row r="77" spans="1:55" x14ac:dyDescent="0.25">
      <c r="A77"/>
      <c r="B77"/>
      <c r="C77"/>
      <c r="AY77"/>
      <c r="AZ77"/>
      <c r="BA77"/>
      <c r="BB77"/>
      <c r="BC77"/>
    </row>
    <row r="78" spans="1:55" x14ac:dyDescent="0.25">
      <c r="A78"/>
      <c r="B78"/>
      <c r="C78"/>
      <c r="AY78"/>
      <c r="AZ78"/>
      <c r="BA78"/>
      <c r="BB78"/>
      <c r="BC78"/>
    </row>
    <row r="79" spans="1:55" ht="16.5" x14ac:dyDescent="0.3">
      <c r="A79"/>
      <c r="B79"/>
      <c r="C79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Y79"/>
      <c r="AZ79"/>
      <c r="BA79"/>
      <c r="BB79"/>
      <c r="BC79"/>
    </row>
    <row r="80" spans="1:55" ht="16.5" x14ac:dyDescent="0.3">
      <c r="A80"/>
      <c r="B80"/>
      <c r="C80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Y80"/>
      <c r="AZ80"/>
      <c r="BA80"/>
      <c r="BB80"/>
      <c r="BC80"/>
    </row>
    <row r="81" spans="1:55" ht="16.5" x14ac:dyDescent="0.3">
      <c r="A81"/>
      <c r="B81"/>
      <c r="C8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Y81"/>
      <c r="AZ81"/>
      <c r="BA81"/>
      <c r="BB81"/>
      <c r="BC81"/>
    </row>
    <row r="82" spans="1:55" ht="16.5" x14ac:dyDescent="0.3">
      <c r="A82"/>
      <c r="B82"/>
      <c r="C82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Y82"/>
      <c r="AZ82"/>
      <c r="BA82"/>
      <c r="BB82"/>
      <c r="BC82"/>
    </row>
    <row r="83" spans="1:55" ht="16.5" x14ac:dyDescent="0.3">
      <c r="A83"/>
      <c r="B83"/>
      <c r="C83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Y83"/>
      <c r="AZ83"/>
      <c r="BA83"/>
      <c r="BB83"/>
      <c r="BC83"/>
    </row>
    <row r="84" spans="1:55" ht="16.5" x14ac:dyDescent="0.3">
      <c r="A84"/>
      <c r="B84"/>
      <c r="C84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Y84"/>
      <c r="AZ84"/>
      <c r="BA84"/>
      <c r="BB84"/>
      <c r="BC84"/>
    </row>
    <row r="85" spans="1:55" ht="16.5" x14ac:dyDescent="0.3">
      <c r="A85"/>
      <c r="B85"/>
      <c r="C85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Y85"/>
      <c r="AZ85"/>
      <c r="BA85"/>
      <c r="BB85"/>
      <c r="BC85"/>
    </row>
    <row r="86" spans="1:55" ht="16.5" x14ac:dyDescent="0.3">
      <c r="A86"/>
      <c r="B86"/>
      <c r="C8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Y86"/>
      <c r="AZ86"/>
      <c r="BA86"/>
      <c r="BB86"/>
      <c r="BC86"/>
    </row>
    <row r="87" spans="1:55" ht="16.5" x14ac:dyDescent="0.3">
      <c r="A87"/>
      <c r="B87"/>
      <c r="C87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Y87"/>
      <c r="AZ87"/>
      <c r="BA87"/>
      <c r="BB87"/>
      <c r="BC87"/>
    </row>
    <row r="88" spans="1:55" ht="16.5" x14ac:dyDescent="0.3">
      <c r="A88"/>
      <c r="B88"/>
      <c r="C88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55" ht="16.5" x14ac:dyDescent="0.3">
      <c r="A89"/>
      <c r="B89"/>
      <c r="C89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55" ht="16.5" x14ac:dyDescent="0.3">
      <c r="A90"/>
      <c r="B90"/>
      <c r="C90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55" x14ac:dyDescent="0.25">
      <c r="A91"/>
      <c r="B91"/>
      <c r="C91"/>
    </row>
    <row r="92" spans="1:55" x14ac:dyDescent="0.25">
      <c r="A92"/>
      <c r="B92"/>
      <c r="C92"/>
    </row>
    <row r="93" spans="1:55" x14ac:dyDescent="0.25">
      <c r="A93"/>
      <c r="B93"/>
      <c r="C93"/>
    </row>
    <row r="94" spans="1:55" x14ac:dyDescent="0.25">
      <c r="A94"/>
      <c r="B94"/>
      <c r="C94"/>
    </row>
    <row r="95" spans="1:55" x14ac:dyDescent="0.25">
      <c r="A95"/>
      <c r="B95"/>
      <c r="C95"/>
    </row>
    <row r="96" spans="1:55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  <row r="300" spans="1:3" x14ac:dyDescent="0.25">
      <c r="A300"/>
      <c r="B300"/>
      <c r="C300"/>
    </row>
  </sheetData>
  <conditionalFormatting sqref="L7:V17">
    <cfRule type="cellIs" dxfId="6" priority="1" operator="equal">
      <formula>$W$18</formula>
    </cfRule>
  </conditionalFormatting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9AA0-9C09-4AFC-87C4-842BBFB4520D}">
  <dimension ref="A1:Z51"/>
  <sheetViews>
    <sheetView zoomScale="98" zoomScaleNormal="98" workbookViewId="0">
      <selection activeCell="B2" sqref="B2"/>
    </sheetView>
  </sheetViews>
  <sheetFormatPr defaultColWidth="9.140625" defaultRowHeight="12.75" x14ac:dyDescent="0.2"/>
  <cols>
    <col min="1" max="1" width="4.42578125" style="3" bestFit="1" customWidth="1"/>
    <col min="2" max="2" width="6.28515625" style="3" bestFit="1" customWidth="1"/>
    <col min="3" max="3" width="6.7109375" style="3" bestFit="1" customWidth="1"/>
    <col min="4" max="6" width="6.28515625" style="3" customWidth="1"/>
    <col min="7" max="7" width="8.42578125" style="3" bestFit="1" customWidth="1"/>
    <col min="8" max="8" width="6.28515625" style="3" customWidth="1"/>
    <col min="9" max="10" width="8" style="3" bestFit="1" customWidth="1"/>
    <col min="11" max="11" width="7.140625" style="3" bestFit="1" customWidth="1"/>
    <col min="12" max="12" width="6.28515625" style="3" bestFit="1" customWidth="1"/>
    <col min="13" max="13" width="8" style="3" customWidth="1"/>
    <col min="14" max="14" width="9.140625" style="3"/>
    <col min="15" max="15" width="6.42578125" style="3" customWidth="1"/>
    <col min="16" max="16" width="7.28515625" style="3" customWidth="1"/>
    <col min="17" max="24" width="4" style="3" customWidth="1"/>
    <col min="25" max="25" width="4.140625" style="3" customWidth="1"/>
    <col min="26" max="16384" width="9.140625" style="3"/>
  </cols>
  <sheetData>
    <row r="1" spans="1:20" x14ac:dyDescent="0.2">
      <c r="A1" s="219" t="str">
        <f>[2]ArdiData!A2</f>
        <v>Per.</v>
      </c>
      <c r="B1" s="217" t="s">
        <v>0</v>
      </c>
      <c r="C1" s="217" t="s">
        <v>153</v>
      </c>
      <c r="D1" s="217" t="s">
        <v>3</v>
      </c>
      <c r="E1" s="217" t="s">
        <v>2</v>
      </c>
      <c r="F1" s="217" t="s">
        <v>1</v>
      </c>
      <c r="G1" s="225" t="s">
        <v>19</v>
      </c>
      <c r="H1" s="217" t="s">
        <v>17</v>
      </c>
      <c r="I1" s="217" t="s">
        <v>152</v>
      </c>
      <c r="J1" s="224" t="s">
        <v>3</v>
      </c>
      <c r="K1" s="224" t="s">
        <v>2</v>
      </c>
      <c r="L1" s="223" t="s">
        <v>1</v>
      </c>
      <c r="M1" s="223" t="s">
        <v>8</v>
      </c>
      <c r="N1" s="3">
        <v>0.5</v>
      </c>
      <c r="O1" s="222" t="s">
        <v>15</v>
      </c>
      <c r="P1" s="15">
        <v>0.5</v>
      </c>
      <c r="Q1" s="3" t="str">
        <f>" F(next) ~ N ( "&amp;ROUND(I78,0)&amp;", "&amp;ROUND(1.25*L77,0)&amp;")"</f>
        <v xml:space="preserve"> F(next) ~ N ( 0, 0)</v>
      </c>
      <c r="T1" s="14"/>
    </row>
    <row r="2" spans="1:20" x14ac:dyDescent="0.2">
      <c r="A2" s="219">
        <v>0</v>
      </c>
      <c r="B2" s="217"/>
      <c r="C2" s="217"/>
      <c r="D2" s="217"/>
      <c r="E2" s="217"/>
      <c r="F2" s="217"/>
      <c r="I2" s="217"/>
      <c r="J2" s="224"/>
      <c r="K2" s="224"/>
      <c r="L2" s="223"/>
      <c r="M2" s="223"/>
      <c r="O2" s="222" t="s">
        <v>14</v>
      </c>
      <c r="P2" s="15">
        <v>0.5</v>
      </c>
      <c r="T2" s="14"/>
    </row>
    <row r="3" spans="1:20" ht="15" x14ac:dyDescent="0.25">
      <c r="A3" s="219">
        <f>[2]ArdiData!A3</f>
        <v>1</v>
      </c>
      <c r="B3" s="218">
        <v>109</v>
      </c>
      <c r="C3" s="11">
        <f>B3</f>
        <v>109</v>
      </c>
      <c r="D3" s="217"/>
      <c r="E3" s="217"/>
      <c r="F3" s="217"/>
      <c r="G3" s="217">
        <f>INTERCEPT(B3:B23,A3:A23)</f>
        <v>104.66190476190476</v>
      </c>
      <c r="H3" s="217">
        <f>SLOPE(B3:B23,A3:A23)</f>
        <v>15.918181818181818</v>
      </c>
      <c r="I3" s="11">
        <f t="shared" ref="I3:I23" si="0">G3+H3</f>
        <v>120.58008658008659</v>
      </c>
      <c r="J3" s="12">
        <f t="shared" ref="J3:J23" si="1">B3-I3</f>
        <v>-11.580086580086586</v>
      </c>
      <c r="K3" s="12">
        <f t="shared" ref="K3:K23" si="2">ABS(J3)</f>
        <v>11.580086580086586</v>
      </c>
      <c r="L3" s="10">
        <f>AVERAGE($K$3:K3)</f>
        <v>11.580086580086586</v>
      </c>
      <c r="M3" s="10">
        <f>SUM(J$3:J3)/L3</f>
        <v>-1</v>
      </c>
    </row>
    <row r="4" spans="1:20" ht="15" x14ac:dyDescent="0.25">
      <c r="A4" s="219">
        <f>[2]ArdiData!A4</f>
        <v>2</v>
      </c>
      <c r="B4" s="218">
        <v>144</v>
      </c>
      <c r="C4" s="12">
        <f t="shared" ref="C4:C23" si="3">(1-$N$1)*C3+$N$1*B3</f>
        <v>109</v>
      </c>
      <c r="D4" s="217">
        <f t="shared" ref="D4:D23" si="4">B4-C4</f>
        <v>35</v>
      </c>
      <c r="E4" s="217">
        <f t="shared" ref="E4:E23" si="5">ABS(D4)</f>
        <v>35</v>
      </c>
      <c r="F4" s="217">
        <f>AVERAGE($E$4:E4)</f>
        <v>35</v>
      </c>
      <c r="G4" s="3">
        <f t="shared" ref="G4:G23" si="6">(1-$P$1)*I3+$P$1*B3</f>
        <v>114.79004329004329</v>
      </c>
      <c r="H4" s="11">
        <f t="shared" ref="H4:H23" si="7">(1-$P$2)*H3+$P$2*(B4-B3)</f>
        <v>25.459090909090911</v>
      </c>
      <c r="I4" s="11">
        <f t="shared" si="0"/>
        <v>140.2491341991342</v>
      </c>
      <c r="J4" s="12">
        <f t="shared" si="1"/>
        <v>3.750865800865796</v>
      </c>
      <c r="K4" s="12">
        <f t="shared" si="2"/>
        <v>3.750865800865796</v>
      </c>
      <c r="L4" s="10">
        <f>AVERAGE($K$3:K4)</f>
        <v>7.6654761904761912</v>
      </c>
      <c r="M4" s="10">
        <f>SUM(J$3:J4)/L4</f>
        <v>-1.0213613068093592</v>
      </c>
      <c r="O4" s="221">
        <f>F23</f>
        <v>44.543743419647214</v>
      </c>
    </row>
    <row r="5" spans="1:20" ht="15" x14ac:dyDescent="0.25">
      <c r="A5" s="219">
        <f>[2]ArdiData!A5</f>
        <v>3</v>
      </c>
      <c r="B5" s="218">
        <v>125</v>
      </c>
      <c r="C5" s="12">
        <f t="shared" si="3"/>
        <v>126.5</v>
      </c>
      <c r="D5" s="217">
        <f t="shared" si="4"/>
        <v>-1.5</v>
      </c>
      <c r="E5" s="217">
        <f t="shared" si="5"/>
        <v>1.5</v>
      </c>
      <c r="F5" s="217">
        <f>AVERAGE($E$4:E5)</f>
        <v>18.25</v>
      </c>
      <c r="G5" s="3">
        <f t="shared" si="6"/>
        <v>142.12456709956712</v>
      </c>
      <c r="H5" s="11">
        <f t="shared" si="7"/>
        <v>3.2295454545454554</v>
      </c>
      <c r="I5" s="11">
        <f t="shared" si="0"/>
        <v>145.35411255411256</v>
      </c>
      <c r="J5" s="12">
        <f t="shared" si="1"/>
        <v>-20.354112554112561</v>
      </c>
      <c r="K5" s="12">
        <f t="shared" si="2"/>
        <v>20.354112554112561</v>
      </c>
      <c r="L5" s="10">
        <f>AVERAGE($K$3:K5)</f>
        <v>11.895021645021648</v>
      </c>
      <c r="M5" s="10">
        <f>SUM(J$3:J5)/L5</f>
        <v>-2.3693385497225012</v>
      </c>
      <c r="N5" s="14">
        <f>L77</f>
        <v>0</v>
      </c>
      <c r="O5" s="3">
        <f t="dataTable" ref="O5:O15" dt2D="0" dtr="0" r1="N1"/>
        <v>179.3</v>
      </c>
    </row>
    <row r="6" spans="1:20" ht="15" x14ac:dyDescent="0.25">
      <c r="A6" s="219">
        <f>[2]ArdiData!A6</f>
        <v>4</v>
      </c>
      <c r="B6" s="218">
        <v>159</v>
      </c>
      <c r="C6" s="12">
        <f t="shared" si="3"/>
        <v>125.75</v>
      </c>
      <c r="D6" s="217">
        <f t="shared" si="4"/>
        <v>33.25</v>
      </c>
      <c r="E6" s="217">
        <f t="shared" si="5"/>
        <v>33.25</v>
      </c>
      <c r="F6" s="217">
        <f>AVERAGE($E$4:E6)</f>
        <v>23.25</v>
      </c>
      <c r="G6" s="3">
        <f t="shared" si="6"/>
        <v>135.17705627705629</v>
      </c>
      <c r="H6" s="11">
        <f t="shared" si="7"/>
        <v>18.614772727272729</v>
      </c>
      <c r="I6" s="11">
        <f t="shared" si="0"/>
        <v>153.79182900432903</v>
      </c>
      <c r="J6" s="12">
        <f t="shared" si="1"/>
        <v>5.2081709956709688</v>
      </c>
      <c r="K6" s="12">
        <f t="shared" si="2"/>
        <v>5.2081709956709688</v>
      </c>
      <c r="L6" s="10">
        <f>AVERAGE($K$3:K6)</f>
        <v>10.223308982683978</v>
      </c>
      <c r="M6" s="10">
        <f>SUM(J$3:J6)/L6</f>
        <v>-2.2473313069747984</v>
      </c>
      <c r="N6" s="3">
        <v>0.1</v>
      </c>
      <c r="O6" s="3">
        <v>102.35458466942305</v>
      </c>
    </row>
    <row r="7" spans="1:20" ht="15" x14ac:dyDescent="0.25">
      <c r="A7" s="219">
        <f>[2]ArdiData!A7</f>
        <v>5</v>
      </c>
      <c r="B7" s="218">
        <v>211</v>
      </c>
      <c r="C7" s="12">
        <f t="shared" si="3"/>
        <v>142.375</v>
      </c>
      <c r="D7" s="217">
        <f t="shared" si="4"/>
        <v>68.625</v>
      </c>
      <c r="E7" s="217">
        <f t="shared" si="5"/>
        <v>68.625</v>
      </c>
      <c r="F7" s="217">
        <f>AVERAGE($E$4:E7)</f>
        <v>34.59375</v>
      </c>
      <c r="G7" s="3">
        <f t="shared" si="6"/>
        <v>156.39591450216452</v>
      </c>
      <c r="H7" s="11">
        <f t="shared" si="7"/>
        <v>35.307386363636368</v>
      </c>
      <c r="I7" s="11">
        <f t="shared" si="0"/>
        <v>191.70330086580088</v>
      </c>
      <c r="J7" s="12">
        <f t="shared" si="1"/>
        <v>19.296699134199116</v>
      </c>
      <c r="K7" s="12">
        <f t="shared" si="2"/>
        <v>19.296699134199116</v>
      </c>
      <c r="L7" s="10">
        <f>AVERAGE($K$3:K7)</f>
        <v>12.037987012987006</v>
      </c>
      <c r="M7" s="10">
        <f>SUM(J$3:J7)/L7</f>
        <v>-0.30557128857962801</v>
      </c>
      <c r="N7" s="3">
        <v>0.2</v>
      </c>
      <c r="O7" s="3">
        <v>68.86327985154368</v>
      </c>
    </row>
    <row r="8" spans="1:20" ht="15" x14ac:dyDescent="0.25">
      <c r="A8" s="219">
        <f>[2]ArdiData!A8</f>
        <v>6</v>
      </c>
      <c r="B8" s="218">
        <v>237</v>
      </c>
      <c r="C8" s="12">
        <f t="shared" si="3"/>
        <v>176.6875</v>
      </c>
      <c r="D8" s="217">
        <f t="shared" si="4"/>
        <v>60.3125</v>
      </c>
      <c r="E8" s="217">
        <f t="shared" si="5"/>
        <v>60.3125</v>
      </c>
      <c r="F8" s="217">
        <f>AVERAGE($E$4:E8)</f>
        <v>39.737499999999997</v>
      </c>
      <c r="G8" s="3">
        <f t="shared" si="6"/>
        <v>201.35165043290044</v>
      </c>
      <c r="H8" s="11">
        <f t="shared" si="7"/>
        <v>30.653693181818184</v>
      </c>
      <c r="I8" s="11">
        <f t="shared" si="0"/>
        <v>232.00534361471864</v>
      </c>
      <c r="J8" s="12">
        <f t="shared" si="1"/>
        <v>4.9946563852813597</v>
      </c>
      <c r="K8" s="12">
        <f t="shared" si="2"/>
        <v>4.9946563852813597</v>
      </c>
      <c r="L8" s="10">
        <f>AVERAGE($K$3:K8)</f>
        <v>10.864098575036065</v>
      </c>
      <c r="M8" s="10">
        <f>SUM(J$3:J8)/L8</f>
        <v>0.12115070318328033</v>
      </c>
      <c r="N8" s="3">
        <v>0.30000000000000004</v>
      </c>
      <c r="O8" s="3">
        <v>56.190388955411819</v>
      </c>
    </row>
    <row r="9" spans="1:20" ht="15" x14ac:dyDescent="0.25">
      <c r="A9" s="219">
        <f>[2]ArdiData!A9</f>
        <v>7</v>
      </c>
      <c r="B9" s="218">
        <v>259</v>
      </c>
      <c r="C9" s="12">
        <f t="shared" si="3"/>
        <v>206.84375</v>
      </c>
      <c r="D9" s="217">
        <f t="shared" si="4"/>
        <v>52.15625</v>
      </c>
      <c r="E9" s="217">
        <f t="shared" si="5"/>
        <v>52.15625</v>
      </c>
      <c r="F9" s="217">
        <f>AVERAGE($E$4:E9)</f>
        <v>41.807291666666664</v>
      </c>
      <c r="G9" s="3">
        <f t="shared" si="6"/>
        <v>234.50267180735932</v>
      </c>
      <c r="H9" s="11">
        <f t="shared" si="7"/>
        <v>26.326846590909092</v>
      </c>
      <c r="I9" s="11">
        <f t="shared" si="0"/>
        <v>260.82951839826842</v>
      </c>
      <c r="J9" s="12">
        <f t="shared" si="1"/>
        <v>-1.8295183982684193</v>
      </c>
      <c r="K9" s="12">
        <f t="shared" si="2"/>
        <v>1.8295183982684193</v>
      </c>
      <c r="L9" s="10">
        <f>AVERAGE($K$3:K9)</f>
        <v>9.5734442640692574</v>
      </c>
      <c r="M9" s="10">
        <f>SUM(J$3:J9)/L9</f>
        <v>-5.361970073580747E-2</v>
      </c>
      <c r="N9" s="3">
        <v>0.4</v>
      </c>
      <c r="O9" s="3">
        <v>49.474558624760057</v>
      </c>
    </row>
    <row r="10" spans="1:20" ht="15" x14ac:dyDescent="0.25">
      <c r="A10" s="219">
        <f>[2]ArdiData!A10</f>
        <v>8</v>
      </c>
      <c r="B10" s="218">
        <v>263</v>
      </c>
      <c r="C10" s="12">
        <f t="shared" si="3"/>
        <v>232.921875</v>
      </c>
      <c r="D10" s="217">
        <f t="shared" si="4"/>
        <v>30.078125</v>
      </c>
      <c r="E10" s="217">
        <f t="shared" si="5"/>
        <v>30.078125</v>
      </c>
      <c r="F10" s="217">
        <f>AVERAGE($E$4:E10)</f>
        <v>40.131696428571431</v>
      </c>
      <c r="G10" s="3">
        <f t="shared" si="6"/>
        <v>259.91475919913421</v>
      </c>
      <c r="H10" s="11">
        <f t="shared" si="7"/>
        <v>15.163423295454546</v>
      </c>
      <c r="I10" s="11">
        <f t="shared" si="0"/>
        <v>275.07818249458876</v>
      </c>
      <c r="J10" s="12">
        <f t="shared" si="1"/>
        <v>-12.078182494588759</v>
      </c>
      <c r="K10" s="12">
        <f t="shared" si="2"/>
        <v>12.078182494588759</v>
      </c>
      <c r="L10" s="10">
        <f>AVERAGE($K$3:K10)</f>
        <v>9.8865365428841958</v>
      </c>
      <c r="M10" s="10">
        <f>SUM(J$3:J10)/L10</f>
        <v>-1.2736014939530855</v>
      </c>
      <c r="N10" s="3">
        <v>0.5</v>
      </c>
      <c r="O10" s="3">
        <v>44.543743419647214</v>
      </c>
    </row>
    <row r="11" spans="1:20" ht="15" x14ac:dyDescent="0.25">
      <c r="A11" s="219">
        <f>[2]ArdiData!A11</f>
        <v>9</v>
      </c>
      <c r="B11" s="218">
        <v>268</v>
      </c>
      <c r="C11" s="12">
        <f t="shared" si="3"/>
        <v>247.9609375</v>
      </c>
      <c r="D11" s="217">
        <f t="shared" si="4"/>
        <v>20.0390625</v>
      </c>
      <c r="E11" s="217">
        <f t="shared" si="5"/>
        <v>20.0390625</v>
      </c>
      <c r="F11" s="217">
        <f>AVERAGE($E$4:E11)</f>
        <v>37.6201171875</v>
      </c>
      <c r="G11" s="3">
        <f t="shared" si="6"/>
        <v>269.03909124729438</v>
      </c>
      <c r="H11" s="11">
        <f t="shared" si="7"/>
        <v>10.081711647727273</v>
      </c>
      <c r="I11" s="11">
        <f t="shared" si="0"/>
        <v>279.12080289502165</v>
      </c>
      <c r="J11" s="12">
        <f t="shared" si="1"/>
        <v>-11.120802895021654</v>
      </c>
      <c r="K11" s="12">
        <f t="shared" si="2"/>
        <v>11.120802895021654</v>
      </c>
      <c r="L11" s="10">
        <f>AVERAGE($K$3:K11)</f>
        <v>10.023677248677247</v>
      </c>
      <c r="M11" s="10">
        <f>SUM(J$3:J11)/L11</f>
        <v>-2.3656298998643321</v>
      </c>
      <c r="N11" s="3">
        <v>0.6</v>
      </c>
      <c r="O11" s="3">
        <v>40.935780225633437</v>
      </c>
    </row>
    <row r="12" spans="1:20" ht="15" x14ac:dyDescent="0.25">
      <c r="A12" s="219">
        <f>[2]ArdiData!A12</f>
        <v>10</v>
      </c>
      <c r="B12" s="218">
        <v>226</v>
      </c>
      <c r="C12" s="12">
        <f t="shared" si="3"/>
        <v>257.98046875</v>
      </c>
      <c r="D12" s="217">
        <f t="shared" si="4"/>
        <v>-31.98046875</v>
      </c>
      <c r="E12" s="217">
        <f t="shared" si="5"/>
        <v>31.98046875</v>
      </c>
      <c r="F12" s="217">
        <f>AVERAGE($E$4:E12)</f>
        <v>36.993489583333336</v>
      </c>
      <c r="G12" s="3">
        <f t="shared" si="6"/>
        <v>273.5604014475108</v>
      </c>
      <c r="H12" s="11">
        <f t="shared" si="7"/>
        <v>-15.959144176136363</v>
      </c>
      <c r="I12" s="11">
        <f t="shared" si="0"/>
        <v>257.60125727137444</v>
      </c>
      <c r="J12" s="12">
        <f t="shared" si="1"/>
        <v>-31.601257271374436</v>
      </c>
      <c r="K12" s="12">
        <f t="shared" si="2"/>
        <v>31.601257271374436</v>
      </c>
      <c r="L12" s="10">
        <f>AVERAGE($K$3:K12)</f>
        <v>12.181435250946965</v>
      </c>
      <c r="M12" s="10">
        <f>SUM(J$3:J12)/L12</f>
        <v>-4.5408087584043262</v>
      </c>
      <c r="N12" s="3">
        <v>0.70000000000000007</v>
      </c>
      <c r="O12" s="3">
        <v>38.144721006679063</v>
      </c>
    </row>
    <row r="13" spans="1:20" ht="15" x14ac:dyDescent="0.25">
      <c r="A13" s="219">
        <f>[2]ArdiData!A13</f>
        <v>11</v>
      </c>
      <c r="B13" s="218">
        <v>288</v>
      </c>
      <c r="C13" s="12">
        <f t="shared" si="3"/>
        <v>241.990234375</v>
      </c>
      <c r="D13" s="217">
        <f t="shared" si="4"/>
        <v>46.009765625</v>
      </c>
      <c r="E13" s="217">
        <f t="shared" si="5"/>
        <v>46.009765625</v>
      </c>
      <c r="F13" s="217">
        <f>AVERAGE($E$4:E13)</f>
        <v>37.895117187499999</v>
      </c>
      <c r="G13" s="3">
        <f t="shared" si="6"/>
        <v>241.80062863568722</v>
      </c>
      <c r="H13" s="11">
        <f t="shared" si="7"/>
        <v>23.020427911931819</v>
      </c>
      <c r="I13" s="11">
        <f t="shared" si="0"/>
        <v>264.82105654761904</v>
      </c>
      <c r="J13" s="12">
        <f t="shared" si="1"/>
        <v>23.178943452380963</v>
      </c>
      <c r="K13" s="12">
        <f t="shared" si="2"/>
        <v>23.178943452380963</v>
      </c>
      <c r="L13" s="10">
        <f>AVERAGE($K$3:K13)</f>
        <v>13.1812087238046</v>
      </c>
      <c r="M13" s="10">
        <f>SUM(J$3:J13)/L13</f>
        <v>-2.4379118105474422</v>
      </c>
      <c r="N13" s="3">
        <v>0.8</v>
      </c>
      <c r="O13" s="3">
        <v>36.241225922527647</v>
      </c>
    </row>
    <row r="14" spans="1:20" ht="15" x14ac:dyDescent="0.25">
      <c r="A14" s="219">
        <f>[2]ArdiData!A14</f>
        <v>12</v>
      </c>
      <c r="B14" s="218">
        <v>331</v>
      </c>
      <c r="C14" s="12">
        <f t="shared" si="3"/>
        <v>264.9951171875</v>
      </c>
      <c r="D14" s="217">
        <f t="shared" si="4"/>
        <v>66.0048828125</v>
      </c>
      <c r="E14" s="217">
        <f t="shared" si="5"/>
        <v>66.0048828125</v>
      </c>
      <c r="F14" s="217">
        <f>AVERAGE($E$4:E14)</f>
        <v>40.450550426136367</v>
      </c>
      <c r="G14" s="3">
        <f t="shared" si="6"/>
        <v>276.41052827380952</v>
      </c>
      <c r="H14" s="11">
        <f t="shared" si="7"/>
        <v>33.010213955965909</v>
      </c>
      <c r="I14" s="11">
        <f t="shared" si="0"/>
        <v>309.42074222977544</v>
      </c>
      <c r="J14" s="12">
        <f t="shared" si="1"/>
        <v>21.579257770224558</v>
      </c>
      <c r="K14" s="12">
        <f t="shared" si="2"/>
        <v>21.579257770224558</v>
      </c>
      <c r="L14" s="10">
        <f>AVERAGE($K$3:K14)</f>
        <v>13.881046144339598</v>
      </c>
      <c r="M14" s="10">
        <f>SUM(J$3:J14)/L14</f>
        <v>-0.76041578891616279</v>
      </c>
      <c r="N14" s="3">
        <v>0.9</v>
      </c>
      <c r="O14" s="3">
        <v>35.233223019066976</v>
      </c>
    </row>
    <row r="15" spans="1:20" ht="15" x14ac:dyDescent="0.25">
      <c r="A15" s="219">
        <f>[2]ArdiData!A15</f>
        <v>13</v>
      </c>
      <c r="B15" s="218">
        <v>250</v>
      </c>
      <c r="C15" s="12">
        <f t="shared" si="3"/>
        <v>297.99755859375</v>
      </c>
      <c r="D15" s="217">
        <f t="shared" si="4"/>
        <v>-47.99755859375</v>
      </c>
      <c r="E15" s="217">
        <f t="shared" si="5"/>
        <v>47.99755859375</v>
      </c>
      <c r="F15" s="217">
        <f>AVERAGE($E$4:E15)</f>
        <v>41.0794677734375</v>
      </c>
      <c r="G15" s="3">
        <f t="shared" si="6"/>
        <v>320.21037111488772</v>
      </c>
      <c r="H15" s="11">
        <f t="shared" si="7"/>
        <v>-23.994893022017045</v>
      </c>
      <c r="I15" s="11">
        <f t="shared" si="0"/>
        <v>296.21547809287068</v>
      </c>
      <c r="J15" s="12">
        <f t="shared" si="1"/>
        <v>-46.215478092870683</v>
      </c>
      <c r="K15" s="12">
        <f t="shared" si="2"/>
        <v>46.215478092870683</v>
      </c>
      <c r="L15" s="10">
        <f>AVERAGE($K$3:K15)</f>
        <v>16.368310140380451</v>
      </c>
      <c r="M15" s="10">
        <f>SUM(J$3:J15)/L15</f>
        <v>-3.4683387754027981</v>
      </c>
      <c r="N15" s="3">
        <v>1</v>
      </c>
      <c r="O15" s="3">
        <v>35.35</v>
      </c>
    </row>
    <row r="16" spans="1:20" ht="15" x14ac:dyDescent="0.25">
      <c r="A16" s="219">
        <f>[2]ArdiData!A16</f>
        <v>14</v>
      </c>
      <c r="B16" s="218">
        <v>258</v>
      </c>
      <c r="C16" s="12">
        <f t="shared" si="3"/>
        <v>273.998779296875</v>
      </c>
      <c r="D16" s="217">
        <f t="shared" si="4"/>
        <v>-15.998779296875</v>
      </c>
      <c r="E16" s="217">
        <f t="shared" si="5"/>
        <v>15.998779296875</v>
      </c>
      <c r="F16" s="217">
        <f>AVERAGE($E$4:E16)</f>
        <v>39.150184044471153</v>
      </c>
      <c r="G16" s="3">
        <f t="shared" si="6"/>
        <v>273.10773904643531</v>
      </c>
      <c r="H16" s="11">
        <f t="shared" si="7"/>
        <v>-7.9974465110085227</v>
      </c>
      <c r="I16" s="11">
        <f t="shared" si="0"/>
        <v>265.11029253542677</v>
      </c>
      <c r="J16" s="12">
        <f t="shared" si="1"/>
        <v>-7.1102925354267654</v>
      </c>
      <c r="K16" s="12">
        <f t="shared" si="2"/>
        <v>7.1102925354267654</v>
      </c>
      <c r="L16" s="10">
        <f>AVERAGE($K$3:K16)</f>
        <v>15.707023168598043</v>
      </c>
      <c r="M16" s="10">
        <f>SUM(J$3:J16)/L16</f>
        <v>-4.0670429143340288</v>
      </c>
      <c r="N16" s="3">
        <f>MIN(O5:O15)</f>
        <v>35.233223019066976</v>
      </c>
    </row>
    <row r="17" spans="1:26" ht="15" x14ac:dyDescent="0.25">
      <c r="A17" s="219">
        <f>[2]ArdiData!A17</f>
        <v>15</v>
      </c>
      <c r="B17" s="218">
        <v>283</v>
      </c>
      <c r="C17" s="12">
        <f t="shared" si="3"/>
        <v>265.9993896484375</v>
      </c>
      <c r="D17" s="217">
        <f t="shared" si="4"/>
        <v>17.0006103515625</v>
      </c>
      <c r="E17" s="217">
        <f t="shared" si="5"/>
        <v>17.0006103515625</v>
      </c>
      <c r="F17" s="217">
        <f>AVERAGE($E$4:E17)</f>
        <v>37.568071637834819</v>
      </c>
      <c r="G17" s="3">
        <f t="shared" si="6"/>
        <v>261.55514626771338</v>
      </c>
      <c r="H17" s="11">
        <f t="shared" si="7"/>
        <v>8.5012767444957387</v>
      </c>
      <c r="I17" s="11">
        <f t="shared" si="0"/>
        <v>270.05642301220911</v>
      </c>
      <c r="J17" s="12">
        <f t="shared" si="1"/>
        <v>12.943576987790891</v>
      </c>
      <c r="K17" s="12">
        <f t="shared" si="2"/>
        <v>12.943576987790891</v>
      </c>
      <c r="L17" s="10">
        <f>AVERAGE($K$3:K17)</f>
        <v>15.522793423210901</v>
      </c>
      <c r="M17" s="10">
        <f>SUM(J$3:J17)/L17</f>
        <v>-3.2814686703986133</v>
      </c>
      <c r="N17" s="220">
        <f>L23</f>
        <v>18.089090956414854</v>
      </c>
      <c r="O17" s="3">
        <v>0</v>
      </c>
      <c r="P17" s="3">
        <v>0.1</v>
      </c>
      <c r="Q17" s="3">
        <v>0.2</v>
      </c>
      <c r="R17" s="3">
        <v>0.3</v>
      </c>
      <c r="S17" s="3">
        <v>0.4</v>
      </c>
      <c r="T17" s="3">
        <v>0.5</v>
      </c>
      <c r="U17" s="3">
        <v>0.6</v>
      </c>
      <c r="V17" s="3">
        <v>0.7</v>
      </c>
      <c r="W17" s="3">
        <v>0.8</v>
      </c>
      <c r="X17" s="3">
        <v>0.9</v>
      </c>
      <c r="Y17" s="3">
        <v>1</v>
      </c>
    </row>
    <row r="18" spans="1:26" ht="15" x14ac:dyDescent="0.25">
      <c r="A18" s="219">
        <f>[2]ArdiData!A18</f>
        <v>16</v>
      </c>
      <c r="B18" s="218">
        <v>265</v>
      </c>
      <c r="C18" s="12">
        <f t="shared" si="3"/>
        <v>274.49969482421875</v>
      </c>
      <c r="D18" s="217">
        <f t="shared" si="4"/>
        <v>-9.49969482421875</v>
      </c>
      <c r="E18" s="217">
        <f t="shared" si="5"/>
        <v>9.49969482421875</v>
      </c>
      <c r="F18" s="217">
        <f>AVERAGE($E$4:E18)</f>
        <v>35.696846516927081</v>
      </c>
      <c r="G18" s="3">
        <f t="shared" si="6"/>
        <v>276.52821150610453</v>
      </c>
      <c r="H18" s="11">
        <f t="shared" si="7"/>
        <v>-4.7493616277521307</v>
      </c>
      <c r="I18" s="11">
        <f t="shared" si="0"/>
        <v>271.77884987835239</v>
      </c>
      <c r="J18" s="12">
        <f t="shared" si="1"/>
        <v>-6.7788498783523892</v>
      </c>
      <c r="K18" s="12">
        <f t="shared" si="2"/>
        <v>6.7788498783523892</v>
      </c>
      <c r="L18" s="10">
        <f>AVERAGE($K$3:K18)</f>
        <v>14.976296951657243</v>
      </c>
      <c r="M18" s="10">
        <f>SUM(J$3:J18)/L18</f>
        <v>-3.8538505452979703</v>
      </c>
      <c r="N18" s="3">
        <v>0</v>
      </c>
      <c r="O18" s="3">
        <f t="dataTable" ref="O18:Y28" dt2D="1" dtr="1" r1="P2" r2="P1"/>
        <v>35.435910121624396</v>
      </c>
      <c r="P18" s="3">
        <v>31.200876193641857</v>
      </c>
      <c r="Q18" s="3">
        <v>27.913779914569279</v>
      </c>
      <c r="R18" s="3">
        <v>24.486335441296745</v>
      </c>
      <c r="S18" s="3">
        <v>20.703753710407899</v>
      </c>
      <c r="T18" s="3">
        <v>17.619153131187353</v>
      </c>
      <c r="U18" s="3">
        <v>15.522055487228865</v>
      </c>
      <c r="V18" s="3">
        <v>13.552386618118341</v>
      </c>
      <c r="W18" s="3">
        <v>12.128486108447825</v>
      </c>
      <c r="X18" s="3">
        <v>11.415961892249733</v>
      </c>
      <c r="Y18" s="3">
        <v>11.580086580086572</v>
      </c>
    </row>
    <row r="19" spans="1:26" ht="15" x14ac:dyDescent="0.25">
      <c r="A19" s="219">
        <f>[2]ArdiData!A19</f>
        <v>17</v>
      </c>
      <c r="B19" s="218">
        <v>395</v>
      </c>
      <c r="C19" s="12">
        <f t="shared" si="3"/>
        <v>269.74984741210938</v>
      </c>
      <c r="D19" s="217">
        <f t="shared" si="4"/>
        <v>125.25015258789063</v>
      </c>
      <c r="E19" s="217">
        <f t="shared" si="5"/>
        <v>125.25015258789063</v>
      </c>
      <c r="F19" s="217">
        <f>AVERAGE($E$4:E19)</f>
        <v>41.293928146362305</v>
      </c>
      <c r="G19" s="3">
        <f t="shared" si="6"/>
        <v>268.38942493917619</v>
      </c>
      <c r="H19" s="11">
        <f t="shared" si="7"/>
        <v>62.625319186123932</v>
      </c>
      <c r="I19" s="11">
        <f t="shared" si="0"/>
        <v>331.01474412530013</v>
      </c>
      <c r="J19" s="12">
        <f t="shared" si="1"/>
        <v>63.985255874699874</v>
      </c>
      <c r="K19" s="12">
        <f t="shared" si="2"/>
        <v>63.985255874699874</v>
      </c>
      <c r="L19" s="10">
        <f>AVERAGE($K$3:K19)</f>
        <v>17.859176888306809</v>
      </c>
      <c r="M19" s="10">
        <f>SUM(J$3:J19)/L19</f>
        <v>0.35101537658859083</v>
      </c>
      <c r="N19" s="3">
        <v>0.1</v>
      </c>
      <c r="O19" s="3">
        <v>36.517452415166858</v>
      </c>
      <c r="P19" s="3">
        <v>32.884545864129073</v>
      </c>
      <c r="Q19" s="3">
        <v>28.591617658822504</v>
      </c>
      <c r="R19" s="3">
        <v>24.487407889929553</v>
      </c>
      <c r="S19" s="3">
        <v>20.309431258140194</v>
      </c>
      <c r="T19" s="3">
        <v>16.45289805213385</v>
      </c>
      <c r="U19" s="3">
        <v>13.379901653572201</v>
      </c>
      <c r="V19" s="3">
        <v>10.702221862425734</v>
      </c>
      <c r="W19" s="3">
        <v>8.167860419665363</v>
      </c>
      <c r="X19" s="3">
        <v>6.004906135622103</v>
      </c>
      <c r="Y19" s="3">
        <v>4.9109548630658137</v>
      </c>
    </row>
    <row r="20" spans="1:26" ht="15" x14ac:dyDescent="0.25">
      <c r="A20" s="219">
        <f>[2]ArdiData!A20</f>
        <v>18</v>
      </c>
      <c r="B20" s="218">
        <v>447</v>
      </c>
      <c r="C20" s="12">
        <f t="shared" si="3"/>
        <v>332.37492370605469</v>
      </c>
      <c r="D20" s="217">
        <f t="shared" si="4"/>
        <v>114.62507629394531</v>
      </c>
      <c r="E20" s="217">
        <f t="shared" si="5"/>
        <v>114.62507629394531</v>
      </c>
      <c r="F20" s="217">
        <f>AVERAGE($E$4:E20)</f>
        <v>45.60752509622013</v>
      </c>
      <c r="G20" s="3">
        <f t="shared" si="6"/>
        <v>363.00737206265006</v>
      </c>
      <c r="H20" s="11">
        <f t="shared" si="7"/>
        <v>57.312659593061966</v>
      </c>
      <c r="I20" s="11">
        <f t="shared" si="0"/>
        <v>420.320031655712</v>
      </c>
      <c r="J20" s="12">
        <f t="shared" si="1"/>
        <v>26.679968344288</v>
      </c>
      <c r="K20" s="12">
        <f t="shared" si="2"/>
        <v>26.679968344288</v>
      </c>
      <c r="L20" s="10">
        <f>AVERAGE($K$3:K20)</f>
        <v>18.349220858083541</v>
      </c>
      <c r="M20" s="10">
        <f>SUM(J$3:J20)/L20</f>
        <v>1.795651940762599</v>
      </c>
      <c r="N20" s="3">
        <v>0.2</v>
      </c>
      <c r="O20" s="3">
        <v>35.865831976790894</v>
      </c>
      <c r="P20" s="3">
        <v>32.204560682179704</v>
      </c>
      <c r="Q20" s="3">
        <v>28.026651425113055</v>
      </c>
      <c r="R20" s="3">
        <v>23.995082438065189</v>
      </c>
      <c r="S20" s="3">
        <v>19.870133234606403</v>
      </c>
      <c r="T20" s="3">
        <v>16.180624714751573</v>
      </c>
      <c r="U20" s="3">
        <v>13.383252819291958</v>
      </c>
      <c r="V20" s="3">
        <v>10.543778436206983</v>
      </c>
      <c r="W20" s="3">
        <v>7.6868697915743764</v>
      </c>
      <c r="X20" s="3">
        <v>4.8865038177912012</v>
      </c>
      <c r="Y20" s="3">
        <v>2.7317331269856617</v>
      </c>
    </row>
    <row r="21" spans="1:26" ht="15" x14ac:dyDescent="0.25">
      <c r="A21" s="219">
        <f>[2]ArdiData!A21</f>
        <v>19</v>
      </c>
      <c r="B21" s="218">
        <v>436</v>
      </c>
      <c r="C21" s="12">
        <f t="shared" si="3"/>
        <v>389.68746185302734</v>
      </c>
      <c r="D21" s="217">
        <f t="shared" si="4"/>
        <v>46.312538146972656</v>
      </c>
      <c r="E21" s="217">
        <f t="shared" si="5"/>
        <v>46.312538146972656</v>
      </c>
      <c r="F21" s="217">
        <f>AVERAGE($E$4:E21)</f>
        <v>45.646692487928604</v>
      </c>
      <c r="G21" s="3">
        <f t="shared" si="6"/>
        <v>433.660015827856</v>
      </c>
      <c r="H21" s="11">
        <f t="shared" si="7"/>
        <v>23.156329796530983</v>
      </c>
      <c r="I21" s="11">
        <f t="shared" si="0"/>
        <v>456.816345624387</v>
      </c>
      <c r="J21" s="12">
        <f t="shared" si="1"/>
        <v>-20.816345624386997</v>
      </c>
      <c r="K21" s="12">
        <f t="shared" si="2"/>
        <v>20.816345624386997</v>
      </c>
      <c r="L21" s="10">
        <f>AVERAGE($K$3:K21)</f>
        <v>18.479069529994252</v>
      </c>
      <c r="M21" s="10">
        <f>SUM(J$3:J21)/L21</f>
        <v>0.65655191140546831</v>
      </c>
      <c r="N21" s="3">
        <v>0.3</v>
      </c>
      <c r="O21" s="3">
        <v>34.402094991734657</v>
      </c>
      <c r="P21" s="3">
        <v>30.939556787201376</v>
      </c>
      <c r="Q21" s="3">
        <v>27.340256213061583</v>
      </c>
      <c r="R21" s="3">
        <v>23.231269748841605</v>
      </c>
      <c r="S21" s="3">
        <v>19.597121324555598</v>
      </c>
      <c r="T21" s="3">
        <v>16.831816756316112</v>
      </c>
      <c r="U21" s="3">
        <v>13.833753714206992</v>
      </c>
      <c r="V21" s="3">
        <v>10.694346465287445</v>
      </c>
      <c r="W21" s="3">
        <v>7.5122632000298655</v>
      </c>
      <c r="X21" s="3">
        <v>4.4802115611885069</v>
      </c>
      <c r="Y21" s="3">
        <v>1.8370823127970173</v>
      </c>
    </row>
    <row r="22" spans="1:26" ht="15" x14ac:dyDescent="0.25">
      <c r="A22" s="219">
        <f>[2]ArdiData!A22</f>
        <v>20</v>
      </c>
      <c r="B22" s="218">
        <v>465</v>
      </c>
      <c r="C22" s="12">
        <f t="shared" si="3"/>
        <v>412.84373092651367</v>
      </c>
      <c r="D22" s="217">
        <f t="shared" si="4"/>
        <v>52.156269073486328</v>
      </c>
      <c r="E22" s="217">
        <f t="shared" si="5"/>
        <v>52.156269073486328</v>
      </c>
      <c r="F22" s="217">
        <f>AVERAGE($E$4:E22)</f>
        <v>45.989301781905326</v>
      </c>
      <c r="G22" s="3">
        <f t="shared" si="6"/>
        <v>446.40817281219347</v>
      </c>
      <c r="H22" s="11">
        <f t="shared" si="7"/>
        <v>26.078164898265491</v>
      </c>
      <c r="I22" s="11">
        <f t="shared" si="0"/>
        <v>472.48633771045894</v>
      </c>
      <c r="J22" s="12">
        <f t="shared" si="1"/>
        <v>-7.4863377104589404</v>
      </c>
      <c r="K22" s="12">
        <f t="shared" si="2"/>
        <v>7.4863377104589404</v>
      </c>
      <c r="L22" s="10">
        <f>AVERAGE($K$3:K22)</f>
        <v>17.929432939017484</v>
      </c>
      <c r="M22" s="10">
        <f>SUM(J$3:J22)/L22</f>
        <v>0.2591342808362091</v>
      </c>
      <c r="N22" s="3">
        <v>0.4</v>
      </c>
      <c r="O22" s="3">
        <v>33.395639784370793</v>
      </c>
      <c r="P22" s="3">
        <v>30.262108408679318</v>
      </c>
      <c r="Q22" s="3">
        <v>26.520539676714581</v>
      </c>
      <c r="R22" s="3">
        <v>23.004226191807877</v>
      </c>
      <c r="S22" s="3">
        <v>20.524789080020064</v>
      </c>
      <c r="T22" s="3">
        <v>17.592496260299292</v>
      </c>
      <c r="U22" s="3">
        <v>14.337433135582879</v>
      </c>
      <c r="V22" s="3">
        <v>10.920248044021585</v>
      </c>
      <c r="W22" s="3">
        <v>7.5667989365924173</v>
      </c>
      <c r="X22" s="3">
        <v>4.3296766587188333</v>
      </c>
      <c r="Y22" s="3">
        <v>1.378551493845102</v>
      </c>
    </row>
    <row r="23" spans="1:26" ht="15" x14ac:dyDescent="0.25">
      <c r="A23" s="219">
        <f>[2]ArdiData!A23</f>
        <v>21</v>
      </c>
      <c r="B23" s="218">
        <v>456</v>
      </c>
      <c r="C23" s="12">
        <f t="shared" si="3"/>
        <v>438.92186546325684</v>
      </c>
      <c r="D23" s="217">
        <f t="shared" si="4"/>
        <v>17.078134536743164</v>
      </c>
      <c r="E23" s="217">
        <f t="shared" si="5"/>
        <v>17.078134536743164</v>
      </c>
      <c r="F23" s="216">
        <f>AVERAGE($E$4:E23)</f>
        <v>44.543743419647214</v>
      </c>
      <c r="G23" s="3">
        <f t="shared" si="6"/>
        <v>468.74316885522944</v>
      </c>
      <c r="H23" s="11">
        <f t="shared" si="7"/>
        <v>8.5390824491327457</v>
      </c>
      <c r="I23" s="11">
        <f t="shared" si="0"/>
        <v>477.28225130436221</v>
      </c>
      <c r="J23" s="12">
        <f t="shared" si="1"/>
        <v>-21.282251304362205</v>
      </c>
      <c r="K23" s="12">
        <f t="shared" si="2"/>
        <v>21.282251304362205</v>
      </c>
      <c r="L23" s="10">
        <f>AVERAGE($K$3:K23)</f>
        <v>18.089090956414854</v>
      </c>
      <c r="M23" s="10">
        <f>SUM(J$3:J23)/L23</f>
        <v>-0.91967698288394517</v>
      </c>
      <c r="N23" s="3">
        <v>0.5</v>
      </c>
      <c r="O23" s="3">
        <v>32.378381702232026</v>
      </c>
      <c r="P23" s="3">
        <v>29.344838896828833</v>
      </c>
      <c r="Q23" s="3">
        <v>26.083182953444283</v>
      </c>
      <c r="R23" s="3">
        <v>23.799482423811213</v>
      </c>
      <c r="S23" s="3">
        <v>21.133998185712795</v>
      </c>
      <c r="T23" s="3">
        <v>18.089090956414854</v>
      </c>
      <c r="U23" s="3">
        <v>14.623871936279965</v>
      </c>
      <c r="V23" s="3">
        <v>10.992094451118327</v>
      </c>
      <c r="W23" s="3">
        <v>7.7048113216225387</v>
      </c>
      <c r="X23" s="3">
        <v>4.3198101448543698</v>
      </c>
      <c r="Y23" s="3">
        <v>1.1028648626924706</v>
      </c>
    </row>
    <row r="24" spans="1:26" x14ac:dyDescent="0.2">
      <c r="N24" s="3">
        <v>0.6</v>
      </c>
      <c r="O24" s="3">
        <v>31.431018297864398</v>
      </c>
      <c r="P24" s="3">
        <v>28.741708022615608</v>
      </c>
      <c r="Q24" s="3">
        <v>26.514068237164935</v>
      </c>
      <c r="R24" s="3">
        <v>24.252405524344699</v>
      </c>
      <c r="S24" s="3">
        <v>21.516945416914609</v>
      </c>
      <c r="T24" s="3">
        <v>18.261882292198191</v>
      </c>
      <c r="U24" s="3">
        <v>14.686997846713425</v>
      </c>
      <c r="V24" s="3">
        <v>11.246305198065297</v>
      </c>
      <c r="W24" s="3">
        <v>7.7680952099251446</v>
      </c>
      <c r="X24" s="3">
        <v>4.4301889083937755</v>
      </c>
      <c r="Y24" s="3">
        <v>0.91905448644101351</v>
      </c>
    </row>
    <row r="25" spans="1:26" x14ac:dyDescent="0.2">
      <c r="B25" s="215" t="s">
        <v>151</v>
      </c>
      <c r="C25" s="215"/>
      <c r="D25" s="215"/>
      <c r="E25" s="215"/>
      <c r="F25" s="215"/>
      <c r="G25" s="215"/>
      <c r="H25" s="215"/>
      <c r="N25" s="3">
        <v>0.7</v>
      </c>
      <c r="O25" s="3">
        <v>31.031990601432987</v>
      </c>
      <c r="P25" s="3">
        <v>29.064519294155815</v>
      </c>
      <c r="Q25" s="3">
        <v>26.811217241409675</v>
      </c>
      <c r="R25" s="3">
        <v>24.443164374566852</v>
      </c>
      <c r="S25" s="3">
        <v>21.54716686164199</v>
      </c>
      <c r="T25" s="3">
        <v>18.211366979992935</v>
      </c>
      <c r="U25" s="3">
        <v>14.908030808767084</v>
      </c>
      <c r="V25" s="3">
        <v>11.431548378298004</v>
      </c>
      <c r="W25" s="3">
        <v>8.0363768398128315</v>
      </c>
      <c r="X25" s="3">
        <v>4.5626226623057731</v>
      </c>
      <c r="Y25" s="3">
        <v>0.78776099183439474</v>
      </c>
    </row>
    <row r="26" spans="1:26" x14ac:dyDescent="0.2">
      <c r="N26" s="3">
        <v>0.8</v>
      </c>
      <c r="O26" s="3">
        <v>31.202810124936182</v>
      </c>
      <c r="P26" s="3">
        <v>29.173720702817793</v>
      </c>
      <c r="Q26" s="3">
        <v>26.73469551578388</v>
      </c>
      <c r="R26" s="3">
        <v>24.322424551342291</v>
      </c>
      <c r="S26" s="3">
        <v>21.432447600914383</v>
      </c>
      <c r="T26" s="3">
        <v>18.393229224535407</v>
      </c>
      <c r="U26" s="3">
        <v>15.081117329688922</v>
      </c>
      <c r="V26" s="3">
        <v>11.885422254532466</v>
      </c>
      <c r="W26" s="3">
        <v>8.4690737035235522</v>
      </c>
      <c r="X26" s="3">
        <v>4.6784993458180688</v>
      </c>
      <c r="Y26" s="3">
        <v>0.68929086786228722</v>
      </c>
    </row>
    <row r="27" spans="1:26" x14ac:dyDescent="0.2">
      <c r="N27" s="3">
        <v>0.9</v>
      </c>
      <c r="O27" s="3">
        <v>31.253235804978203</v>
      </c>
      <c r="P27" s="3">
        <v>29.093555531582997</v>
      </c>
      <c r="Q27" s="3">
        <v>26.550824903504203</v>
      </c>
      <c r="R27" s="3">
        <v>24.205730926664074</v>
      </c>
      <c r="S27" s="3">
        <v>21.574204472342704</v>
      </c>
      <c r="T27" s="3">
        <v>18.53773756771438</v>
      </c>
      <c r="U27" s="3">
        <v>15.668625420846359</v>
      </c>
      <c r="V27" s="3">
        <v>12.487140943156467</v>
      </c>
      <c r="W27" s="3">
        <v>8.8642587508070925</v>
      </c>
      <c r="X27" s="3">
        <v>4.8461174486349385</v>
      </c>
      <c r="Y27" s="3">
        <v>0.61270299365536929</v>
      </c>
    </row>
    <row r="28" spans="1:26" x14ac:dyDescent="0.2">
      <c r="C28" s="3" t="s">
        <v>150</v>
      </c>
      <c r="N28" s="3">
        <v>1</v>
      </c>
      <c r="O28" s="3">
        <v>31.083034425891572</v>
      </c>
      <c r="P28" s="3">
        <v>28.821629242498631</v>
      </c>
      <c r="Q28" s="3">
        <v>26.780267060717431</v>
      </c>
      <c r="R28" s="3">
        <v>24.472328623728551</v>
      </c>
      <c r="S28" s="3">
        <v>21.834155835058368</v>
      </c>
      <c r="T28" s="3">
        <v>19.320036837027953</v>
      </c>
      <c r="U28" s="3">
        <v>16.402798381554266</v>
      </c>
      <c r="V28" s="3">
        <v>13.017856886586177</v>
      </c>
      <c r="W28" s="3">
        <v>9.2107291096582049</v>
      </c>
      <c r="X28" s="3">
        <v>5.1136209712865304</v>
      </c>
      <c r="Y28" s="3">
        <v>0.55143269428983743</v>
      </c>
    </row>
    <row r="29" spans="1:26" x14ac:dyDescent="0.2">
      <c r="Z29" s="214">
        <f>MIN(O18:Y28)</f>
        <v>0.55143269428983743</v>
      </c>
    </row>
    <row r="30" spans="1:26" x14ac:dyDescent="0.2">
      <c r="G30" s="3" t="s">
        <v>149</v>
      </c>
    </row>
    <row r="31" spans="1:26" x14ac:dyDescent="0.2">
      <c r="G31" s="3">
        <v>963.15548157519095</v>
      </c>
    </row>
    <row r="32" spans="1:26" x14ac:dyDescent="0.2">
      <c r="G32" s="3">
        <v>1493.3384644848786</v>
      </c>
    </row>
    <row r="33" spans="7:7" x14ac:dyDescent="0.2">
      <c r="G33" s="3">
        <v>1264.8332605620974</v>
      </c>
    </row>
    <row r="34" spans="7:7" x14ac:dyDescent="0.2">
      <c r="G34" s="3">
        <v>1191.8832101847142</v>
      </c>
    </row>
    <row r="35" spans="7:7" x14ac:dyDescent="0.2">
      <c r="G35" s="3">
        <v>1697.9527967726167</v>
      </c>
    </row>
    <row r="36" spans="7:7" x14ac:dyDescent="0.2">
      <c r="G36" s="3">
        <v>1509.8728747997</v>
      </c>
    </row>
    <row r="37" spans="7:7" x14ac:dyDescent="0.2">
      <c r="G37" s="3">
        <v>1332.1230954034852</v>
      </c>
    </row>
    <row r="38" spans="7:7" x14ac:dyDescent="0.2">
      <c r="G38" s="3">
        <v>1425.4365999529061</v>
      </c>
    </row>
    <row r="39" spans="7:7" x14ac:dyDescent="0.2">
      <c r="G39" s="3">
        <v>1458.1009054435947</v>
      </c>
    </row>
    <row r="40" spans="7:7" x14ac:dyDescent="0.2">
      <c r="G40" s="3">
        <v>1743.5313252612307</v>
      </c>
    </row>
    <row r="41" spans="7:7" x14ac:dyDescent="0.2">
      <c r="G41" s="3">
        <v>1531.7976010456621</v>
      </c>
    </row>
    <row r="42" spans="7:7" x14ac:dyDescent="0.2">
      <c r="G42" s="3">
        <v>2044.3582999968971</v>
      </c>
    </row>
    <row r="43" spans="7:7" x14ac:dyDescent="0.2">
      <c r="G43" s="3">
        <v>1703.4172980150627</v>
      </c>
    </row>
    <row r="44" spans="7:7" x14ac:dyDescent="0.2">
      <c r="G44" s="3">
        <v>2298.0240716391145</v>
      </c>
    </row>
    <row r="45" spans="7:7" x14ac:dyDescent="0.2">
      <c r="G45" s="3">
        <v>2421.4191904794839</v>
      </c>
    </row>
    <row r="46" spans="7:7" x14ac:dyDescent="0.2">
      <c r="G46" s="3">
        <v>1873.4439960140373</v>
      </c>
    </row>
    <row r="47" spans="7:7" x14ac:dyDescent="0.2">
      <c r="G47" s="3">
        <v>1902.2676412916496</v>
      </c>
    </row>
    <row r="48" spans="7:7" x14ac:dyDescent="0.2">
      <c r="G48" s="3">
        <v>1954.6003960807061</v>
      </c>
    </row>
    <row r="49" spans="7:7" x14ac:dyDescent="0.2">
      <c r="G49" s="3">
        <v>2350.5232634011691</v>
      </c>
    </row>
    <row r="50" spans="7:7" x14ac:dyDescent="0.2">
      <c r="G50" s="3">
        <v>2377.6825272441906</v>
      </c>
    </row>
    <row r="51" spans="7:7" x14ac:dyDescent="0.2">
      <c r="G51" s="3">
        <v>3067.1892163631896</v>
      </c>
    </row>
  </sheetData>
  <conditionalFormatting sqref="N6:N15 N18:N28">
    <cfRule type="expression" dxfId="5" priority="3">
      <formula>$O5=$O$16</formula>
    </cfRule>
  </conditionalFormatting>
  <conditionalFormatting sqref="O6:O15">
    <cfRule type="cellIs" dxfId="4" priority="2" operator="equal">
      <formula>$Y$16</formula>
    </cfRule>
  </conditionalFormatting>
  <conditionalFormatting sqref="O18:Y28">
    <cfRule type="cellIs" dxfId="3" priority="1" operator="equal">
      <formula>$Z$29</formula>
    </cfRule>
  </conditionalFormatting>
  <conditionalFormatting sqref="O5:O15">
    <cfRule type="cellIs" dxfId="2" priority="4" operator="equal">
      <formula>$N$16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BEE94-08C5-4961-A4B1-43C2F15FA3C5}">
  <dimension ref="A1:AF78"/>
  <sheetViews>
    <sheetView zoomScale="98" zoomScaleNormal="98" workbookViewId="0">
      <selection activeCell="B2" sqref="B2"/>
    </sheetView>
  </sheetViews>
  <sheetFormatPr defaultColWidth="9.140625" defaultRowHeight="12.75" x14ac:dyDescent="0.2"/>
  <cols>
    <col min="1" max="1" width="4.42578125" style="3" bestFit="1" customWidth="1"/>
    <col min="2" max="2" width="9.5703125" style="3" bestFit="1" customWidth="1"/>
    <col min="3" max="3" width="6.28515625" style="3" bestFit="1" customWidth="1"/>
    <col min="4" max="4" width="8.42578125" style="3" bestFit="1" customWidth="1"/>
    <col min="5" max="5" width="6.28515625" style="3" customWidth="1"/>
    <col min="6" max="7" width="8" style="3" bestFit="1" customWidth="1"/>
    <col min="8" max="8" width="7.140625" style="3" bestFit="1" customWidth="1"/>
    <col min="9" max="9" width="6.28515625" style="3" bestFit="1" customWidth="1"/>
    <col min="10" max="10" width="6.28515625" style="3" customWidth="1"/>
    <col min="11" max="11" width="11.5703125" style="3" bestFit="1" customWidth="1"/>
    <col min="12" max="12" width="8" style="3" bestFit="1" customWidth="1"/>
    <col min="13" max="13" width="9.140625" style="3"/>
    <col min="14" max="14" width="6.42578125" style="3" customWidth="1"/>
    <col min="15" max="23" width="4" style="3" customWidth="1"/>
    <col min="24" max="16384" width="9.140625" style="3"/>
  </cols>
  <sheetData>
    <row r="1" spans="1:32" x14ac:dyDescent="0.2">
      <c r="A1" s="219" t="str">
        <f>[2]ArdiData!A2</f>
        <v>Per.</v>
      </c>
      <c r="B1" s="228" t="s">
        <v>157</v>
      </c>
      <c r="C1" s="217" t="s">
        <v>7</v>
      </c>
      <c r="D1" s="225" t="s">
        <v>18</v>
      </c>
      <c r="E1" s="217" t="s">
        <v>17</v>
      </c>
      <c r="F1" s="217" t="s">
        <v>16</v>
      </c>
      <c r="G1" s="224" t="s">
        <v>3</v>
      </c>
      <c r="H1" s="224" t="s">
        <v>2</v>
      </c>
      <c r="I1" s="223" t="s">
        <v>1</v>
      </c>
      <c r="J1" s="223" t="s">
        <v>156</v>
      </c>
      <c r="K1" s="224" t="s">
        <v>13</v>
      </c>
      <c r="L1" s="224" t="s">
        <v>12</v>
      </c>
      <c r="M1" s="222" t="s">
        <v>15</v>
      </c>
      <c r="N1" s="15">
        <f>0.2</f>
        <v>0.2</v>
      </c>
      <c r="O1" s="3" t="str">
        <f>" F(next) ~ N ( "&amp;ROUND(F78,0)&amp;", "&amp;ROUND(1.25*I77,0)&amp;")"</f>
        <v xml:space="preserve"> F(next) ~ N ( 11080, 664)</v>
      </c>
      <c r="R1" s="14"/>
      <c r="Y1" s="215" t="s">
        <v>155</v>
      </c>
      <c r="Z1" s="215"/>
      <c r="AA1" s="215"/>
      <c r="AB1" s="215"/>
      <c r="AC1" s="215"/>
      <c r="AD1" s="215"/>
      <c r="AE1" s="215"/>
      <c r="AF1" s="215"/>
    </row>
    <row r="2" spans="1:32" x14ac:dyDescent="0.2">
      <c r="A2" s="219">
        <v>0</v>
      </c>
      <c r="B2" s="216"/>
      <c r="C2" s="217"/>
      <c r="D2" s="217">
        <f>INTERCEPT(C3:C77,A3:A77)</f>
        <v>971.1200942372725</v>
      </c>
      <c r="E2" s="217">
        <f>SLOPE(C3:C77,A3:A77)</f>
        <v>101.48836362296417</v>
      </c>
      <c r="F2" s="217"/>
      <c r="G2" s="224"/>
      <c r="H2" s="224"/>
      <c r="I2" s="223"/>
      <c r="J2" s="223"/>
      <c r="K2" s="224"/>
      <c r="L2" s="224"/>
      <c r="M2" s="222" t="s">
        <v>14</v>
      </c>
      <c r="N2" s="15">
        <v>0.6</v>
      </c>
      <c r="R2" s="14"/>
      <c r="Y2" s="227" t="s">
        <v>154</v>
      </c>
      <c r="Z2" s="215"/>
      <c r="AA2" s="215"/>
      <c r="AB2" s="215"/>
      <c r="AC2" s="215"/>
      <c r="AD2" s="215"/>
      <c r="AE2" s="215"/>
      <c r="AF2" s="215"/>
    </row>
    <row r="3" spans="1:32" x14ac:dyDescent="0.2">
      <c r="A3" s="219">
        <f>[2]ArdiData!A3</f>
        <v>1</v>
      </c>
      <c r="B3" s="226"/>
      <c r="C3" s="11">
        <v>1113.3499253558266</v>
      </c>
      <c r="D3" s="3">
        <f t="shared" ref="D3:D34" si="0">$N$1*C3+(1-$N$1)*F3</f>
        <v>1080.7567513593549</v>
      </c>
      <c r="E3" s="11">
        <f t="shared" ref="E3:E34" si="1">$N$2*(D3-D2)+(1-$N$2)*E2</f>
        <v>106.37733972243511</v>
      </c>
      <c r="F3" s="11">
        <f t="shared" ref="F3:F34" si="2">D2+E2</f>
        <v>1072.6084578602367</v>
      </c>
      <c r="G3" s="12">
        <f t="shared" ref="G3:G34" si="3">C3-F3</f>
        <v>40.741467495589859</v>
      </c>
      <c r="H3" s="12">
        <f t="shared" ref="H3:H34" si="4">ABS(G3)</f>
        <v>40.741467495589859</v>
      </c>
      <c r="I3" s="10">
        <f>SUM(H$3:H3)/COUNT(H$3:H3)</f>
        <v>40.741467495589859</v>
      </c>
      <c r="J3" s="10">
        <f>SUM(G$3:G3)/I3</f>
        <v>1</v>
      </c>
      <c r="K3" s="11">
        <f t="shared" ref="K3:K34" si="5">(G3-$G$78)^2</f>
        <v>30.869763613761691</v>
      </c>
      <c r="L3" s="10" t="e">
        <f>SQRT(SUM(K$3:K3)/(COUNT(K$3:K3)-1))</f>
        <v>#DIV/0!</v>
      </c>
    </row>
    <row r="4" spans="1:32" x14ac:dyDescent="0.2">
      <c r="A4" s="219">
        <f>[2]ArdiData!A4</f>
        <v>2</v>
      </c>
      <c r="B4" s="226"/>
      <c r="C4" s="11">
        <v>1222.4509615075469</v>
      </c>
      <c r="D4" s="3">
        <f t="shared" si="0"/>
        <v>1194.1974651669416</v>
      </c>
      <c r="E4" s="11">
        <f t="shared" si="1"/>
        <v>110.61536417352605</v>
      </c>
      <c r="F4" s="11">
        <f t="shared" si="2"/>
        <v>1187.1340910817901</v>
      </c>
      <c r="G4" s="12">
        <f t="shared" si="3"/>
        <v>35.316870425756861</v>
      </c>
      <c r="H4" s="12">
        <f t="shared" si="4"/>
        <v>35.316870425756861</v>
      </c>
      <c r="I4" s="10">
        <f>SUM(H$3:H4)/COUNT(H$3:H4)</f>
        <v>38.02916896067336</v>
      </c>
      <c r="J4" s="10">
        <f>SUM(G$3:G4)/I4</f>
        <v>2</v>
      </c>
      <c r="K4" s="11">
        <f t="shared" si="5"/>
        <v>1.7281576635303535E-2</v>
      </c>
      <c r="L4" s="10">
        <f>SQRT(SUM(K$3:K4)/(COUNT(K$3:K4)-1))</f>
        <v>5.5576114645049621</v>
      </c>
    </row>
    <row r="5" spans="1:32" x14ac:dyDescent="0.2">
      <c r="A5" s="219">
        <f>[2]ArdiData!A5</f>
        <v>3</v>
      </c>
      <c r="B5" s="226"/>
      <c r="C5" s="11">
        <v>1815.9308993190284</v>
      </c>
      <c r="D5" s="3">
        <f t="shared" si="0"/>
        <v>1407.0364433361801</v>
      </c>
      <c r="E5" s="11">
        <f t="shared" si="1"/>
        <v>171.94953257095355</v>
      </c>
      <c r="F5" s="11">
        <f t="shared" si="2"/>
        <v>1304.8128293404677</v>
      </c>
      <c r="G5" s="12">
        <f t="shared" si="3"/>
        <v>511.1180699785607</v>
      </c>
      <c r="H5" s="12">
        <f t="shared" si="4"/>
        <v>511.1180699785607</v>
      </c>
      <c r="I5" s="10">
        <f>SUM(H$3:H5)/COUNT(H$3:H5)</f>
        <v>195.72546929996915</v>
      </c>
      <c r="J5" s="10">
        <f>SUM(G$3:G5)/I5</f>
        <v>3</v>
      </c>
      <c r="K5" s="11">
        <f t="shared" si="5"/>
        <v>226511.89586797569</v>
      </c>
      <c r="L5" s="10">
        <f>SQRT(SUM(K$3:K5)/(COUNT(K$3:K5)-1))</f>
        <v>336.55815464282404</v>
      </c>
      <c r="M5" s="14">
        <f>I77</f>
        <v>531.10353796997686</v>
      </c>
      <c r="N5" s="3">
        <v>0.1</v>
      </c>
      <c r="O5" s="3">
        <v>0.2</v>
      </c>
      <c r="P5" s="3">
        <v>0.30000000000000004</v>
      </c>
      <c r="Q5" s="3">
        <v>0.4</v>
      </c>
      <c r="R5" s="3">
        <v>0.5</v>
      </c>
      <c r="S5" s="3">
        <v>0.6</v>
      </c>
      <c r="T5" s="3">
        <v>0.70000000000000007</v>
      </c>
      <c r="U5" s="3">
        <v>0.8</v>
      </c>
      <c r="V5" s="3">
        <v>0.9</v>
      </c>
      <c r="W5" s="3">
        <v>1</v>
      </c>
    </row>
    <row r="6" spans="1:32" x14ac:dyDescent="0.2">
      <c r="A6" s="219">
        <f>[2]ArdiData!A6</f>
        <v>4</v>
      </c>
      <c r="B6" s="226"/>
      <c r="C6" s="11">
        <v>1877.6018297269898</v>
      </c>
      <c r="D6" s="3">
        <f t="shared" si="0"/>
        <v>1638.7091466711051</v>
      </c>
      <c r="E6" s="11">
        <f t="shared" si="1"/>
        <v>207.78343502933643</v>
      </c>
      <c r="F6" s="11">
        <f t="shared" si="2"/>
        <v>1578.9859759071337</v>
      </c>
      <c r="G6" s="12">
        <f t="shared" si="3"/>
        <v>298.61585381985606</v>
      </c>
      <c r="H6" s="12">
        <f t="shared" si="4"/>
        <v>298.61585381985606</v>
      </c>
      <c r="I6" s="10">
        <f>SUM(H$3:H6)/COUNT(H$3:H6)</f>
        <v>221.44806542994087</v>
      </c>
      <c r="J6" s="10">
        <f>SUM(G$3:G6)/I6</f>
        <v>4</v>
      </c>
      <c r="K6" s="11">
        <f t="shared" si="5"/>
        <v>69395.598196279912</v>
      </c>
      <c r="L6" s="10">
        <f>SQRT(SUM(K$3:K6)/(COUNT(K$3:K6)-1))</f>
        <v>314.07980997905929</v>
      </c>
      <c r="M6" s="3">
        <v>0.1</v>
      </c>
      <c r="N6" s="3">
        <f t="dataTable" ref="N6:W15" dt2D="1" dtr="1" r1="N2" r2="N1"/>
        <v>550.7351753519049</v>
      </c>
      <c r="O6" s="3">
        <v>545.92424087700158</v>
      </c>
      <c r="P6" s="3">
        <v>557.43466902979628</v>
      </c>
      <c r="Q6" s="3">
        <v>557.64236708057092</v>
      </c>
      <c r="R6" s="3">
        <v>563.28649969006585</v>
      </c>
      <c r="S6" s="3">
        <v>562.22811808778431</v>
      </c>
      <c r="T6" s="3">
        <v>559.16896274797932</v>
      </c>
      <c r="U6" s="3">
        <v>559.83016439210871</v>
      </c>
      <c r="V6" s="3">
        <v>558.71107452289846</v>
      </c>
      <c r="W6" s="3">
        <v>560.03685164011904</v>
      </c>
    </row>
    <row r="7" spans="1:32" x14ac:dyDescent="0.2">
      <c r="A7" s="219">
        <f>[2]ArdiData!A7</f>
        <v>5</v>
      </c>
      <c r="B7" s="226"/>
      <c r="C7" s="11">
        <v>1437.7413264412648</v>
      </c>
      <c r="D7" s="3">
        <f t="shared" si="0"/>
        <v>1764.7423306486062</v>
      </c>
      <c r="E7" s="11">
        <f t="shared" si="1"/>
        <v>158.73328439823518</v>
      </c>
      <c r="F7" s="11">
        <f t="shared" si="2"/>
        <v>1846.4925817004416</v>
      </c>
      <c r="G7" s="12">
        <f t="shared" si="3"/>
        <v>-408.75125525917679</v>
      </c>
      <c r="H7" s="12">
        <f t="shared" si="4"/>
        <v>408.75125525917679</v>
      </c>
      <c r="I7" s="10">
        <f>SUM(H$3:H7)/COUNT(H$3:H7)</f>
        <v>258.90870339578805</v>
      </c>
      <c r="J7" s="10">
        <f>SUM(G$3:G7)/I7</f>
        <v>1.8425066450212937</v>
      </c>
      <c r="K7" s="11">
        <f t="shared" si="5"/>
        <v>197079.76366276905</v>
      </c>
      <c r="L7" s="10">
        <f>SQRT(SUM(K$3:K7)/(COUNT(K$3:K7)-1))</f>
        <v>351.07625410023638</v>
      </c>
      <c r="M7" s="3">
        <v>0.2</v>
      </c>
      <c r="N7" s="3">
        <v>535.15569294378122</v>
      </c>
      <c r="O7" s="3">
        <v>535.63744464342676</v>
      </c>
      <c r="P7" s="3">
        <v>536.08731976931813</v>
      </c>
      <c r="Q7" s="3">
        <v>533.70413206458261</v>
      </c>
      <c r="R7" s="3">
        <v>532.62367141195762</v>
      </c>
      <c r="S7" s="3">
        <v>531.10353796997686</v>
      </c>
      <c r="T7" s="3">
        <v>533.24287404987786</v>
      </c>
      <c r="U7" s="3">
        <v>541.94221086328184</v>
      </c>
      <c r="V7" s="3">
        <v>549.46128033252398</v>
      </c>
      <c r="W7" s="3">
        <v>556.6429050993919</v>
      </c>
    </row>
    <row r="8" spans="1:32" x14ac:dyDescent="0.2">
      <c r="A8" s="219">
        <f>[2]ArdiData!A8</f>
        <v>6</v>
      </c>
      <c r="B8" s="226"/>
      <c r="C8" s="11">
        <v>1885.961866319813</v>
      </c>
      <c r="D8" s="3">
        <f t="shared" si="0"/>
        <v>1915.9728653014358</v>
      </c>
      <c r="E8" s="11">
        <f t="shared" si="1"/>
        <v>154.23163455099186</v>
      </c>
      <c r="F8" s="11">
        <f t="shared" si="2"/>
        <v>1923.4756150468413</v>
      </c>
      <c r="G8" s="12">
        <f t="shared" si="3"/>
        <v>-37.513748727028315</v>
      </c>
      <c r="H8" s="12">
        <f t="shared" si="4"/>
        <v>37.513748727028315</v>
      </c>
      <c r="I8" s="10">
        <f>SUM(H$3:H8)/COUNT(H$3:H8)</f>
        <v>222.00954428432809</v>
      </c>
      <c r="J8" s="10">
        <f>SUM(G$3:G8)/I8</f>
        <v>1.9797673976153696</v>
      </c>
      <c r="K8" s="11">
        <f t="shared" si="5"/>
        <v>5285.1678272197551</v>
      </c>
      <c r="L8" s="10">
        <f>SQRT(SUM(K$3:K8)/(COUNT(K$3:K8)-1))</f>
        <v>315.69077040655935</v>
      </c>
      <c r="M8" s="3">
        <v>0.30000000000000004</v>
      </c>
      <c r="N8" s="3">
        <v>543.09520094814889</v>
      </c>
      <c r="O8" s="3">
        <v>545.62183608204646</v>
      </c>
      <c r="P8" s="3">
        <v>544.97823929704634</v>
      </c>
      <c r="Q8" s="3">
        <v>544.51515839904062</v>
      </c>
      <c r="R8" s="3">
        <v>549.41713333705309</v>
      </c>
      <c r="S8" s="3">
        <v>556.07135002363407</v>
      </c>
      <c r="T8" s="3">
        <v>563.47059380355847</v>
      </c>
      <c r="U8" s="3">
        <v>570.83209042353212</v>
      </c>
      <c r="V8" s="3">
        <v>577.72406314779971</v>
      </c>
      <c r="W8" s="3">
        <v>586.8231899195498</v>
      </c>
    </row>
    <row r="9" spans="1:32" x14ac:dyDescent="0.2">
      <c r="A9" s="219">
        <f>[2]ArdiData!A9</f>
        <v>7</v>
      </c>
      <c r="B9" s="226"/>
      <c r="C9" s="11">
        <v>1911.083953307721</v>
      </c>
      <c r="D9" s="3">
        <f t="shared" si="0"/>
        <v>2038.3803905434861</v>
      </c>
      <c r="E9" s="11">
        <f t="shared" si="1"/>
        <v>135.1371689656269</v>
      </c>
      <c r="F9" s="11">
        <f t="shared" si="2"/>
        <v>2070.2044998524275</v>
      </c>
      <c r="G9" s="12">
        <f t="shared" si="3"/>
        <v>-159.12054654470649</v>
      </c>
      <c r="H9" s="12">
        <f t="shared" si="4"/>
        <v>159.12054654470649</v>
      </c>
      <c r="I9" s="10">
        <f>SUM(H$3:H9)/COUNT(H$3:H9)</f>
        <v>213.02540175009645</v>
      </c>
      <c r="J9" s="10">
        <f>SUM(G$3:G9)/I9</f>
        <v>1.3163064539965124</v>
      </c>
      <c r="K9" s="11">
        <f t="shared" si="5"/>
        <v>37754.805143255406</v>
      </c>
      <c r="L9" s="10">
        <f>SQRT(SUM(K$3:K9)/(COUNT(K$3:K9)-1))</f>
        <v>298.90302712381771</v>
      </c>
      <c r="M9" s="3">
        <v>0.4</v>
      </c>
      <c r="N9" s="3">
        <v>558.65323450126266</v>
      </c>
      <c r="O9" s="3">
        <v>561.80994985932932</v>
      </c>
      <c r="P9" s="3">
        <v>566.39400245287607</v>
      </c>
      <c r="Q9" s="3">
        <v>574.24017901531715</v>
      </c>
      <c r="R9" s="3">
        <v>583.58322170256224</v>
      </c>
      <c r="S9" s="3">
        <v>593.96115376378646</v>
      </c>
      <c r="T9" s="3">
        <v>605.19374642730793</v>
      </c>
      <c r="U9" s="3">
        <v>618.61964959320846</v>
      </c>
      <c r="V9" s="3">
        <v>632.57372870409756</v>
      </c>
      <c r="W9" s="3">
        <v>647.86278321228087</v>
      </c>
    </row>
    <row r="10" spans="1:32" x14ac:dyDescent="0.2">
      <c r="A10" s="219">
        <f>[2]ArdiData!A10</f>
        <v>8</v>
      </c>
      <c r="B10" s="226"/>
      <c r="C10" s="11">
        <v>1960.2999710554132</v>
      </c>
      <c r="D10" s="3">
        <f t="shared" si="0"/>
        <v>2130.8740418183734</v>
      </c>
      <c r="E10" s="11">
        <f t="shared" si="1"/>
        <v>109.55105835118312</v>
      </c>
      <c r="F10" s="11">
        <f t="shared" si="2"/>
        <v>2173.5175595091132</v>
      </c>
      <c r="G10" s="12">
        <f t="shared" si="3"/>
        <v>-213.21758845370005</v>
      </c>
      <c r="H10" s="12">
        <f t="shared" si="4"/>
        <v>213.21758845370005</v>
      </c>
      <c r="I10" s="10">
        <f>SUM(H$3:H10)/COUNT(H$3:H10)</f>
        <v>213.04942508804689</v>
      </c>
      <c r="J10" s="10">
        <f>SUM(G$3:G10)/I10</f>
        <v>0.31536871177842701</v>
      </c>
      <c r="K10" s="11">
        <f t="shared" si="5"/>
        <v>61704.050145124907</v>
      </c>
      <c r="L10" s="10">
        <f>SQRT(SUM(K$3:K10)/(COUNT(K$3:K10)-1))</f>
        <v>292.22353671897309</v>
      </c>
      <c r="M10" s="3">
        <v>0.5</v>
      </c>
      <c r="N10" s="3">
        <v>576.55067189184354</v>
      </c>
      <c r="O10" s="3">
        <v>586.0674872107021</v>
      </c>
      <c r="P10" s="3">
        <v>596.85938025614735</v>
      </c>
      <c r="Q10" s="3">
        <v>608.2452342687925</v>
      </c>
      <c r="R10" s="3">
        <v>620.72862081241715</v>
      </c>
      <c r="S10" s="3">
        <v>635.09103246630514</v>
      </c>
      <c r="T10" s="3">
        <v>651.5719152751476</v>
      </c>
      <c r="U10" s="3">
        <v>669.62214036505179</v>
      </c>
      <c r="V10" s="3">
        <v>688.40864449179242</v>
      </c>
      <c r="W10" s="3">
        <v>708.23622249462221</v>
      </c>
    </row>
    <row r="11" spans="1:32" x14ac:dyDescent="0.2">
      <c r="A11" s="219">
        <f>[2]ArdiData!A11</f>
        <v>9</v>
      </c>
      <c r="B11" s="226"/>
      <c r="C11" s="11">
        <v>2414.1948755502854</v>
      </c>
      <c r="D11" s="3">
        <f t="shared" si="0"/>
        <v>2275.1790552457023</v>
      </c>
      <c r="E11" s="11">
        <f t="shared" si="1"/>
        <v>130.40343139687062</v>
      </c>
      <c r="F11" s="11">
        <f t="shared" si="2"/>
        <v>2240.4251001695566</v>
      </c>
      <c r="G11" s="12">
        <f t="shared" si="3"/>
        <v>173.76977538072879</v>
      </c>
      <c r="H11" s="12">
        <f t="shared" si="4"/>
        <v>173.76977538072879</v>
      </c>
      <c r="I11" s="10">
        <f>SUM(H$3:H11)/COUNT(H$3:H11)</f>
        <v>208.68501956501154</v>
      </c>
      <c r="J11" s="10">
        <f>SUM(G$3:G11)/I11</f>
        <v>1.154653547332442</v>
      </c>
      <c r="K11" s="11">
        <f t="shared" si="5"/>
        <v>19205.62604660961</v>
      </c>
      <c r="L11" s="10">
        <f>SQRT(SUM(K$3:K11)/(COUNT(K$3:K11)-1))</f>
        <v>277.70663341339741</v>
      </c>
      <c r="M11" s="3">
        <v>0.6</v>
      </c>
      <c r="N11" s="3">
        <v>601.73197640472779</v>
      </c>
      <c r="O11" s="3">
        <v>614.84635274585492</v>
      </c>
      <c r="P11" s="3">
        <v>628.31857477873086</v>
      </c>
      <c r="Q11" s="3">
        <v>642.82976163555941</v>
      </c>
      <c r="R11" s="3">
        <v>659.76414955285907</v>
      </c>
      <c r="S11" s="3">
        <v>679.16767281188152</v>
      </c>
      <c r="T11" s="3">
        <v>699.23514903440298</v>
      </c>
      <c r="U11" s="3">
        <v>721.0320633738794</v>
      </c>
      <c r="V11" s="3">
        <v>742.36474365074605</v>
      </c>
      <c r="W11" s="3">
        <v>764.10211058155289</v>
      </c>
    </row>
    <row r="12" spans="1:32" x14ac:dyDescent="0.2">
      <c r="A12" s="219">
        <f>[2]ArdiData!A12</f>
        <v>10</v>
      </c>
      <c r="B12" s="226"/>
      <c r="C12" s="11">
        <v>2386.0381627363281</v>
      </c>
      <c r="D12" s="3">
        <f t="shared" si="0"/>
        <v>2401.6736218613241</v>
      </c>
      <c r="E12" s="11">
        <f t="shared" si="1"/>
        <v>128.05811252812134</v>
      </c>
      <c r="F12" s="11">
        <f t="shared" si="2"/>
        <v>2405.5824866425728</v>
      </c>
      <c r="G12" s="12">
        <f t="shared" si="3"/>
        <v>-19.544323906244699</v>
      </c>
      <c r="H12" s="12">
        <f t="shared" si="4"/>
        <v>19.544323906244699</v>
      </c>
      <c r="I12" s="10">
        <f>SUM(H$3:H12)/COUNT(H$3:H12)</f>
        <v>189.77094999913487</v>
      </c>
      <c r="J12" s="10">
        <f>SUM(G$3:G12)/I12</f>
        <v>1.1667464077649679</v>
      </c>
      <c r="K12" s="11">
        <f t="shared" si="5"/>
        <v>2995.3438845668798</v>
      </c>
      <c r="L12" s="10">
        <f>SQRT(SUM(K$3:K12)/(COUNT(K$3:K12)-1))</f>
        <v>262.45912651496627</v>
      </c>
      <c r="M12" s="3">
        <v>0.70000000000000007</v>
      </c>
      <c r="N12" s="3">
        <v>629.21065005831656</v>
      </c>
      <c r="O12" s="3">
        <v>645.23942906193179</v>
      </c>
      <c r="P12" s="3">
        <v>662.06986612527737</v>
      </c>
      <c r="Q12" s="3">
        <v>682.13002543960101</v>
      </c>
      <c r="R12" s="3">
        <v>703.25444925722513</v>
      </c>
      <c r="S12" s="3">
        <v>725.10164777129341</v>
      </c>
      <c r="T12" s="3">
        <v>750.16699692829604</v>
      </c>
      <c r="U12" s="3">
        <v>776.09783501641016</v>
      </c>
      <c r="V12" s="3">
        <v>804.37302654616258</v>
      </c>
      <c r="W12" s="3">
        <v>834.03562631551154</v>
      </c>
    </row>
    <row r="13" spans="1:32" x14ac:dyDescent="0.2">
      <c r="A13" s="219">
        <f>[2]ArdiData!A13</f>
        <v>11</v>
      </c>
      <c r="B13" s="226"/>
      <c r="C13" s="11">
        <v>2360.0321962860157</v>
      </c>
      <c r="D13" s="3">
        <f t="shared" si="0"/>
        <v>2495.7918267687596</v>
      </c>
      <c r="E13" s="11">
        <f t="shared" si="1"/>
        <v>107.69416795570982</v>
      </c>
      <c r="F13" s="11">
        <f t="shared" si="2"/>
        <v>2529.7317343894456</v>
      </c>
      <c r="G13" s="12">
        <f t="shared" si="3"/>
        <v>-169.69953810342986</v>
      </c>
      <c r="H13" s="12">
        <f t="shared" si="4"/>
        <v>169.69953810342986</v>
      </c>
      <c r="I13" s="10">
        <f>SUM(H$3:H13)/COUNT(H$3:H13)</f>
        <v>187.94627619043439</v>
      </c>
      <c r="J13" s="10">
        <f>SUM(G$3:G13)/I13</f>
        <v>0.27515860997323727</v>
      </c>
      <c r="K13" s="11">
        <f t="shared" si="5"/>
        <v>41977.842375325854</v>
      </c>
      <c r="L13" s="10">
        <f>SQRT(SUM(K$3:K13)/(COUNT(K$3:K13)-1))</f>
        <v>257.28213700028175</v>
      </c>
      <c r="M13" s="3">
        <v>0.8</v>
      </c>
      <c r="N13" s="3">
        <v>657.22070075513284</v>
      </c>
      <c r="O13" s="3">
        <v>677.30213188567222</v>
      </c>
      <c r="P13" s="3">
        <v>699.77016737001111</v>
      </c>
      <c r="Q13" s="3">
        <v>724.34744382008569</v>
      </c>
      <c r="R13" s="3">
        <v>752.88874728465203</v>
      </c>
      <c r="S13" s="3">
        <v>784.01669165379928</v>
      </c>
      <c r="T13" s="3">
        <v>817.63404752825033</v>
      </c>
      <c r="U13" s="3">
        <v>851.71631870952831</v>
      </c>
      <c r="V13" s="3">
        <v>887.16067665322407</v>
      </c>
      <c r="W13" s="3">
        <v>926.44086714731009</v>
      </c>
    </row>
    <row r="14" spans="1:32" x14ac:dyDescent="0.2">
      <c r="A14" s="219">
        <f>[2]ArdiData!A14</f>
        <v>12</v>
      </c>
      <c r="B14" s="226"/>
      <c r="C14" s="11">
        <v>2374.8996096579372</v>
      </c>
      <c r="D14" s="3">
        <f t="shared" si="0"/>
        <v>2557.7687177111629</v>
      </c>
      <c r="E14" s="11">
        <f t="shared" si="1"/>
        <v>80.263801747725921</v>
      </c>
      <c r="F14" s="11">
        <f t="shared" si="2"/>
        <v>2603.4859947244695</v>
      </c>
      <c r="G14" s="12">
        <f t="shared" si="3"/>
        <v>-228.58638506653233</v>
      </c>
      <c r="H14" s="12">
        <f t="shared" si="4"/>
        <v>228.58638506653233</v>
      </c>
      <c r="I14" s="10">
        <f>SUM(H$3:H14)/COUNT(H$3:H14)</f>
        <v>191.3329519301092</v>
      </c>
      <c r="J14" s="10">
        <f>SUM(G$3:G14)/I14</f>
        <v>-0.92441655854938398</v>
      </c>
      <c r="K14" s="11">
        <f t="shared" si="5"/>
        <v>69575.560408160207</v>
      </c>
      <c r="L14" s="10">
        <f>SQRT(SUM(K$3:K14)/(COUNT(K$3:K14)-1))</f>
        <v>257.87885468012752</v>
      </c>
      <c r="M14" s="3">
        <v>0.9</v>
      </c>
      <c r="N14" s="3">
        <v>688.27366312579159</v>
      </c>
      <c r="O14" s="3">
        <v>714.65553931523834</v>
      </c>
      <c r="P14" s="3">
        <v>746.76679981640541</v>
      </c>
      <c r="Q14" s="3">
        <v>781.31220782335936</v>
      </c>
      <c r="R14" s="3">
        <v>817.45584925983178</v>
      </c>
      <c r="S14" s="3">
        <v>855.1985553280017</v>
      </c>
      <c r="T14" s="3">
        <v>894.45500789409198</v>
      </c>
      <c r="U14" s="3">
        <v>939.69424893750829</v>
      </c>
      <c r="V14" s="3">
        <v>990.03272839589806</v>
      </c>
      <c r="W14" s="3">
        <v>1045.1650423681208</v>
      </c>
    </row>
    <row r="15" spans="1:32" x14ac:dyDescent="0.2">
      <c r="A15" s="219">
        <f>[2]ArdiData!A15</f>
        <v>13</v>
      </c>
      <c r="B15" s="226"/>
      <c r="C15" s="11">
        <v>2837.1005129516102</v>
      </c>
      <c r="D15" s="3">
        <f t="shared" si="0"/>
        <v>2677.8461181574335</v>
      </c>
      <c r="E15" s="11">
        <f t="shared" si="1"/>
        <v>104.1519609668527</v>
      </c>
      <c r="F15" s="11">
        <f t="shared" si="2"/>
        <v>2638.0325194588891</v>
      </c>
      <c r="G15" s="12">
        <f t="shared" si="3"/>
        <v>199.06799349272114</v>
      </c>
      <c r="H15" s="12">
        <f t="shared" si="4"/>
        <v>199.06799349272114</v>
      </c>
      <c r="I15" s="10">
        <f>SUM(H$3:H15)/COUNT(H$3:H15)</f>
        <v>191.92795512723322</v>
      </c>
      <c r="J15" s="10">
        <f>SUM(G$3:G15)/I15</f>
        <v>0.11565091973016774</v>
      </c>
      <c r="K15" s="11">
        <f t="shared" si="5"/>
        <v>26857.500839515669</v>
      </c>
      <c r="L15" s="10">
        <f>SQRT(SUM(K$3:K15)/(COUNT(K$3:K15)-1))</f>
        <v>251.39179936273337</v>
      </c>
      <c r="M15" s="3">
        <v>1</v>
      </c>
      <c r="N15" s="3">
        <v>728.37752944351848</v>
      </c>
      <c r="O15" s="3">
        <v>764.97352990488082</v>
      </c>
      <c r="P15" s="3">
        <v>805.59056595203356</v>
      </c>
      <c r="Q15" s="3">
        <v>847.83472916472874</v>
      </c>
      <c r="R15" s="3">
        <v>892.17262672272159</v>
      </c>
      <c r="S15" s="3">
        <v>938.57956207566258</v>
      </c>
      <c r="T15" s="3">
        <v>991.14745212991727</v>
      </c>
      <c r="U15" s="3">
        <v>1048.7980679170007</v>
      </c>
      <c r="V15" s="3">
        <v>1118.0491855627984</v>
      </c>
      <c r="W15" s="3">
        <v>1196.3574179536706</v>
      </c>
    </row>
    <row r="16" spans="1:32" x14ac:dyDescent="0.2">
      <c r="A16" s="219">
        <f>[2]ArdiData!A16</f>
        <v>14</v>
      </c>
      <c r="B16" s="226"/>
      <c r="C16" s="11">
        <v>2930.8445360245173</v>
      </c>
      <c r="D16" s="3">
        <f t="shared" si="0"/>
        <v>2811.7673705043326</v>
      </c>
      <c r="E16" s="11">
        <f t="shared" si="1"/>
        <v>122.01353579488055</v>
      </c>
      <c r="F16" s="11">
        <f t="shared" si="2"/>
        <v>2781.9980791242861</v>
      </c>
      <c r="G16" s="12">
        <f t="shared" si="3"/>
        <v>148.84645690023126</v>
      </c>
      <c r="H16" s="12">
        <f t="shared" si="4"/>
        <v>148.84645690023126</v>
      </c>
      <c r="I16" s="10">
        <f>SUM(H$3:H16)/COUNT(H$3:H16)</f>
        <v>188.85070525387593</v>
      </c>
      <c r="J16" s="10">
        <f>SUM(G$3:G16)/I16</f>
        <v>0.90570538882917773</v>
      </c>
      <c r="K16" s="11">
        <f t="shared" si="5"/>
        <v>12918.833351688992</v>
      </c>
      <c r="L16" s="10">
        <f>SQRT(SUM(K$3:K16)/(COUNT(K$3:K16)-1))</f>
        <v>243.57795700345213</v>
      </c>
      <c r="X16" s="3">
        <f>MIN(N6:W15)</f>
        <v>531.10353796997686</v>
      </c>
    </row>
    <row r="17" spans="1:12" x14ac:dyDescent="0.2">
      <c r="A17" s="219">
        <f>[2]ArdiData!A17</f>
        <v>15</v>
      </c>
      <c r="B17" s="226"/>
      <c r="C17" s="11">
        <v>2610.1441965075874</v>
      </c>
      <c r="D17" s="3">
        <f t="shared" si="0"/>
        <v>2869.0535643408884</v>
      </c>
      <c r="E17" s="11">
        <f t="shared" si="1"/>
        <v>83.177130619885745</v>
      </c>
      <c r="F17" s="11">
        <f t="shared" si="2"/>
        <v>2933.7809062992133</v>
      </c>
      <c r="G17" s="12">
        <f t="shared" si="3"/>
        <v>-323.63670979162589</v>
      </c>
      <c r="H17" s="12">
        <f t="shared" si="4"/>
        <v>323.63670979162589</v>
      </c>
      <c r="I17" s="10">
        <f>SUM(H$3:H17)/COUNT(H$3:H17)</f>
        <v>197.83643888972591</v>
      </c>
      <c r="J17" s="10">
        <f>SUM(G$3:G17)/I17</f>
        <v>-0.77131194442928419</v>
      </c>
      <c r="K17" s="11">
        <f t="shared" si="5"/>
        <v>128753.31438027737</v>
      </c>
      <c r="L17" s="10">
        <f>SQRT(SUM(K$3:K17)/(COUNT(K$3:K17)-1))</f>
        <v>253.55278249789669</v>
      </c>
    </row>
    <row r="18" spans="1:12" x14ac:dyDescent="0.2">
      <c r="A18" s="219">
        <f>[2]ArdiData!A18</f>
        <v>16</v>
      </c>
      <c r="B18" s="226"/>
      <c r="C18" s="11">
        <v>3135.2317628620631</v>
      </c>
      <c r="D18" s="3">
        <f t="shared" si="0"/>
        <v>2988.8309085410319</v>
      </c>
      <c r="E18" s="11">
        <f t="shared" si="1"/>
        <v>105.1372587680404</v>
      </c>
      <c r="F18" s="11">
        <f t="shared" si="2"/>
        <v>2952.2306949607741</v>
      </c>
      <c r="G18" s="12">
        <f t="shared" si="3"/>
        <v>183.00106790128893</v>
      </c>
      <c r="H18" s="12">
        <f t="shared" si="4"/>
        <v>183.00106790128893</v>
      </c>
      <c r="I18" s="10">
        <f>SUM(H$3:H18)/COUNT(H$3:H18)</f>
        <v>196.90922820294861</v>
      </c>
      <c r="J18" s="10">
        <f>SUM(G$3:G18)/I18</f>
        <v>0.15442374041987056</v>
      </c>
      <c r="K18" s="11">
        <f t="shared" si="5"/>
        <v>21849.468420678731</v>
      </c>
      <c r="L18" s="10">
        <f>SQRT(SUM(K$3:K18)/(COUNT(K$3:K18)-1))</f>
        <v>247.91069058495489</v>
      </c>
    </row>
    <row r="19" spans="1:12" x14ac:dyDescent="0.2">
      <c r="A19" s="219">
        <f>[2]ArdiData!A19</f>
        <v>17</v>
      </c>
      <c r="B19" s="226"/>
      <c r="C19" s="11">
        <v>2997.405744195491</v>
      </c>
      <c r="D19" s="3">
        <f t="shared" si="0"/>
        <v>3074.6556826863562</v>
      </c>
      <c r="E19" s="11">
        <f t="shared" si="1"/>
        <v>93.549767994410701</v>
      </c>
      <c r="F19" s="11">
        <f t="shared" si="2"/>
        <v>3093.9681673090722</v>
      </c>
      <c r="G19" s="12">
        <f t="shared" si="3"/>
        <v>-96.56242311358119</v>
      </c>
      <c r="H19" s="12">
        <f t="shared" si="4"/>
        <v>96.56242311358119</v>
      </c>
      <c r="I19" s="10">
        <f>SUM(H$3:H19)/COUNT(H$3:H19)</f>
        <v>191.00647496239759</v>
      </c>
      <c r="J19" s="10">
        <f>SUM(G$3:G19)/I19</f>
        <v>-0.34634932446303496</v>
      </c>
      <c r="K19" s="11">
        <f t="shared" si="5"/>
        <v>17357.491797613467</v>
      </c>
      <c r="L19" s="10">
        <f>SQRT(SUM(K$3:K19)/(COUNT(K$3:K19)-1))</f>
        <v>242.28768403906906</v>
      </c>
    </row>
    <row r="20" spans="1:12" x14ac:dyDescent="0.2">
      <c r="A20" s="219">
        <f>[2]ArdiData!A20</f>
        <v>18</v>
      </c>
      <c r="B20" s="226"/>
      <c r="C20" s="11">
        <v>2897.6453125752814</v>
      </c>
      <c r="D20" s="3">
        <f t="shared" si="0"/>
        <v>3114.0934230596699</v>
      </c>
      <c r="E20" s="11">
        <f t="shared" si="1"/>
        <v>61.082551421752541</v>
      </c>
      <c r="F20" s="11">
        <f t="shared" si="2"/>
        <v>3168.2054506807667</v>
      </c>
      <c r="G20" s="12">
        <f t="shared" si="3"/>
        <v>-270.56013810548529</v>
      </c>
      <c r="H20" s="12">
        <f t="shared" si="4"/>
        <v>270.56013810548529</v>
      </c>
      <c r="I20" s="10">
        <f>SUM(H$3:H20)/COUNT(H$3:H20)</f>
        <v>195.42612291479134</v>
      </c>
      <c r="J20" s="10">
        <f>SUM(G$3:G20)/I20</f>
        <v>-1.7229789787294201</v>
      </c>
      <c r="K20" s="11">
        <f t="shared" si="5"/>
        <v>93480.34080708299</v>
      </c>
      <c r="L20" s="10">
        <f>SQRT(SUM(K$3:K20)/(COUNT(K$3:K20)-1))</f>
        <v>246.47318076264403</v>
      </c>
    </row>
    <row r="21" spans="1:12" x14ac:dyDescent="0.2">
      <c r="A21" s="219">
        <f>[2]ArdiData!A21</f>
        <v>19</v>
      </c>
      <c r="B21" s="226"/>
      <c r="C21" s="11">
        <v>2451.4955445656897</v>
      </c>
      <c r="D21" s="3">
        <f t="shared" si="0"/>
        <v>3030.4398884982761</v>
      </c>
      <c r="E21" s="11">
        <f t="shared" si="1"/>
        <v>-25.759100168135276</v>
      </c>
      <c r="F21" s="11">
        <f t="shared" si="2"/>
        <v>3175.1759744814226</v>
      </c>
      <c r="G21" s="12">
        <f t="shared" si="3"/>
        <v>-723.68042991573293</v>
      </c>
      <c r="H21" s="12">
        <f t="shared" si="4"/>
        <v>723.68042991573293</v>
      </c>
      <c r="I21" s="10">
        <f>SUM(H$3:H21)/COUNT(H$3:H21)</f>
        <v>223.2289811779988</v>
      </c>
      <c r="J21" s="10">
        <f>SUM(G$3:G21)/I21</f>
        <v>-4.7502592449990608</v>
      </c>
      <c r="K21" s="11">
        <f t="shared" si="5"/>
        <v>575877.3645317466</v>
      </c>
      <c r="L21" s="10">
        <f>SQRT(SUM(K$3:K21)/(COUNT(K$3:K21)-1))</f>
        <v>298.94358950692072</v>
      </c>
    </row>
    <row r="22" spans="1:12" x14ac:dyDescent="0.2">
      <c r="A22" s="219">
        <f>[2]ArdiData!A22</f>
        <v>20</v>
      </c>
      <c r="B22" s="226"/>
      <c r="C22" s="11">
        <v>3606.7892415047718</v>
      </c>
      <c r="D22" s="3">
        <f t="shared" si="0"/>
        <v>3125.1024789650673</v>
      </c>
      <c r="E22" s="11">
        <f t="shared" si="1"/>
        <v>46.493914212820627</v>
      </c>
      <c r="F22" s="11">
        <f t="shared" si="2"/>
        <v>3004.6807883301408</v>
      </c>
      <c r="G22" s="12">
        <f t="shared" si="3"/>
        <v>602.10845317463099</v>
      </c>
      <c r="H22" s="12">
        <f t="shared" si="4"/>
        <v>602.10845317463099</v>
      </c>
      <c r="I22" s="10">
        <f>SUM(H$3:H22)/COUNT(H$3:H22)</f>
        <v>242.1729547778304</v>
      </c>
      <c r="J22" s="10">
        <f>SUM(G$3:G22)/I22</f>
        <v>-1.8923957831637808</v>
      </c>
      <c r="K22" s="11">
        <f t="shared" si="5"/>
        <v>321401.73573135288</v>
      </c>
      <c r="L22" s="10">
        <f>SQRT(SUM(K$3:K22)/(COUNT(K$3:K22)-1))</f>
        <v>318.71556288380185</v>
      </c>
    </row>
    <row r="23" spans="1:12" x14ac:dyDescent="0.2">
      <c r="A23" s="219">
        <f>[2]ArdiData!A23</f>
        <v>21</v>
      </c>
      <c r="B23" s="226"/>
      <c r="C23" s="11">
        <v>3329.4002934339937</v>
      </c>
      <c r="D23" s="3">
        <f t="shared" si="0"/>
        <v>3203.157173229109</v>
      </c>
      <c r="E23" s="11">
        <f t="shared" si="1"/>
        <v>65.430382243553268</v>
      </c>
      <c r="F23" s="11">
        <f t="shared" si="2"/>
        <v>3171.5963931778879</v>
      </c>
      <c r="G23" s="12">
        <f t="shared" si="3"/>
        <v>157.80390025610586</v>
      </c>
      <c r="H23" s="12">
        <f t="shared" si="4"/>
        <v>157.80390025610586</v>
      </c>
      <c r="I23" s="10">
        <f>SUM(H$3:H23)/COUNT(H$3:H23)</f>
        <v>238.15538075298642</v>
      </c>
      <c r="J23" s="10">
        <f>SUM(G$3:G23)/I23</f>
        <v>-1.2617106412281023</v>
      </c>
      <c r="K23" s="11">
        <f t="shared" si="5"/>
        <v>15035.293903732731</v>
      </c>
      <c r="L23" s="10">
        <f>SQRT(SUM(K$3:K23)/(COUNT(K$3:K23)-1))</f>
        <v>311.85316130882552</v>
      </c>
    </row>
    <row r="24" spans="1:12" x14ac:dyDescent="0.2">
      <c r="A24" s="219">
        <f>[2]ArdiData!A24</f>
        <v>22</v>
      </c>
      <c r="B24" s="226"/>
      <c r="C24" s="11">
        <v>3271.7372704254626</v>
      </c>
      <c r="D24" s="3">
        <f t="shared" si="0"/>
        <v>3269.2174984632225</v>
      </c>
      <c r="E24" s="11">
        <f t="shared" si="1"/>
        <v>65.808348037889346</v>
      </c>
      <c r="F24" s="11">
        <f t="shared" si="2"/>
        <v>3268.5875554726622</v>
      </c>
      <c r="G24" s="12">
        <f t="shared" si="3"/>
        <v>3.1497149528004229</v>
      </c>
      <c r="H24" s="12">
        <f t="shared" si="4"/>
        <v>3.1497149528004229</v>
      </c>
      <c r="I24" s="10">
        <f>SUM(H$3:H24)/COUNT(H$3:H24)</f>
        <v>227.47330503479614</v>
      </c>
      <c r="J24" s="10">
        <f>SUM(G$3:G24)/I24</f>
        <v>-1.3071136552198528</v>
      </c>
      <c r="K24" s="11">
        <f t="shared" si="5"/>
        <v>1026.2858221996787</v>
      </c>
      <c r="L24" s="10">
        <f>SQRT(SUM(K$3:K24)/(COUNT(K$3:K24)-1))</f>
        <v>304.41780266666143</v>
      </c>
    </row>
    <row r="25" spans="1:12" x14ac:dyDescent="0.2">
      <c r="A25" s="219">
        <f>[2]ArdiData!A25</f>
        <v>23</v>
      </c>
      <c r="B25" s="226"/>
      <c r="C25" s="11">
        <v>3370.7908457036756</v>
      </c>
      <c r="D25" s="3">
        <f t="shared" si="0"/>
        <v>3342.1788463416246</v>
      </c>
      <c r="E25" s="11">
        <f t="shared" si="1"/>
        <v>70.100147942197054</v>
      </c>
      <c r="F25" s="11">
        <f t="shared" si="2"/>
        <v>3335.025846501112</v>
      </c>
      <c r="G25" s="12">
        <f t="shared" si="3"/>
        <v>35.764999202563558</v>
      </c>
      <c r="H25" s="12">
        <f t="shared" si="4"/>
        <v>35.764999202563558</v>
      </c>
      <c r="I25" s="10">
        <f>SUM(H$3:H25)/COUNT(H$3:H25)</f>
        <v>219.13816130295993</v>
      </c>
      <c r="J25" s="10">
        <f>SUM(G$3:G25)/I25</f>
        <v>-1.1936235224899476</v>
      </c>
      <c r="K25" s="11">
        <f t="shared" si="5"/>
        <v>0.3359224669813996</v>
      </c>
      <c r="L25" s="10">
        <f>SQRT(SUM(K$3:K25)/(COUNT(K$3:K25)-1))</f>
        <v>297.4187823523373</v>
      </c>
    </row>
    <row r="26" spans="1:12" x14ac:dyDescent="0.2">
      <c r="A26" s="219">
        <f>[2]ArdiData!A26</f>
        <v>24</v>
      </c>
      <c r="B26" s="226"/>
      <c r="C26" s="11">
        <v>3326.6171341495628</v>
      </c>
      <c r="D26" s="3">
        <f t="shared" si="0"/>
        <v>3395.1466222569702</v>
      </c>
      <c r="E26" s="11">
        <f t="shared" si="1"/>
        <v>59.820724726086155</v>
      </c>
      <c r="F26" s="11">
        <f t="shared" si="2"/>
        <v>3412.2789942838217</v>
      </c>
      <c r="G26" s="12">
        <f t="shared" si="3"/>
        <v>-85.661860134258859</v>
      </c>
      <c r="H26" s="12">
        <f t="shared" si="4"/>
        <v>85.661860134258859</v>
      </c>
      <c r="I26" s="10">
        <f>SUM(H$3:H26)/COUNT(H$3:H26)</f>
        <v>213.57664875426406</v>
      </c>
      <c r="J26" s="10">
        <f>SUM(G$3:G26)/I26</f>
        <v>-1.6257878666322869</v>
      </c>
      <c r="K26" s="11">
        <f t="shared" si="5"/>
        <v>14604.0629442604</v>
      </c>
      <c r="L26" s="10">
        <f>SQRT(SUM(K$3:K26)/(COUNT(K$3:K26)-1))</f>
        <v>291.97070796013634</v>
      </c>
    </row>
    <row r="27" spans="1:12" x14ac:dyDescent="0.2">
      <c r="A27" s="219">
        <f>[2]ArdiData!A27</f>
        <v>25</v>
      </c>
      <c r="B27" s="226"/>
      <c r="C27" s="11">
        <v>3919.3323507327541</v>
      </c>
      <c r="D27" s="3">
        <f t="shared" si="0"/>
        <v>3547.8403477329962</v>
      </c>
      <c r="E27" s="11">
        <f t="shared" si="1"/>
        <v>115.54452517605006</v>
      </c>
      <c r="F27" s="11">
        <f t="shared" si="2"/>
        <v>3454.9673469830564</v>
      </c>
      <c r="G27" s="12">
        <f t="shared" si="3"/>
        <v>464.36500374969773</v>
      </c>
      <c r="H27" s="12">
        <f t="shared" si="4"/>
        <v>464.36500374969773</v>
      </c>
      <c r="I27" s="10">
        <f>SUM(H$3:H27)/COUNT(H$3:H27)</f>
        <v>223.60818295408143</v>
      </c>
      <c r="J27" s="10">
        <f>SUM(G$3:G27)/I27</f>
        <v>0.52383896716822487</v>
      </c>
      <c r="K27" s="11">
        <f t="shared" si="5"/>
        <v>184195.1228197864</v>
      </c>
      <c r="L27" s="10">
        <f>SQRT(SUM(K$3:K27)/(COUNT(K$3:K27)-1))</f>
        <v>298.94771643458552</v>
      </c>
    </row>
    <row r="28" spans="1:12" x14ac:dyDescent="0.2">
      <c r="A28" s="219">
        <f>[2]ArdiData!A28</f>
        <v>26</v>
      </c>
      <c r="B28" s="226"/>
      <c r="C28" s="11">
        <v>3932.7496928280202</v>
      </c>
      <c r="D28" s="3">
        <f t="shared" si="0"/>
        <v>3717.2578368928412</v>
      </c>
      <c r="E28" s="11">
        <f t="shared" si="1"/>
        <v>147.86830356632703</v>
      </c>
      <c r="F28" s="11">
        <f t="shared" si="2"/>
        <v>3663.3848729090464</v>
      </c>
      <c r="G28" s="12">
        <f t="shared" si="3"/>
        <v>269.36481991897381</v>
      </c>
      <c r="H28" s="12">
        <f t="shared" si="4"/>
        <v>269.36481991897381</v>
      </c>
      <c r="I28" s="10">
        <f>SUM(H$3:H28)/COUNT(H$3:H28)</f>
        <v>225.36805360657729</v>
      </c>
      <c r="J28" s="10">
        <f>SUM(G$3:G28)/I28</f>
        <v>1.7149702157995805</v>
      </c>
      <c r="K28" s="11">
        <f t="shared" si="5"/>
        <v>54839.995554541114</v>
      </c>
      <c r="L28" s="10">
        <f>SQRT(SUM(K$3:K28)/(COUNT(K$3:K28)-1))</f>
        <v>296.6286356661758</v>
      </c>
    </row>
    <row r="29" spans="1:12" x14ac:dyDescent="0.2">
      <c r="A29" s="219">
        <f>[2]ArdiData!A29</f>
        <v>27</v>
      </c>
      <c r="B29" s="226"/>
      <c r="C29" s="11">
        <v>3271.4587202821313</v>
      </c>
      <c r="D29" s="3">
        <f t="shared" si="0"/>
        <v>3746.3926564237609</v>
      </c>
      <c r="E29" s="11">
        <f t="shared" si="1"/>
        <v>76.628213145082626</v>
      </c>
      <c r="F29" s="11">
        <f t="shared" si="2"/>
        <v>3865.1261404591683</v>
      </c>
      <c r="G29" s="12">
        <f t="shared" si="3"/>
        <v>-593.667420177037</v>
      </c>
      <c r="H29" s="12">
        <f t="shared" si="4"/>
        <v>593.667420177037</v>
      </c>
      <c r="I29" s="10">
        <f>SUM(H$3:H29)/COUNT(H$3:H29)</f>
        <v>239.00877088696467</v>
      </c>
      <c r="J29" s="10">
        <f>SUM(G$3:G29)/I29</f>
        <v>-0.86677957415634099</v>
      </c>
      <c r="K29" s="11">
        <f t="shared" si="5"/>
        <v>395455.88329843793</v>
      </c>
      <c r="L29" s="10">
        <f>SQRT(SUM(K$3:K29)/(COUNT(K$3:K29)-1))</f>
        <v>315.93387640258499</v>
      </c>
    </row>
    <row r="30" spans="1:12" x14ac:dyDescent="0.2">
      <c r="A30" s="219">
        <f>[2]ArdiData!A30</f>
        <v>28</v>
      </c>
      <c r="B30" s="226"/>
      <c r="C30" s="11">
        <v>4226.8800578487453</v>
      </c>
      <c r="D30" s="3">
        <f t="shared" si="0"/>
        <v>3903.792707224824</v>
      </c>
      <c r="E30" s="11">
        <f t="shared" si="1"/>
        <v>125.09131573867093</v>
      </c>
      <c r="F30" s="11">
        <f t="shared" si="2"/>
        <v>3823.0208695688434</v>
      </c>
      <c r="G30" s="12">
        <f t="shared" si="3"/>
        <v>403.8591882799019</v>
      </c>
      <c r="H30" s="12">
        <f t="shared" si="4"/>
        <v>403.8591882799019</v>
      </c>
      <c r="I30" s="10">
        <f>SUM(H$3:H30)/COUNT(H$3:H30)</f>
        <v>244.89628579385527</v>
      </c>
      <c r="J30" s="10">
        <f>SUM(G$3:G30)/I30</f>
        <v>0.80316149750199028</v>
      </c>
      <c r="K30" s="11">
        <f t="shared" si="5"/>
        <v>135920.35404265486</v>
      </c>
      <c r="L30" s="10">
        <f>SQRT(SUM(K$3:K30)/(COUNT(K$3:K30)-1))</f>
        <v>318.0432025609166</v>
      </c>
    </row>
    <row r="31" spans="1:12" x14ac:dyDescent="0.2">
      <c r="A31" s="219">
        <f>[2]ArdiData!A31</f>
        <v>29</v>
      </c>
      <c r="B31" s="226"/>
      <c r="C31" s="11">
        <v>3676.4065496322846</v>
      </c>
      <c r="D31" s="3">
        <f t="shared" si="0"/>
        <v>3958.3885282972533</v>
      </c>
      <c r="E31" s="11">
        <f t="shared" si="1"/>
        <v>82.794018938925973</v>
      </c>
      <c r="F31" s="11">
        <f t="shared" si="2"/>
        <v>4028.8840229634948</v>
      </c>
      <c r="G31" s="12">
        <f t="shared" si="3"/>
        <v>-352.47747333121015</v>
      </c>
      <c r="H31" s="12">
        <f t="shared" si="4"/>
        <v>352.47747333121015</v>
      </c>
      <c r="I31" s="10">
        <f>SUM(H$3:H31)/COUNT(H$3:H31)</f>
        <v>248.60598191583304</v>
      </c>
      <c r="J31" s="10">
        <f>SUM(G$3:G31)/I31</f>
        <v>-0.62663900723468613</v>
      </c>
      <c r="K31" s="11">
        <f t="shared" si="5"/>
        <v>150282.51189974471</v>
      </c>
      <c r="L31" s="10">
        <f>SQRT(SUM(K$3:K31)/(COUNT(K$3:K31)-1))</f>
        <v>320.78989767838584</v>
      </c>
    </row>
    <row r="32" spans="1:12" x14ac:dyDescent="0.2">
      <c r="A32" s="219">
        <f>[2]ArdiData!A32</f>
        <v>30</v>
      </c>
      <c r="B32" s="226"/>
      <c r="C32" s="11">
        <v>3709.9538102697975</v>
      </c>
      <c r="D32" s="3">
        <f t="shared" si="0"/>
        <v>3974.9367998429034</v>
      </c>
      <c r="E32" s="11">
        <f t="shared" si="1"/>
        <v>43.046570502960449</v>
      </c>
      <c r="F32" s="11">
        <f t="shared" si="2"/>
        <v>4041.1825472361793</v>
      </c>
      <c r="G32" s="12">
        <f t="shared" si="3"/>
        <v>-331.2287369663818</v>
      </c>
      <c r="H32" s="12">
        <f t="shared" si="4"/>
        <v>331.2287369663818</v>
      </c>
      <c r="I32" s="10">
        <f>SUM(H$3:H32)/COUNT(H$3:H32)</f>
        <v>251.36007375085134</v>
      </c>
      <c r="J32" s="10">
        <f>SUM(G$3:G32)/I32</f>
        <v>-1.9375190952141987</v>
      </c>
      <c r="K32" s="11">
        <f t="shared" si="5"/>
        <v>134259.32784103689</v>
      </c>
      <c r="L32" s="10">
        <f>SQRT(SUM(K$3:K32)/(COUNT(K$3:K32)-1))</f>
        <v>322.47062226585456</v>
      </c>
    </row>
    <row r="33" spans="1:12" x14ac:dyDescent="0.2">
      <c r="A33" s="219">
        <f>[2]ArdiData!A33</f>
        <v>31</v>
      </c>
      <c r="B33" s="226"/>
      <c r="C33" s="11">
        <v>4309.3917506051803</v>
      </c>
      <c r="D33" s="3">
        <f t="shared" si="0"/>
        <v>4076.2650463977275</v>
      </c>
      <c r="E33" s="11">
        <f t="shared" si="1"/>
        <v>78.015576134078628</v>
      </c>
      <c r="F33" s="11">
        <f t="shared" si="2"/>
        <v>4017.9833703458639</v>
      </c>
      <c r="G33" s="12">
        <f t="shared" si="3"/>
        <v>291.40838025931635</v>
      </c>
      <c r="H33" s="12">
        <f t="shared" si="4"/>
        <v>291.40838025931635</v>
      </c>
      <c r="I33" s="10">
        <f>SUM(H$3:H33)/COUNT(H$3:H33)</f>
        <v>252.65195460596314</v>
      </c>
      <c r="J33" s="10">
        <f>SUM(G$3:G33)/I33</f>
        <v>-0.77421353304974849</v>
      </c>
      <c r="K33" s="11">
        <f t="shared" si="5"/>
        <v>65650.209968293508</v>
      </c>
      <c r="L33" s="10">
        <f>SQRT(SUM(K$3:K33)/(COUNT(K$3:K33)-1))</f>
        <v>320.48307154874755</v>
      </c>
    </row>
    <row r="34" spans="1:12" x14ac:dyDescent="0.2">
      <c r="A34" s="219">
        <f>[2]ArdiData!A34</f>
        <v>32</v>
      </c>
      <c r="B34" s="226"/>
      <c r="C34" s="11">
        <v>3396.6468613345064</v>
      </c>
      <c r="D34" s="3">
        <f t="shared" si="0"/>
        <v>4002.7538702923466</v>
      </c>
      <c r="E34" s="11">
        <f t="shared" si="1"/>
        <v>-12.900475209597058</v>
      </c>
      <c r="F34" s="11">
        <f t="shared" si="2"/>
        <v>4154.2806225318063</v>
      </c>
      <c r="G34" s="12">
        <f t="shared" si="3"/>
        <v>-757.63376119729992</v>
      </c>
      <c r="H34" s="12">
        <f t="shared" si="4"/>
        <v>757.63376119729992</v>
      </c>
      <c r="I34" s="10">
        <f>SUM(H$3:H34)/COUNT(H$3:H34)</f>
        <v>268.43263606194239</v>
      </c>
      <c r="J34" s="10">
        <f>SUM(G$3:G34)/I34</f>
        <v>-3.5511342346045494</v>
      </c>
      <c r="K34" s="11">
        <f t="shared" si="5"/>
        <v>628562.23982764524</v>
      </c>
      <c r="L34" s="10">
        <f>SQRT(SUM(K$3:K34)/(COUNT(K$3:K34)-1))</f>
        <v>345.93697982423157</v>
      </c>
    </row>
    <row r="35" spans="1:12" x14ac:dyDescent="0.2">
      <c r="A35" s="219">
        <f>[2]ArdiData!A35</f>
        <v>33</v>
      </c>
      <c r="B35" s="226"/>
      <c r="C35" s="11">
        <v>3425.2650395092878</v>
      </c>
      <c r="D35" s="3">
        <f t="shared" ref="D35:D66" si="6">$N$1*C35+(1-$N$1)*F35</f>
        <v>3876.9357239680576</v>
      </c>
      <c r="E35" s="11">
        <f t="shared" ref="E35:E66" si="7">$N$2*(D35-D34)+(1-$N$2)*E34</f>
        <v>-80.651077878412252</v>
      </c>
      <c r="F35" s="11">
        <f t="shared" ref="F35:F66" si="8">D34+E34</f>
        <v>3989.8533950827496</v>
      </c>
      <c r="G35" s="12">
        <f t="shared" ref="G35:G66" si="9">C35-F35</f>
        <v>-564.58835557346174</v>
      </c>
      <c r="H35" s="12">
        <f t="shared" ref="H35:H66" si="10">ABS(G35)</f>
        <v>564.58835557346174</v>
      </c>
      <c r="I35" s="10">
        <f>SUM(H$3:H35)/COUNT(H$3:H35)</f>
        <v>277.40705180471571</v>
      </c>
      <c r="J35" s="10">
        <f>SUM(G$3:G35)/I35</f>
        <v>-5.4714855635561284</v>
      </c>
      <c r="K35" s="11">
        <f t="shared" ref="K35:K66" si="11">(G35-$G$78)^2</f>
        <v>359728.5710878988</v>
      </c>
      <c r="L35" s="10">
        <f>SQRT(SUM(K$3:K35)/(COUNT(K$3:K35)-1))</f>
        <v>356.61484762078811</v>
      </c>
    </row>
    <row r="36" spans="1:12" x14ac:dyDescent="0.2">
      <c r="A36" s="219">
        <f>[2]ArdiData!A36</f>
        <v>34</v>
      </c>
      <c r="B36" s="226"/>
      <c r="C36" s="11">
        <v>3382.8091450329844</v>
      </c>
      <c r="D36" s="3">
        <f t="shared" si="6"/>
        <v>3713.5895458783134</v>
      </c>
      <c r="E36" s="11">
        <f t="shared" si="7"/>
        <v>-130.2681380052114</v>
      </c>
      <c r="F36" s="11">
        <f t="shared" si="8"/>
        <v>3796.2846460896453</v>
      </c>
      <c r="G36" s="12">
        <f t="shared" si="9"/>
        <v>-413.47550105666096</v>
      </c>
      <c r="H36" s="12">
        <f t="shared" si="10"/>
        <v>413.47550105666096</v>
      </c>
      <c r="I36" s="10">
        <f>SUM(H$3:H36)/COUNT(H$3:H36)</f>
        <v>281.40906501800822</v>
      </c>
      <c r="J36" s="10">
        <f>SUM(G$3:G36)/I36</f>
        <v>-6.8629778508067609</v>
      </c>
      <c r="K36" s="11">
        <f t="shared" si="11"/>
        <v>201296.61402111541</v>
      </c>
      <c r="L36" s="10">
        <f>SQRT(SUM(K$3:K36)/(COUNT(K$3:K36)-1))</f>
        <v>359.75030900722714</v>
      </c>
    </row>
    <row r="37" spans="1:12" x14ac:dyDescent="0.2">
      <c r="A37" s="219">
        <f>[2]ArdiData!A37</f>
        <v>35</v>
      </c>
      <c r="B37" s="226"/>
      <c r="C37" s="11">
        <v>3846.9349712677931</v>
      </c>
      <c r="D37" s="3">
        <f t="shared" si="6"/>
        <v>3636.0441205520401</v>
      </c>
      <c r="E37" s="11">
        <f t="shared" si="7"/>
        <v>-98.63451039784853</v>
      </c>
      <c r="F37" s="11">
        <f t="shared" si="8"/>
        <v>3583.3214078731021</v>
      </c>
      <c r="G37" s="12">
        <f t="shared" si="9"/>
        <v>263.61356339469103</v>
      </c>
      <c r="H37" s="12">
        <f t="shared" si="10"/>
        <v>263.61356339469103</v>
      </c>
      <c r="I37" s="10">
        <f>SUM(H$3:H37)/COUNT(H$3:H37)</f>
        <v>280.90062211448486</v>
      </c>
      <c r="J37" s="10">
        <f>SUM(G$3:G37)/I37</f>
        <v>-5.936941699475657</v>
      </c>
      <c r="K37" s="11">
        <f t="shared" si="11"/>
        <v>52179.420799527696</v>
      </c>
      <c r="L37" s="10">
        <f>SQRT(SUM(K$3:K37)/(COUNT(K$3:K37)-1))</f>
        <v>356.57887586371226</v>
      </c>
    </row>
    <row r="38" spans="1:12" x14ac:dyDescent="0.2">
      <c r="A38" s="219">
        <f>[2]ArdiData!A38</f>
        <v>36</v>
      </c>
      <c r="B38" s="226"/>
      <c r="C38" s="11">
        <v>4335.4663999878339</v>
      </c>
      <c r="D38" s="3">
        <f t="shared" si="6"/>
        <v>3697.0209681209203</v>
      </c>
      <c r="E38" s="11">
        <f t="shared" si="7"/>
        <v>-2.8676956178112931</v>
      </c>
      <c r="F38" s="11">
        <f t="shared" si="8"/>
        <v>3537.4096101541918</v>
      </c>
      <c r="G38" s="12">
        <f t="shared" si="9"/>
        <v>798.05678983364214</v>
      </c>
      <c r="H38" s="12">
        <f t="shared" si="10"/>
        <v>798.05678983364214</v>
      </c>
      <c r="I38" s="10">
        <f>SUM(H$3:H38)/COUNT(H$3:H38)</f>
        <v>295.26607121779477</v>
      </c>
      <c r="J38" s="10">
        <f>SUM(G$3:G38)/I38</f>
        <v>-2.9452548456372956</v>
      </c>
      <c r="K38" s="11">
        <f t="shared" si="11"/>
        <v>581972.74062041682</v>
      </c>
      <c r="L38" s="10">
        <f>SQRT(SUM(K$3:K38)/(COUNT(K$3:K38)-1))</f>
        <v>374.35741366606908</v>
      </c>
    </row>
    <row r="39" spans="1:12" x14ac:dyDescent="0.2">
      <c r="A39" s="219">
        <f>[2]ArdiData!A39</f>
        <v>37</v>
      </c>
      <c r="B39" s="226"/>
      <c r="C39" s="11">
        <v>3778.0879495342488</v>
      </c>
      <c r="D39" s="3">
        <f t="shared" si="6"/>
        <v>3710.940207909337</v>
      </c>
      <c r="E39" s="11">
        <f t="shared" si="7"/>
        <v>7.2044656259254971</v>
      </c>
      <c r="F39" s="11">
        <f t="shared" si="8"/>
        <v>3694.1532725031088</v>
      </c>
      <c r="G39" s="12">
        <f t="shared" si="9"/>
        <v>83.934677031139927</v>
      </c>
      <c r="H39" s="12">
        <f t="shared" si="10"/>
        <v>83.934677031139927</v>
      </c>
      <c r="I39" s="10">
        <f>SUM(H$3:H39)/COUNT(H$3:H39)</f>
        <v>289.55441191545276</v>
      </c>
      <c r="J39" s="10">
        <f>SUM(G$3:G39)/I39</f>
        <v>-2.7134766995184791</v>
      </c>
      <c r="K39" s="11">
        <f t="shared" si="11"/>
        <v>2376.4909370970831</v>
      </c>
      <c r="L39" s="10">
        <f>SQRT(SUM(K$3:K39)/(COUNT(K$3:K39)-1))</f>
        <v>369.21079690233609</v>
      </c>
    </row>
    <row r="40" spans="1:12" x14ac:dyDescent="0.2">
      <c r="A40" s="219">
        <f>[2]ArdiData!A40</f>
        <v>38</v>
      </c>
      <c r="B40" s="226"/>
      <c r="C40" s="11">
        <v>4091.3217573787838</v>
      </c>
      <c r="D40" s="3">
        <f t="shared" si="6"/>
        <v>3792.780090303967</v>
      </c>
      <c r="E40" s="11">
        <f t="shared" si="7"/>
        <v>51.985715687148179</v>
      </c>
      <c r="F40" s="11">
        <f t="shared" si="8"/>
        <v>3718.1446735352624</v>
      </c>
      <c r="G40" s="12">
        <f t="shared" si="9"/>
        <v>373.17708384352136</v>
      </c>
      <c r="H40" s="12">
        <f t="shared" si="10"/>
        <v>373.17708384352136</v>
      </c>
      <c r="I40" s="10">
        <f>SUM(H$3:H40)/COUNT(H$3:H40)</f>
        <v>291.75500854513876</v>
      </c>
      <c r="J40" s="10">
        <f>SUM(G$3:G40)/I40</f>
        <v>-1.413933108428582</v>
      </c>
      <c r="K40" s="11">
        <f t="shared" si="11"/>
        <v>114238.37090131622</v>
      </c>
      <c r="L40" s="10">
        <f>SQRT(SUM(K$3:K40)/(COUNT(K$3:K40)-1))</f>
        <v>368.40182317074635</v>
      </c>
    </row>
    <row r="41" spans="1:12" x14ac:dyDescent="0.2">
      <c r="A41" s="219">
        <f>[2]ArdiData!A41</f>
        <v>39</v>
      </c>
      <c r="B41" s="226"/>
      <c r="C41" s="11">
        <v>5031.5420497583082</v>
      </c>
      <c r="D41" s="3">
        <f t="shared" si="6"/>
        <v>4082.1210547445539</v>
      </c>
      <c r="E41" s="11">
        <f t="shared" si="7"/>
        <v>194.39886493921145</v>
      </c>
      <c r="F41" s="11">
        <f t="shared" si="8"/>
        <v>3844.765805991115</v>
      </c>
      <c r="G41" s="12">
        <f t="shared" si="9"/>
        <v>1186.7762437671931</v>
      </c>
      <c r="H41" s="12">
        <f t="shared" si="10"/>
        <v>1186.7762437671931</v>
      </c>
      <c r="I41" s="10">
        <f>SUM(H$3:H41)/COUNT(H$3:H41)</f>
        <v>314.70427098672991</v>
      </c>
      <c r="J41" s="10">
        <f>SUM(G$3:G41)/I41</f>
        <v>2.4602595166813144</v>
      </c>
      <c r="K41" s="11">
        <f t="shared" si="11"/>
        <v>1326161.4460785284</v>
      </c>
      <c r="L41" s="10">
        <f>SQRT(SUM(K$3:K41)/(COUNT(K$3:K41)-1))</f>
        <v>408.71421841625329</v>
      </c>
    </row>
    <row r="42" spans="1:12" x14ac:dyDescent="0.2">
      <c r="A42" s="219">
        <f>[2]ArdiData!A42</f>
        <v>40</v>
      </c>
      <c r="B42" s="226"/>
      <c r="C42" s="11">
        <v>4204.3946084920954</v>
      </c>
      <c r="D42" s="3">
        <f t="shared" si="6"/>
        <v>4262.0948574454324</v>
      </c>
      <c r="E42" s="11">
        <f t="shared" si="7"/>
        <v>185.74382759621164</v>
      </c>
      <c r="F42" s="11">
        <f t="shared" si="8"/>
        <v>4276.5199196837657</v>
      </c>
      <c r="G42" s="12">
        <f t="shared" si="9"/>
        <v>-72.125311191670335</v>
      </c>
      <c r="H42" s="12">
        <f t="shared" si="10"/>
        <v>72.125311191670335</v>
      </c>
      <c r="I42" s="10">
        <f>SUM(H$3:H42)/COUNT(H$3:H42)</f>
        <v>308.63979699185342</v>
      </c>
      <c r="J42" s="10">
        <f>SUM(G$3:G42)/I42</f>
        <v>2.2749135830406861</v>
      </c>
      <c r="K42" s="11">
        <f t="shared" si="11"/>
        <v>11515.591100550831</v>
      </c>
      <c r="L42" s="10">
        <f>SQRT(SUM(K$3:K42)/(COUNT(K$3:K42)-1))</f>
        <v>403.80604191050412</v>
      </c>
    </row>
    <row r="43" spans="1:12" x14ac:dyDescent="0.2">
      <c r="A43" s="219">
        <f>[2]ArdiData!A43</f>
        <v>41</v>
      </c>
      <c r="B43" s="226"/>
      <c r="C43" s="11">
        <v>5586.0237690188087</v>
      </c>
      <c r="D43" s="3">
        <f t="shared" si="6"/>
        <v>4675.4757018370765</v>
      </c>
      <c r="E43" s="11">
        <f t="shared" si="7"/>
        <v>322.32603767347109</v>
      </c>
      <c r="F43" s="11">
        <f t="shared" si="8"/>
        <v>4447.8386850416437</v>
      </c>
      <c r="G43" s="12">
        <f t="shared" si="9"/>
        <v>1138.185083977165</v>
      </c>
      <c r="H43" s="12">
        <f t="shared" si="10"/>
        <v>1138.185083977165</v>
      </c>
      <c r="I43" s="10">
        <f>SUM(H$3:H43)/COUNT(H$3:H43)</f>
        <v>328.87260886954397</v>
      </c>
      <c r="J43" s="10">
        <f>SUM(G$3:G43)/I43</f>
        <v>5.5958261673013379</v>
      </c>
      <c r="K43" s="11">
        <f t="shared" si="11"/>
        <v>1216608.2785542971</v>
      </c>
      <c r="L43" s="10">
        <f>SQRT(SUM(K$3:K43)/(COUNT(K$3:K43)-1))</f>
        <v>435.19885507684825</v>
      </c>
    </row>
    <row r="44" spans="1:12" x14ac:dyDescent="0.2">
      <c r="A44" s="219">
        <f>[2]ArdiData!A44</f>
        <v>42</v>
      </c>
      <c r="B44" s="226"/>
      <c r="C44" s="11">
        <v>5777.5611763875086</v>
      </c>
      <c r="D44" s="3">
        <f t="shared" si="6"/>
        <v>5153.7536268859394</v>
      </c>
      <c r="E44" s="11">
        <f t="shared" si="7"/>
        <v>415.89717009870617</v>
      </c>
      <c r="F44" s="11">
        <f t="shared" si="8"/>
        <v>4997.8017395105471</v>
      </c>
      <c r="G44" s="12">
        <f t="shared" si="9"/>
        <v>779.75943687696144</v>
      </c>
      <c r="H44" s="12">
        <f t="shared" si="10"/>
        <v>779.75943687696144</v>
      </c>
      <c r="I44" s="10">
        <f>SUM(H$3:H44)/COUNT(H$3:H44)</f>
        <v>339.60800953638727</v>
      </c>
      <c r="J44" s="10">
        <f>SUM(G$3:G44)/I44</f>
        <v>7.7149929145504617</v>
      </c>
      <c r="K44" s="11">
        <f t="shared" si="11"/>
        <v>554390.47998805519</v>
      </c>
      <c r="L44" s="10">
        <f>SQRT(SUM(K$3:K44)/(COUNT(K$3:K44)-1))</f>
        <v>445.30921617417647</v>
      </c>
    </row>
    <row r="45" spans="1:12" x14ac:dyDescent="0.2">
      <c r="A45" s="219">
        <f>[2]ArdiData!A45</f>
        <v>43</v>
      </c>
      <c r="B45" s="226"/>
      <c r="C45" s="11">
        <v>5672.6454679130029</v>
      </c>
      <c r="D45" s="3">
        <f t="shared" si="6"/>
        <v>5590.2497311703173</v>
      </c>
      <c r="E45" s="11">
        <f t="shared" si="7"/>
        <v>428.25653061010917</v>
      </c>
      <c r="F45" s="11">
        <f t="shared" si="8"/>
        <v>5569.6507969846452</v>
      </c>
      <c r="G45" s="12">
        <f t="shared" si="9"/>
        <v>102.99467092835766</v>
      </c>
      <c r="H45" s="12">
        <f t="shared" si="10"/>
        <v>102.99467092835766</v>
      </c>
      <c r="I45" s="10">
        <f>SUM(H$3:H45)/COUNT(H$3:H45)</f>
        <v>334.10537375480516</v>
      </c>
      <c r="J45" s="10">
        <f>SUM(G$3:G45)/I45</f>
        <v>8.1503270289348571</v>
      </c>
      <c r="K45" s="11">
        <f t="shared" si="11"/>
        <v>4598.0957299760239</v>
      </c>
      <c r="L45" s="10">
        <f>SQRT(SUM(K$3:K45)/(COUNT(K$3:K45)-1))</f>
        <v>440.10037583774471</v>
      </c>
    </row>
    <row r="46" spans="1:12" x14ac:dyDescent="0.2">
      <c r="A46" s="219">
        <f>[2]ArdiData!A46</f>
        <v>44</v>
      </c>
      <c r="B46" s="226"/>
      <c r="C46" s="11">
        <v>4442.4749424361789</v>
      </c>
      <c r="D46" s="3">
        <f t="shared" si="6"/>
        <v>5703.2999979115775</v>
      </c>
      <c r="E46" s="11">
        <f t="shared" si="7"/>
        <v>239.1327722887998</v>
      </c>
      <c r="F46" s="11">
        <f t="shared" si="8"/>
        <v>6018.5062617804269</v>
      </c>
      <c r="G46" s="12">
        <f t="shared" si="9"/>
        <v>-1576.031319344248</v>
      </c>
      <c r="H46" s="12">
        <f t="shared" si="10"/>
        <v>1576.031319344248</v>
      </c>
      <c r="I46" s="10">
        <f>SUM(H$3:H46)/COUNT(H$3:H46)</f>
        <v>362.33096342729255</v>
      </c>
      <c r="J46" s="10">
        <f>SUM(G$3:G46)/I46</f>
        <v>3.1657154774521339</v>
      </c>
      <c r="K46" s="11">
        <f t="shared" si="11"/>
        <v>2596019.3521900512</v>
      </c>
      <c r="L46" s="10">
        <f>SQRT(SUM(K$3:K46)/(COUNT(K$3:K46)-1))</f>
        <v>499.55630700434108</v>
      </c>
    </row>
    <row r="47" spans="1:12" x14ac:dyDescent="0.2">
      <c r="A47" s="219">
        <f>[2]ArdiData!A47</f>
        <v>45</v>
      </c>
      <c r="B47" s="226"/>
      <c r="C47" s="11">
        <v>6116.4376324786244</v>
      </c>
      <c r="D47" s="3">
        <f t="shared" si="6"/>
        <v>5977.2337426560271</v>
      </c>
      <c r="E47" s="11">
        <f t="shared" si="7"/>
        <v>260.01335576218963</v>
      </c>
      <c r="F47" s="11">
        <f t="shared" si="8"/>
        <v>5942.4327702003775</v>
      </c>
      <c r="G47" s="12">
        <f t="shared" si="9"/>
        <v>174.00486227824695</v>
      </c>
      <c r="H47" s="12">
        <f t="shared" si="10"/>
        <v>174.00486227824695</v>
      </c>
      <c r="I47" s="10">
        <f>SUM(H$3:H47)/COUNT(H$3:H47)</f>
        <v>358.14593895731372</v>
      </c>
      <c r="J47" s="10">
        <f>SUM(G$3:G47)/I47</f>
        <v>3.6885566956480855</v>
      </c>
      <c r="K47" s="11">
        <f t="shared" si="11"/>
        <v>19270.84004898545</v>
      </c>
      <c r="L47" s="10">
        <f>SQRT(SUM(K$3:K47)/(COUNT(K$3:K47)-1))</f>
        <v>494.29013623682994</v>
      </c>
    </row>
    <row r="48" spans="1:12" x14ac:dyDescent="0.2">
      <c r="A48" s="219">
        <f>[2]ArdiData!A48</f>
        <v>46</v>
      </c>
      <c r="B48" s="226"/>
      <c r="C48" s="11">
        <v>4831.7623955679137</v>
      </c>
      <c r="D48" s="3">
        <f t="shared" si="6"/>
        <v>5956.1501578481566</v>
      </c>
      <c r="E48" s="11">
        <f t="shared" si="7"/>
        <v>91.355191420153574</v>
      </c>
      <c r="F48" s="11">
        <f t="shared" si="8"/>
        <v>6237.2470984182164</v>
      </c>
      <c r="G48" s="12">
        <f t="shared" si="9"/>
        <v>-1405.4847028503027</v>
      </c>
      <c r="H48" s="12">
        <f t="shared" si="10"/>
        <v>1405.4847028503027</v>
      </c>
      <c r="I48" s="10">
        <f>SUM(H$3:H48)/COUNT(H$3:H48)</f>
        <v>380.91417295498735</v>
      </c>
      <c r="J48" s="10">
        <f>SUM(G$3:G48)/I48</f>
        <v>-0.22168537609156186</v>
      </c>
      <c r="K48" s="11">
        <f t="shared" si="11"/>
        <v>2075530.3769851164</v>
      </c>
      <c r="L48" s="10">
        <f>SQRT(SUM(K$3:K48)/(COUNT(K$3:K48)-1))</f>
        <v>533.86912427319294</v>
      </c>
    </row>
    <row r="49" spans="1:12" x14ac:dyDescent="0.2">
      <c r="A49" s="219">
        <f>[2]ArdiData!A49</f>
        <v>47</v>
      </c>
      <c r="B49" s="226"/>
      <c r="C49" s="11">
        <v>6206.0910692130574</v>
      </c>
      <c r="D49" s="3">
        <f t="shared" si="6"/>
        <v>6079.2224932572599</v>
      </c>
      <c r="E49" s="11">
        <f t="shared" si="7"/>
        <v>110.38547781352341</v>
      </c>
      <c r="F49" s="11">
        <f t="shared" si="8"/>
        <v>6047.5053492683101</v>
      </c>
      <c r="G49" s="12">
        <f t="shared" si="9"/>
        <v>158.58571994474732</v>
      </c>
      <c r="H49" s="12">
        <f t="shared" si="10"/>
        <v>158.58571994474732</v>
      </c>
      <c r="I49" s="10">
        <f>SUM(H$3:H49)/COUNT(H$3:H49)</f>
        <v>376.18378033774826</v>
      </c>
      <c r="J49" s="10">
        <f>SUM(G$3:G49)/I49</f>
        <v>0.19709148062696222</v>
      </c>
      <c r="K49" s="11">
        <f t="shared" si="11"/>
        <v>15227.636243918369</v>
      </c>
      <c r="L49" s="10">
        <f>SQRT(SUM(K$3:K49)/(COUNT(K$3:K49)-1))</f>
        <v>528.34768113912344</v>
      </c>
    </row>
    <row r="50" spans="1:12" x14ac:dyDescent="0.2">
      <c r="A50" s="219">
        <f>[2]ArdiData!A50</f>
        <v>48</v>
      </c>
      <c r="B50" s="226"/>
      <c r="C50" s="11">
        <v>5086.0787376555791</v>
      </c>
      <c r="D50" s="3">
        <f t="shared" si="6"/>
        <v>5968.9021243877432</v>
      </c>
      <c r="E50" s="11">
        <f t="shared" si="7"/>
        <v>-22.03803019630061</v>
      </c>
      <c r="F50" s="11">
        <f t="shared" si="8"/>
        <v>6189.6079710707836</v>
      </c>
      <c r="G50" s="12">
        <f t="shared" si="9"/>
        <v>-1103.5292334152045</v>
      </c>
      <c r="H50" s="12">
        <f t="shared" si="10"/>
        <v>1103.5292334152045</v>
      </c>
      <c r="I50" s="10">
        <f>SUM(H$3:H50)/COUNT(H$3:H50)</f>
        <v>391.33681061019524</v>
      </c>
      <c r="J50" s="10">
        <f>SUM(G$3:G50)/I50</f>
        <v>-2.630436461000206</v>
      </c>
      <c r="K50" s="11">
        <f t="shared" si="11"/>
        <v>1296671.0414401644</v>
      </c>
      <c r="L50" s="10">
        <f>SQRT(SUM(K$3:K50)/(COUNT(K$3:K50)-1))</f>
        <v>548.45294142540206</v>
      </c>
    </row>
    <row r="51" spans="1:12" x14ac:dyDescent="0.2">
      <c r="A51" s="219">
        <f>[2]ArdiData!A51</f>
        <v>49</v>
      </c>
      <c r="B51" s="226"/>
      <c r="C51" s="11">
        <v>5256.5559094460787</v>
      </c>
      <c r="D51" s="3">
        <f t="shared" si="6"/>
        <v>5808.8024572423701</v>
      </c>
      <c r="E51" s="11">
        <f t="shared" si="7"/>
        <v>-104.87501236574413</v>
      </c>
      <c r="F51" s="11">
        <f t="shared" si="8"/>
        <v>5946.8640941914427</v>
      </c>
      <c r="G51" s="12">
        <f t="shared" si="9"/>
        <v>-690.30818474536409</v>
      </c>
      <c r="H51" s="12">
        <f t="shared" si="10"/>
        <v>690.30818474536409</v>
      </c>
      <c r="I51" s="10">
        <f>SUM(H$3:H51)/COUNT(H$3:H51)</f>
        <v>397.43826722519873</v>
      </c>
      <c r="J51" s="10">
        <f>SUM(G$3:G51)/I51</f>
        <v>-4.3269482123912608</v>
      </c>
      <c r="K51" s="11">
        <f t="shared" si="11"/>
        <v>526340.95748953021</v>
      </c>
      <c r="L51" s="10">
        <f>SQRT(SUM(K$3:K51)/(COUNT(K$3:K51)-1))</f>
        <v>552.71998860415636</v>
      </c>
    </row>
    <row r="52" spans="1:12" x14ac:dyDescent="0.2">
      <c r="A52" s="219">
        <f>[2]ArdiData!A52</f>
        <v>50</v>
      </c>
      <c r="B52" s="226"/>
      <c r="C52" s="11">
        <v>5988.37014518462</v>
      </c>
      <c r="D52" s="3">
        <f t="shared" si="6"/>
        <v>5760.8159849382255</v>
      </c>
      <c r="E52" s="11">
        <f t="shared" si="7"/>
        <v>-70.741888328784427</v>
      </c>
      <c r="F52" s="11">
        <f t="shared" si="8"/>
        <v>5703.9274448766264</v>
      </c>
      <c r="G52" s="12">
        <f t="shared" si="9"/>
        <v>284.44270030799362</v>
      </c>
      <c r="H52" s="12">
        <f t="shared" si="10"/>
        <v>284.44270030799362</v>
      </c>
      <c r="I52" s="10">
        <f>SUM(H$3:H52)/COUNT(H$3:H52)</f>
        <v>395.1783558868546</v>
      </c>
      <c r="J52" s="10">
        <f>SUM(G$3:G52)/I52</f>
        <v>-3.6319096889225739</v>
      </c>
      <c r="K52" s="11">
        <f t="shared" si="11"/>
        <v>62129.196265612925</v>
      </c>
      <c r="L52" s="10">
        <f>SQRT(SUM(K$3:K52)/(COUNT(K$3:K52)-1))</f>
        <v>548.20858005014838</v>
      </c>
    </row>
    <row r="53" spans="1:12" x14ac:dyDescent="0.2">
      <c r="A53" s="219">
        <f>[2]ArdiData!A53</f>
        <v>51</v>
      </c>
      <c r="B53" s="226"/>
      <c r="C53" s="11">
        <v>6526.7676661512296</v>
      </c>
      <c r="D53" s="3">
        <f t="shared" si="6"/>
        <v>5857.4128105177988</v>
      </c>
      <c r="E53" s="11">
        <f t="shared" si="7"/>
        <v>29.661340016230206</v>
      </c>
      <c r="F53" s="11">
        <f t="shared" si="8"/>
        <v>5690.0740966094409</v>
      </c>
      <c r="G53" s="12">
        <f t="shared" si="9"/>
        <v>836.69356954178875</v>
      </c>
      <c r="H53" s="12">
        <f t="shared" si="10"/>
        <v>836.69356954178875</v>
      </c>
      <c r="I53" s="10">
        <f>SUM(H$3:H53)/COUNT(H$3:H53)</f>
        <v>403.83551693891218</v>
      </c>
      <c r="J53" s="10">
        <f>SUM(G$3:G53)/I53</f>
        <v>-1.4821839708237325</v>
      </c>
      <c r="K53" s="11">
        <f t="shared" si="11"/>
        <v>642415.32818475238</v>
      </c>
      <c r="L53" s="10">
        <f>SQRT(SUM(K$3:K53)/(COUNT(K$3:K53)-1))</f>
        <v>554.40986720970511</v>
      </c>
    </row>
    <row r="54" spans="1:12" x14ac:dyDescent="0.2">
      <c r="A54" s="219">
        <f>[2]ArdiData!A54</f>
        <v>52</v>
      </c>
      <c r="B54" s="226"/>
      <c r="C54" s="11">
        <v>5794.3331193675949</v>
      </c>
      <c r="D54" s="3">
        <f t="shared" si="6"/>
        <v>5868.5259443007435</v>
      </c>
      <c r="E54" s="11">
        <f t="shared" si="7"/>
        <v>18.53241627625891</v>
      </c>
      <c r="F54" s="11">
        <f t="shared" si="8"/>
        <v>5887.0741505340293</v>
      </c>
      <c r="G54" s="12">
        <f t="shared" si="9"/>
        <v>-92.741031166434368</v>
      </c>
      <c r="H54" s="12">
        <f t="shared" si="10"/>
        <v>92.741031166434368</v>
      </c>
      <c r="I54" s="10">
        <f>SUM(H$3:H54)/COUNT(H$3:H54)</f>
        <v>397.85293067405684</v>
      </c>
      <c r="J54" s="10">
        <f>SUM(G$3:G54)/I54</f>
        <v>-1.7375756414597252</v>
      </c>
      <c r="K54" s="11">
        <f t="shared" si="11"/>
        <v>16365.174609239999</v>
      </c>
      <c r="L54" s="10">
        <f>SQRT(SUM(K$3:K54)/(COUNT(K$3:K54)-1))</f>
        <v>549.2397636659523</v>
      </c>
    </row>
    <row r="55" spans="1:12" x14ac:dyDescent="0.2">
      <c r="A55" s="219">
        <f>[2]ArdiData!A55</f>
        <v>53</v>
      </c>
      <c r="B55" s="226"/>
      <c r="C55" s="11">
        <v>5545.614554778329</v>
      </c>
      <c r="D55" s="3">
        <f t="shared" si="6"/>
        <v>5818.7695994172682</v>
      </c>
      <c r="E55" s="11">
        <f t="shared" si="7"/>
        <v>-22.440840419581626</v>
      </c>
      <c r="F55" s="11">
        <f t="shared" si="8"/>
        <v>5887.0583605770025</v>
      </c>
      <c r="G55" s="12">
        <f t="shared" si="9"/>
        <v>-341.44380579867357</v>
      </c>
      <c r="H55" s="12">
        <f t="shared" si="10"/>
        <v>341.44380579867357</v>
      </c>
      <c r="I55" s="10">
        <f>SUM(H$3:H55)/COUNT(H$3:H55)</f>
        <v>396.78860756320057</v>
      </c>
      <c r="J55" s="10">
        <f>SUM(G$3:G55)/I55</f>
        <v>-2.602754583514054</v>
      </c>
      <c r="K55" s="11">
        <f t="shared" si="11"/>
        <v>141849.56695779925</v>
      </c>
      <c r="L55" s="10">
        <f>SQRT(SUM(K$3:K55)/(COUNT(K$3:K55)-1))</f>
        <v>546.43476957000348</v>
      </c>
    </row>
    <row r="56" spans="1:12" x14ac:dyDescent="0.2">
      <c r="A56" s="219">
        <f>[2]ArdiData!A56</f>
        <v>54</v>
      </c>
      <c r="B56" s="226"/>
      <c r="C56" s="11">
        <v>6272.3581433243171</v>
      </c>
      <c r="D56" s="3">
        <f t="shared" si="6"/>
        <v>5891.5346358630131</v>
      </c>
      <c r="E56" s="11">
        <f t="shared" si="7"/>
        <v>34.682685699614325</v>
      </c>
      <c r="F56" s="11">
        <f t="shared" si="8"/>
        <v>5796.3287589976862</v>
      </c>
      <c r="G56" s="12">
        <f t="shared" si="9"/>
        <v>476.02938432663086</v>
      </c>
      <c r="H56" s="12">
        <f t="shared" si="10"/>
        <v>476.02938432663086</v>
      </c>
      <c r="I56" s="10">
        <f>SUM(H$3:H56)/COUNT(H$3:H56)</f>
        <v>398.25602935511591</v>
      </c>
      <c r="J56" s="10">
        <f>SUM(G$3:G56)/I56</f>
        <v>-1.3978796092456376</v>
      </c>
      <c r="K56" s="11">
        <f t="shared" si="11"/>
        <v>194343.40880504763</v>
      </c>
      <c r="L56" s="10">
        <f>SQRT(SUM(K$3:K56)/(COUNT(K$3:K56)-1))</f>
        <v>544.63200651078773</v>
      </c>
    </row>
    <row r="57" spans="1:12" x14ac:dyDescent="0.2">
      <c r="A57" s="219">
        <f>[2]ArdiData!A57</f>
        <v>55</v>
      </c>
      <c r="B57" s="226"/>
      <c r="C57" s="11">
        <v>5129.4309137141636</v>
      </c>
      <c r="D57" s="3">
        <f t="shared" si="6"/>
        <v>5766.8600399929346</v>
      </c>
      <c r="E57" s="11">
        <f t="shared" si="7"/>
        <v>-60.93168324220138</v>
      </c>
      <c r="F57" s="11">
        <f t="shared" si="8"/>
        <v>5926.2173215626271</v>
      </c>
      <c r="G57" s="12">
        <f t="shared" si="9"/>
        <v>-796.78640784846357</v>
      </c>
      <c r="H57" s="12">
        <f t="shared" si="10"/>
        <v>796.78640784846357</v>
      </c>
      <c r="I57" s="10">
        <f>SUM(H$3:H57)/COUNT(H$3:H57)</f>
        <v>405.50203623681313</v>
      </c>
      <c r="J57" s="10">
        <f>SUM(G$3:G57)/I57</f>
        <v>-3.3378387026216267</v>
      </c>
      <c r="K57" s="11">
        <f t="shared" si="11"/>
        <v>692177.10738324083</v>
      </c>
      <c r="L57" s="10">
        <f>SQRT(SUM(K$3:K57)/(COUNT(K$3:K57)-1))</f>
        <v>551.31577126283844</v>
      </c>
    </row>
    <row r="58" spans="1:12" x14ac:dyDescent="0.2">
      <c r="A58" s="219">
        <f>[2]ArdiData!A58</f>
        <v>56</v>
      </c>
      <c r="B58" s="226"/>
      <c r="C58" s="11">
        <v>5666.7623903768372</v>
      </c>
      <c r="D58" s="3">
        <f t="shared" si="6"/>
        <v>5698.0951634759549</v>
      </c>
      <c r="E58" s="11">
        <f t="shared" si="7"/>
        <v>-65.631599207068376</v>
      </c>
      <c r="F58" s="11">
        <f t="shared" si="8"/>
        <v>5705.9283567507337</v>
      </c>
      <c r="G58" s="12">
        <f t="shared" si="9"/>
        <v>-39.165966373896481</v>
      </c>
      <c r="H58" s="12">
        <f t="shared" si="10"/>
        <v>39.165966373896481</v>
      </c>
      <c r="I58" s="10">
        <f>SUM(H$3:H58)/COUNT(H$3:H58)</f>
        <v>398.96032070354676</v>
      </c>
      <c r="J58" s="10">
        <f>SUM(G$3:G58)/I58</f>
        <v>-3.4907390150005657</v>
      </c>
      <c r="K58" s="11">
        <f t="shared" si="11"/>
        <v>5528.1273196494303</v>
      </c>
      <c r="L58" s="10">
        <f>SQRT(SUM(K$3:K58)/(COUNT(K$3:K58)-1))</f>
        <v>546.37280692430852</v>
      </c>
    </row>
    <row r="59" spans="1:12" x14ac:dyDescent="0.2">
      <c r="A59" s="219">
        <f>[2]ArdiData!A59</f>
        <v>57</v>
      </c>
      <c r="B59" s="226"/>
      <c r="C59" s="11">
        <v>6383.3602430207802</v>
      </c>
      <c r="D59" s="3">
        <f t="shared" si="6"/>
        <v>5782.6429000192647</v>
      </c>
      <c r="E59" s="11">
        <f t="shared" si="7"/>
        <v>24.476002243158554</v>
      </c>
      <c r="F59" s="11">
        <f t="shared" si="8"/>
        <v>5632.4635642688863</v>
      </c>
      <c r="G59" s="12">
        <f t="shared" si="9"/>
        <v>750.89667875189389</v>
      </c>
      <c r="H59" s="12">
        <f t="shared" si="10"/>
        <v>750.89667875189389</v>
      </c>
      <c r="I59" s="10">
        <f>SUM(H$3:H59)/COUNT(H$3:H59)</f>
        <v>405.13464277457041</v>
      </c>
      <c r="J59" s="10">
        <f>SUM(G$3:G59)/I59</f>
        <v>-1.5840898565719927</v>
      </c>
      <c r="K59" s="11">
        <f t="shared" si="11"/>
        <v>512242.61876532721</v>
      </c>
      <c r="L59" s="10">
        <f>SQRT(SUM(K$3:K59)/(COUNT(K$3:K59)-1))</f>
        <v>549.85421845272583</v>
      </c>
    </row>
    <row r="60" spans="1:12" x14ac:dyDescent="0.2">
      <c r="A60" s="219">
        <f>[2]ArdiData!A60</f>
        <v>58</v>
      </c>
      <c r="B60" s="226"/>
      <c r="C60" s="11">
        <v>6421.0416971132518</v>
      </c>
      <c r="D60" s="3">
        <f t="shared" si="6"/>
        <v>5929.9034612325886</v>
      </c>
      <c r="E60" s="11">
        <f t="shared" si="7"/>
        <v>98.146737625257728</v>
      </c>
      <c r="F60" s="11">
        <f t="shared" si="8"/>
        <v>5807.118902262423</v>
      </c>
      <c r="G60" s="12">
        <f t="shared" si="9"/>
        <v>613.92279485082872</v>
      </c>
      <c r="H60" s="12">
        <f t="shared" si="10"/>
        <v>613.92279485082872</v>
      </c>
      <c r="I60" s="10">
        <f>SUM(H$3:H60)/COUNT(H$3:H60)</f>
        <v>408.73443850002315</v>
      </c>
      <c r="J60" s="10">
        <f>SUM(G$3:G60)/I60</f>
        <v>-6.8129525411361885E-2</v>
      </c>
      <c r="K60" s="11">
        <f t="shared" si="11"/>
        <v>334936.95944895776</v>
      </c>
      <c r="L60" s="10">
        <f>SQRT(SUM(K$3:K60)/(COUNT(K$3:K60)-1))</f>
        <v>550.3740037188652</v>
      </c>
    </row>
    <row r="61" spans="1:12" x14ac:dyDescent="0.2">
      <c r="A61" s="219">
        <f>[2]ArdiData!A61</f>
        <v>59</v>
      </c>
      <c r="B61" s="226"/>
      <c r="C61" s="11">
        <v>6732.3029027761122</v>
      </c>
      <c r="D61" s="3">
        <f t="shared" si="6"/>
        <v>6168.9007396415</v>
      </c>
      <c r="E61" s="11">
        <f t="shared" si="7"/>
        <v>182.6570620954499</v>
      </c>
      <c r="F61" s="11">
        <f t="shared" si="8"/>
        <v>6028.0501988578462</v>
      </c>
      <c r="G61" s="12">
        <f t="shared" si="9"/>
        <v>704.25270391826598</v>
      </c>
      <c r="H61" s="12">
        <f t="shared" si="10"/>
        <v>704.25270391826598</v>
      </c>
      <c r="I61" s="10">
        <f>SUM(H$3:H61)/COUNT(H$3:H61)</f>
        <v>413.74322265965441</v>
      </c>
      <c r="J61" s="10">
        <f>SUM(G$3:G61)/I61</f>
        <v>1.6348444725108937</v>
      </c>
      <c r="K61" s="11">
        <f t="shared" si="11"/>
        <v>447651.04243269475</v>
      </c>
      <c r="L61" s="10">
        <f>SQRT(SUM(K$3:K61)/(COUNT(K$3:K61)-1))</f>
        <v>552.63645605743909</v>
      </c>
    </row>
    <row r="62" spans="1:12" x14ac:dyDescent="0.2">
      <c r="A62" s="219">
        <f>[2]ArdiData!A62</f>
        <v>60</v>
      </c>
      <c r="B62" s="226"/>
      <c r="C62" s="11">
        <v>5383.813648815224</v>
      </c>
      <c r="D62" s="3">
        <f t="shared" si="6"/>
        <v>6158.0089711526052</v>
      </c>
      <c r="E62" s="11">
        <f t="shared" si="7"/>
        <v>66.527763744843114</v>
      </c>
      <c r="F62" s="11">
        <f t="shared" si="8"/>
        <v>6351.5578017369498</v>
      </c>
      <c r="G62" s="12">
        <f t="shared" si="9"/>
        <v>-967.7441529217258</v>
      </c>
      <c r="H62" s="12">
        <f t="shared" si="10"/>
        <v>967.7441529217258</v>
      </c>
      <c r="I62" s="10">
        <f>SUM(H$3:H62)/COUNT(H$3:H62)</f>
        <v>422.97657149735556</v>
      </c>
      <c r="J62" s="10">
        <f>SUM(G$3:G62)/I62</f>
        <v>-0.68878125161021431</v>
      </c>
      <c r="K62" s="11">
        <f t="shared" si="11"/>
        <v>1005867.7102186256</v>
      </c>
      <c r="L62" s="10">
        <f>SQRT(SUM(K$3:K62)/(COUNT(K$3:K62)-1))</f>
        <v>563.27548064890027</v>
      </c>
    </row>
    <row r="63" spans="1:12" x14ac:dyDescent="0.2">
      <c r="A63" s="219">
        <f>[2]ArdiData!A63</f>
        <v>61</v>
      </c>
      <c r="B63" s="226"/>
      <c r="C63" s="11">
        <v>6306.029263075081</v>
      </c>
      <c r="D63" s="3">
        <f t="shared" si="6"/>
        <v>6240.8352405329751</v>
      </c>
      <c r="E63" s="11">
        <f t="shared" si="7"/>
        <v>76.306867126159204</v>
      </c>
      <c r="F63" s="11">
        <f t="shared" si="8"/>
        <v>6224.5367348974487</v>
      </c>
      <c r="G63" s="12">
        <f t="shared" si="9"/>
        <v>81.492528177632266</v>
      </c>
      <c r="H63" s="12">
        <f t="shared" si="10"/>
        <v>81.492528177632266</v>
      </c>
      <c r="I63" s="10">
        <f>SUM(H$3:H63)/COUNT(H$3:H63)</f>
        <v>417.37847242654038</v>
      </c>
      <c r="J63" s="10">
        <f>SUM(G$3:G63)/I63</f>
        <v>-0.50277102918154692</v>
      </c>
      <c r="K63" s="11">
        <f t="shared" si="11"/>
        <v>2144.3490998992256</v>
      </c>
      <c r="L63" s="10">
        <f>SQRT(SUM(K$3:K63)/(COUNT(K$3:K63)-1))</f>
        <v>558.59378663471591</v>
      </c>
    </row>
    <row r="64" spans="1:12" x14ac:dyDescent="0.2">
      <c r="A64" s="219">
        <f>[2]ArdiData!A64</f>
        <v>62</v>
      </c>
      <c r="B64" s="226"/>
      <c r="C64" s="11">
        <v>6344.73822659077</v>
      </c>
      <c r="D64" s="3">
        <f t="shared" si="6"/>
        <v>6322.6613314454617</v>
      </c>
      <c r="E64" s="11">
        <f t="shared" si="7"/>
        <v>79.61840139795558</v>
      </c>
      <c r="F64" s="11">
        <f t="shared" si="8"/>
        <v>6317.1421076591341</v>
      </c>
      <c r="G64" s="12">
        <f t="shared" si="9"/>
        <v>27.596118931635829</v>
      </c>
      <c r="H64" s="12">
        <f t="shared" si="10"/>
        <v>27.596118931635829</v>
      </c>
      <c r="I64" s="10">
        <f>SUM(H$3:H64)/COUNT(H$3:H64)</f>
        <v>411.09166027339677</v>
      </c>
      <c r="J64" s="10">
        <f>SUM(G$3:G64)/I64</f>
        <v>-0.44333102035510163</v>
      </c>
      <c r="K64" s="11">
        <f t="shared" si="11"/>
        <v>57.597354328994768</v>
      </c>
      <c r="L64" s="10">
        <f>SQRT(SUM(K$3:K64)/(COUNT(K$3:K64)-1))</f>
        <v>553.99708091449918</v>
      </c>
    </row>
    <row r="65" spans="1:12" x14ac:dyDescent="0.2">
      <c r="A65" s="219">
        <f>[2]ArdiData!A65</f>
        <v>63</v>
      </c>
      <c r="B65" s="226"/>
      <c r="C65" s="11">
        <v>6433.484918596806</v>
      </c>
      <c r="D65" s="3">
        <f t="shared" si="6"/>
        <v>6408.5207699940947</v>
      </c>
      <c r="E65" s="11">
        <f t="shared" si="7"/>
        <v>83.363023688362091</v>
      </c>
      <c r="F65" s="11">
        <f t="shared" si="8"/>
        <v>6402.2797328434172</v>
      </c>
      <c r="G65" s="12">
        <f t="shared" si="9"/>
        <v>31.205185753388832</v>
      </c>
      <c r="H65" s="12">
        <f t="shared" si="10"/>
        <v>31.205185753388832</v>
      </c>
      <c r="I65" s="10">
        <f>SUM(H$3:H65)/COUNT(H$3:H65)</f>
        <v>405.06171623339668</v>
      </c>
      <c r="J65" s="10">
        <f>SUM(G$3:G65)/I65</f>
        <v>-0.37289255785421366</v>
      </c>
      <c r="K65" s="11">
        <f t="shared" si="11"/>
        <v>15.842193134416243</v>
      </c>
      <c r="L65" s="10">
        <f>SQRT(SUM(K$3:K65)/(COUNT(K$3:K65)-1))</f>
        <v>549.51143325981809</v>
      </c>
    </row>
    <row r="66" spans="1:12" x14ac:dyDescent="0.2">
      <c r="A66" s="219">
        <f>[2]ArdiData!A66</f>
        <v>64</v>
      </c>
      <c r="B66" s="226"/>
      <c r="C66" s="11">
        <v>7126.6521295344728</v>
      </c>
      <c r="D66" s="3">
        <f t="shared" si="6"/>
        <v>6618.8374608528602</v>
      </c>
      <c r="E66" s="11">
        <f t="shared" si="7"/>
        <v>159.53522399060412</v>
      </c>
      <c r="F66" s="11">
        <f t="shared" si="8"/>
        <v>6491.8837936824566</v>
      </c>
      <c r="G66" s="12">
        <f t="shared" si="9"/>
        <v>634.76833585201621</v>
      </c>
      <c r="H66" s="12">
        <f t="shared" si="10"/>
        <v>634.76833585201621</v>
      </c>
      <c r="I66" s="10">
        <f>SUM(H$3:H66)/COUNT(H$3:H66)</f>
        <v>408.65088216493757</v>
      </c>
      <c r="J66" s="10">
        <f>SUM(G$3:G66)/I66</f>
        <v>1.1837092675152703</v>
      </c>
      <c r="K66" s="11">
        <f t="shared" si="11"/>
        <v>359499.68375592289</v>
      </c>
      <c r="L66" s="10">
        <f>SQRT(SUM(K$3:K66)/(COUNT(K$3:K66)-1))</f>
        <v>550.34180189206938</v>
      </c>
    </row>
    <row r="67" spans="1:12" x14ac:dyDescent="0.2">
      <c r="A67" s="219">
        <f>[2]ArdiData!A67</f>
        <v>65</v>
      </c>
      <c r="B67" s="226"/>
      <c r="C67" s="11">
        <v>7865.1338288516981</v>
      </c>
      <c r="D67" s="3">
        <f t="shared" ref="D67:D77" si="12">$N$1*C67+(1-$N$1)*F67</f>
        <v>6995.7249136451119</v>
      </c>
      <c r="E67" s="11">
        <f t="shared" ref="E67:E77" si="13">$N$2*(D67-D66)+(1-$N$2)*E66</f>
        <v>289.94656127159266</v>
      </c>
      <c r="F67" s="11">
        <f t="shared" ref="F67:F78" si="14">D66+E66</f>
        <v>6778.3726848434644</v>
      </c>
      <c r="G67" s="12">
        <f t="shared" ref="G67:G77" si="15">C67-F67</f>
        <v>1086.7611440082337</v>
      </c>
      <c r="H67" s="12">
        <f t="shared" ref="H67:H78" si="16">ABS(G67)</f>
        <v>1086.7611440082337</v>
      </c>
      <c r="I67" s="10">
        <f>SUM(H$3:H67)/COUNT(H$3:H67)</f>
        <v>419.0833477317575</v>
      </c>
      <c r="J67" s="10">
        <f>SUM(G$3:G67)/I67</f>
        <v>3.7474287368019708</v>
      </c>
      <c r="K67" s="11">
        <f t="shared" ref="K67:K77" si="17">(G67-$G$78)^2</f>
        <v>1105811.5222199268</v>
      </c>
      <c r="L67" s="10">
        <f>SQRT(SUM(K$3:K67)/(COUNT(K$3:K67)-1))</f>
        <v>561.62439841857861</v>
      </c>
    </row>
    <row r="68" spans="1:12" x14ac:dyDescent="0.2">
      <c r="A68" s="219">
        <f>[2]ArdiData!A68</f>
        <v>66</v>
      </c>
      <c r="B68" s="226"/>
      <c r="C68" s="11">
        <v>7010.35704845092</v>
      </c>
      <c r="D68" s="3">
        <f t="shared" si="12"/>
        <v>7230.6085896235481</v>
      </c>
      <c r="E68" s="11">
        <f t="shared" si="13"/>
        <v>256.90883009569882</v>
      </c>
      <c r="F68" s="11">
        <f t="shared" si="14"/>
        <v>7285.6714749167049</v>
      </c>
      <c r="G68" s="12">
        <f t="shared" si="15"/>
        <v>-275.31442646578489</v>
      </c>
      <c r="H68" s="12">
        <f t="shared" si="16"/>
        <v>275.31442646578489</v>
      </c>
      <c r="I68" s="10">
        <f>SUM(H$3:H68)/COUNT(H$3:H68)</f>
        <v>416.90503074287915</v>
      </c>
      <c r="J68" s="10">
        <f>SUM(G$3:G68)/I68</f>
        <v>3.1066321066731284</v>
      </c>
      <c r="K68" s="11">
        <f t="shared" si="17"/>
        <v>96410.149075691224</v>
      </c>
      <c r="L68" s="10">
        <f>SQRT(SUM(K$3:K68)/(COUNT(K$3:K68)-1))</f>
        <v>558.61664166752325</v>
      </c>
    </row>
    <row r="69" spans="1:12" x14ac:dyDescent="0.2">
      <c r="A69" s="219">
        <f>[2]ArdiData!A69</f>
        <v>67</v>
      </c>
      <c r="B69" s="226"/>
      <c r="C69" s="11">
        <v>9422.7261880039478</v>
      </c>
      <c r="D69" s="3">
        <f t="shared" si="12"/>
        <v>7874.5591733761876</v>
      </c>
      <c r="E69" s="11">
        <f t="shared" si="13"/>
        <v>489.13388228986321</v>
      </c>
      <c r="F69" s="11">
        <f t="shared" si="14"/>
        <v>7487.5174197192473</v>
      </c>
      <c r="G69" s="12">
        <f t="shared" si="15"/>
        <v>1935.2087682847005</v>
      </c>
      <c r="H69" s="12">
        <f t="shared" si="16"/>
        <v>1935.2087682847005</v>
      </c>
      <c r="I69" s="10">
        <f>SUM(H$3:H69)/COUNT(H$3:H69)</f>
        <v>439.56628055693619</v>
      </c>
      <c r="J69" s="10">
        <f>SUM(G$3:G69)/I69</f>
        <v>7.3490153023820293</v>
      </c>
      <c r="K69" s="11">
        <f t="shared" si="17"/>
        <v>3610088.7581698275</v>
      </c>
      <c r="L69" s="10">
        <f>SQRT(SUM(K$3:K69)/(COUNT(K$3:K69)-1))</f>
        <v>601.68330364956819</v>
      </c>
    </row>
    <row r="70" spans="1:12" x14ac:dyDescent="0.2">
      <c r="A70" s="219">
        <f>[2]ArdiData!A70</f>
        <v>68</v>
      </c>
      <c r="B70" s="226"/>
      <c r="C70" s="11">
        <v>7040.5275765927445</v>
      </c>
      <c r="D70" s="3">
        <f t="shared" si="12"/>
        <v>8099.0599598513891</v>
      </c>
      <c r="E70" s="11">
        <f t="shared" si="13"/>
        <v>330.3540248010662</v>
      </c>
      <c r="F70" s="11">
        <f t="shared" si="14"/>
        <v>8363.69305566605</v>
      </c>
      <c r="G70" s="12">
        <f t="shared" si="15"/>
        <v>-1323.1654790733055</v>
      </c>
      <c r="H70" s="12">
        <f t="shared" si="16"/>
        <v>1323.1654790733055</v>
      </c>
      <c r="I70" s="10">
        <f>SUM(H$3:H70)/COUNT(H$3:H70)</f>
        <v>452.56038641747102</v>
      </c>
      <c r="J70" s="10">
        <f>SUM(G$3:G70)/I70</f>
        <v>4.2142748247334074</v>
      </c>
      <c r="K70" s="11">
        <f t="shared" si="17"/>
        <v>1845117.1406041181</v>
      </c>
      <c r="L70" s="10">
        <f>SQRT(SUM(K$3:K70)/(COUNT(K$3:K70)-1))</f>
        <v>619.80523904616064</v>
      </c>
    </row>
    <row r="71" spans="1:12" x14ac:dyDescent="0.2">
      <c r="A71" s="219">
        <f>[2]ArdiData!A71</f>
        <v>69</v>
      </c>
      <c r="B71" s="226"/>
      <c r="C71" s="11">
        <v>9903.7758241325882</v>
      </c>
      <c r="D71" s="3">
        <f t="shared" si="12"/>
        <v>8724.2863525484827</v>
      </c>
      <c r="E71" s="11">
        <f t="shared" si="13"/>
        <v>507.27744553868263</v>
      </c>
      <c r="F71" s="11">
        <f t="shared" si="14"/>
        <v>8429.4139846524558</v>
      </c>
      <c r="G71" s="12">
        <f t="shared" si="15"/>
        <v>1474.3618394801324</v>
      </c>
      <c r="H71" s="12">
        <f t="shared" si="16"/>
        <v>1474.3618394801324</v>
      </c>
      <c r="I71" s="10">
        <f>SUM(H$3:H71)/COUNT(H$3:H71)</f>
        <v>467.3691031285241</v>
      </c>
      <c r="J71" s="10">
        <f>SUM(G$3:G71)/I71</f>
        <v>7.235342815763727</v>
      </c>
      <c r="K71" s="11">
        <f t="shared" si="17"/>
        <v>2071228.7922492027</v>
      </c>
      <c r="L71" s="10">
        <f>SQRT(SUM(K$3:K71)/(COUNT(K$3:K71)-1))</f>
        <v>639.50636516214115</v>
      </c>
    </row>
    <row r="72" spans="1:12" x14ac:dyDescent="0.2">
      <c r="A72" s="219">
        <f>[2]ArdiData!A72</f>
        <v>70</v>
      </c>
      <c r="B72" s="226"/>
      <c r="C72" s="11">
        <v>7385.6932650971721</v>
      </c>
      <c r="D72" s="3">
        <f t="shared" si="12"/>
        <v>8862.3896914891666</v>
      </c>
      <c r="E72" s="11">
        <f t="shared" si="13"/>
        <v>285.77298157988338</v>
      </c>
      <c r="F72" s="11">
        <f t="shared" si="14"/>
        <v>9231.5637980871652</v>
      </c>
      <c r="G72" s="12">
        <f t="shared" si="15"/>
        <v>-1845.8705329899931</v>
      </c>
      <c r="H72" s="12">
        <f t="shared" si="16"/>
        <v>1845.8705329899931</v>
      </c>
      <c r="I72" s="10">
        <f>SUM(H$3:H72)/COUNT(H$3:H72)</f>
        <v>487.06198069797369</v>
      </c>
      <c r="J72" s="10">
        <f>SUM(G$3:G72)/I72</f>
        <v>3.1529973812371912</v>
      </c>
      <c r="K72" s="11">
        <f t="shared" si="17"/>
        <v>3538371.464477106</v>
      </c>
      <c r="L72" s="10">
        <f>SQRT(SUM(K$3:K72)/(COUNT(K$3:K72)-1))</f>
        <v>674.03416739305192</v>
      </c>
    </row>
    <row r="73" spans="1:12" x14ac:dyDescent="0.2">
      <c r="A73" s="219">
        <f>[2]ArdiData!A73</f>
        <v>71</v>
      </c>
      <c r="B73" s="226"/>
      <c r="C73" s="11">
        <v>9011.9704290236768</v>
      </c>
      <c r="D73" s="3">
        <f t="shared" si="12"/>
        <v>9120.9242242599757</v>
      </c>
      <c r="E73" s="11">
        <f t="shared" si="13"/>
        <v>269.42991229443885</v>
      </c>
      <c r="F73" s="11">
        <f t="shared" si="14"/>
        <v>9148.1626730690496</v>
      </c>
      <c r="G73" s="12">
        <f t="shared" si="15"/>
        <v>-136.19224404537272</v>
      </c>
      <c r="H73" s="12">
        <f t="shared" si="16"/>
        <v>136.19224404537272</v>
      </c>
      <c r="I73" s="10">
        <f>SUM(H$3:H73)/COUNT(H$3:H73)</f>
        <v>482.1201534211765</v>
      </c>
      <c r="J73" s="10">
        <f>SUM(G$3:G73)/I73</f>
        <v>2.9028301257776583</v>
      </c>
      <c r="K73" s="11">
        <f t="shared" si="17"/>
        <v>29370.300654045848</v>
      </c>
      <c r="L73" s="10">
        <f>SQRT(SUM(K$3:K73)/(COUNT(K$3:K73)-1))</f>
        <v>669.51573499879032</v>
      </c>
    </row>
    <row r="74" spans="1:12" x14ac:dyDescent="0.2">
      <c r="A74" s="219">
        <f>[2]ArdiData!A74</f>
        <v>72</v>
      </c>
      <c r="B74" s="226"/>
      <c r="C74" s="11">
        <v>10014.199326672129</v>
      </c>
      <c r="D74" s="3">
        <f t="shared" si="12"/>
        <v>9515.1231745779587</v>
      </c>
      <c r="E74" s="11">
        <f t="shared" si="13"/>
        <v>344.29133510856531</v>
      </c>
      <c r="F74" s="11">
        <f t="shared" si="14"/>
        <v>9390.3541365544152</v>
      </c>
      <c r="G74" s="12">
        <f t="shared" si="15"/>
        <v>623.84519011771408</v>
      </c>
      <c r="H74" s="12">
        <f t="shared" si="16"/>
        <v>623.84519011771408</v>
      </c>
      <c r="I74" s="10">
        <f>SUM(H$3:H74)/COUNT(H$3:H74)</f>
        <v>484.08855670862835</v>
      </c>
      <c r="J74" s="10">
        <f>SUM(G$3:G74)/I74</f>
        <v>4.179727175271994</v>
      </c>
      <c r="K74" s="11">
        <f t="shared" si="17"/>
        <v>346520.33553307143</v>
      </c>
      <c r="L74" s="10">
        <f>SQRT(SUM(K$3:K74)/(COUNT(K$3:K74)-1))</f>
        <v>668.44482842799141</v>
      </c>
    </row>
    <row r="75" spans="1:12" x14ac:dyDescent="0.2">
      <c r="A75" s="219">
        <f>[2]ArdiData!A75</f>
        <v>73</v>
      </c>
      <c r="B75" s="226"/>
      <c r="C75" s="11">
        <v>10910.3731121908</v>
      </c>
      <c r="D75" s="3">
        <f t="shared" si="12"/>
        <v>10069.606230187379</v>
      </c>
      <c r="E75" s="11">
        <f t="shared" si="13"/>
        <v>470.40636740907826</v>
      </c>
      <c r="F75" s="11">
        <f t="shared" si="14"/>
        <v>9859.4145096865232</v>
      </c>
      <c r="G75" s="12">
        <f t="shared" si="15"/>
        <v>1050.9586025042772</v>
      </c>
      <c r="H75" s="12">
        <f t="shared" si="16"/>
        <v>1050.9586025042772</v>
      </c>
      <c r="I75" s="10">
        <f>SUM(H$3:H75)/COUNT(H$3:H75)</f>
        <v>491.85389980171948</v>
      </c>
      <c r="J75" s="10">
        <f>SUM(G$3:G75)/I75</f>
        <v>6.2504672616337391</v>
      </c>
      <c r="K75" s="11">
        <f t="shared" si="17"/>
        <v>1031795.1765479931</v>
      </c>
      <c r="L75" s="10">
        <f>SQRT(SUM(K$3:K75)/(COUNT(K$3:K75)-1))</f>
        <v>674.49474784678841</v>
      </c>
    </row>
    <row r="76" spans="1:12" x14ac:dyDescent="0.2">
      <c r="A76" s="219">
        <f>[2]ArdiData!A76</f>
        <v>74</v>
      </c>
      <c r="B76" s="226"/>
      <c r="C76" s="11">
        <v>8358.5918304447059</v>
      </c>
      <c r="D76" s="3">
        <f t="shared" si="12"/>
        <v>10103.728444166107</v>
      </c>
      <c r="E76" s="11">
        <f t="shared" si="13"/>
        <v>208.63587535086799</v>
      </c>
      <c r="F76" s="11">
        <f t="shared" si="14"/>
        <v>10540.012597596457</v>
      </c>
      <c r="G76" s="12">
        <f t="shared" si="15"/>
        <v>-2181.4207671517506</v>
      </c>
      <c r="H76" s="12">
        <f t="shared" si="16"/>
        <v>2181.4207671517506</v>
      </c>
      <c r="I76" s="10">
        <f>SUM(H$3:H76)/COUNT(H$3:H76)</f>
        <v>514.68588449563879</v>
      </c>
      <c r="J76" s="10">
        <f>SUM(G$3:G76)/I76</f>
        <v>1.734836641072375</v>
      </c>
      <c r="K76" s="11">
        <f t="shared" si="17"/>
        <v>4913342.9490877027</v>
      </c>
      <c r="L76" s="10">
        <f>SQRT(SUM(K$3:K76)/(COUNT(K$3:K76)-1))</f>
        <v>718.34332635563669</v>
      </c>
    </row>
    <row r="77" spans="1:12" x14ac:dyDescent="0.2">
      <c r="A77" s="219">
        <f>[2]ArdiData!A77</f>
        <v>75</v>
      </c>
      <c r="B77" s="226"/>
      <c r="C77" s="11">
        <v>12058.374214587961</v>
      </c>
      <c r="D77" s="3">
        <f t="shared" si="12"/>
        <v>10661.566298531172</v>
      </c>
      <c r="E77" s="11">
        <f t="shared" si="13"/>
        <v>418.15706275938624</v>
      </c>
      <c r="F77" s="11">
        <f t="shared" si="14"/>
        <v>10312.364319516975</v>
      </c>
      <c r="G77" s="12">
        <f t="shared" si="15"/>
        <v>1746.0098950709853</v>
      </c>
      <c r="H77" s="12">
        <f t="shared" si="16"/>
        <v>1746.0098950709853</v>
      </c>
      <c r="I77" s="10">
        <f>SUM(H$3:H77)/COUNT(H$3:H77)</f>
        <v>531.10353796997686</v>
      </c>
      <c r="J77" s="10">
        <f>SUM(G$3:G77)/I77</f>
        <v>4.9687219863444785</v>
      </c>
      <c r="K77" s="11">
        <f t="shared" si="17"/>
        <v>2926920.4152448913</v>
      </c>
      <c r="L77" s="10">
        <f>SQRT(SUM(K$3:K77)/(COUNT(K$3:K77)-1))</f>
        <v>740.67328059241811</v>
      </c>
    </row>
    <row r="78" spans="1:12" x14ac:dyDescent="0.2">
      <c r="A78" s="219">
        <f>[2]ArdiData!A78</f>
        <v>0</v>
      </c>
      <c r="B78" s="9"/>
      <c r="C78" s="9"/>
      <c r="E78" s="11"/>
      <c r="F78" s="11">
        <f t="shared" si="14"/>
        <v>11079.723361290558</v>
      </c>
      <c r="G78" s="9">
        <f>AVERAGE(G3:G77)</f>
        <v>35.185411015156845</v>
      </c>
      <c r="H78" s="9">
        <f t="shared" si="16"/>
        <v>35.185411015156845</v>
      </c>
      <c r="I78" s="10">
        <f>1.25*I77</f>
        <v>663.8794224624711</v>
      </c>
      <c r="J78" s="10"/>
      <c r="K78" s="9"/>
      <c r="L78" s="9"/>
    </row>
  </sheetData>
  <conditionalFormatting sqref="M6:M15">
    <cfRule type="expression" dxfId="1" priority="2">
      <formula>$N5=$N$16</formula>
    </cfRule>
  </conditionalFormatting>
  <conditionalFormatting sqref="N6:W15">
    <cfRule type="cellIs" dxfId="0" priority="1" operator="equal">
      <formula>$X$16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EF8D-ABAB-4E90-8F1D-F2DD574F6DC1}">
  <dimension ref="A1:BH300"/>
  <sheetViews>
    <sheetView zoomScale="96" zoomScaleNormal="96" workbookViewId="0">
      <selection activeCell="E10" sqref="E10"/>
    </sheetView>
  </sheetViews>
  <sheetFormatPr defaultColWidth="9.140625" defaultRowHeight="15" x14ac:dyDescent="0.25"/>
  <cols>
    <col min="1" max="1" width="4.5703125" style="22" bestFit="1" customWidth="1"/>
    <col min="2" max="2" width="11.140625" style="22" customWidth="1"/>
    <col min="3" max="4" width="9.7109375" style="22" customWidth="1"/>
    <col min="5" max="5" width="11" style="22" bestFit="1" customWidth="1"/>
    <col min="6" max="6" width="12.42578125" style="22" bestFit="1" customWidth="1"/>
    <col min="7" max="8" width="9.7109375" style="22" customWidth="1"/>
    <col min="9" max="9" width="9.140625" style="22"/>
    <col min="10" max="10" width="4.28515625" style="22" customWidth="1"/>
    <col min="11" max="11" width="32.28515625" style="22" bestFit="1" customWidth="1"/>
    <col min="12" max="12" width="46.5703125" style="22" bestFit="1" customWidth="1"/>
    <col min="13" max="13" width="32.28515625" style="22" bestFit="1" customWidth="1"/>
    <col min="14" max="14" width="31.42578125" bestFit="1" customWidth="1"/>
    <col min="15" max="15" width="10" style="22" bestFit="1" customWidth="1"/>
    <col min="16" max="16" width="9.28515625" style="22" bestFit="1" customWidth="1"/>
    <col min="17" max="17" width="10.42578125" style="22" bestFit="1" customWidth="1"/>
    <col min="18" max="18" width="9.28515625" style="22" bestFit="1" customWidth="1"/>
    <col min="19" max="20" width="9.140625" style="22"/>
    <col min="21" max="21" width="9.28515625" style="22" bestFit="1" customWidth="1"/>
    <col min="22" max="32" width="9.140625" style="22"/>
    <col min="33" max="33" width="9.140625" style="22" customWidth="1"/>
    <col min="34" max="36" width="9.140625" style="22"/>
    <col min="37" max="37" width="9.28515625" bestFit="1" customWidth="1"/>
    <col min="38" max="38" width="14" customWidth="1"/>
    <col min="39" max="39" width="12.28515625" customWidth="1"/>
    <col min="40" max="40" width="10.140625" bestFit="1" customWidth="1"/>
    <col min="41" max="41" width="10.140625" customWidth="1"/>
    <col min="42" max="44" width="9.28515625" customWidth="1"/>
    <col min="45" max="45" width="9.28515625" bestFit="1" customWidth="1"/>
    <col min="46" max="46" width="12.28515625" bestFit="1" customWidth="1"/>
    <col min="56" max="16384" width="9.140625" style="22"/>
  </cols>
  <sheetData>
    <row r="1" spans="1:60" ht="16.5" thickBot="1" x14ac:dyDescent="0.35">
      <c r="O1" s="22" t="s">
        <v>27</v>
      </c>
      <c r="P1" s="68" t="s">
        <v>61</v>
      </c>
      <c r="Q1" s="35">
        <v>4</v>
      </c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60" customFormat="1" ht="17.25" thickBot="1" x14ac:dyDescent="0.35">
      <c r="A2" s="60" t="s">
        <v>4</v>
      </c>
      <c r="B2" s="61" t="s">
        <v>64</v>
      </c>
      <c r="C2" s="43" t="s">
        <v>19</v>
      </c>
      <c r="D2" s="43" t="s">
        <v>5</v>
      </c>
      <c r="E2" s="43" t="s">
        <v>45</v>
      </c>
      <c r="F2" s="1" t="s">
        <v>36</v>
      </c>
      <c r="G2" s="1" t="s">
        <v>3</v>
      </c>
      <c r="H2" s="1" t="s">
        <v>39</v>
      </c>
      <c r="I2" s="1" t="s">
        <v>41</v>
      </c>
      <c r="J2" s="22"/>
      <c r="K2" s="22"/>
      <c r="L2" s="22"/>
      <c r="M2" s="22"/>
      <c r="O2" s="22" t="s">
        <v>59</v>
      </c>
      <c r="P2" s="69" t="s">
        <v>60</v>
      </c>
      <c r="Q2" s="142">
        <v>0.4</v>
      </c>
      <c r="R2" s="22"/>
      <c r="S2" s="22"/>
    </row>
    <row r="3" spans="1:60" customFormat="1" ht="16.5" x14ac:dyDescent="0.3">
      <c r="A3" s="43">
        <v>0</v>
      </c>
      <c r="B3" s="26"/>
      <c r="C3" s="138">
        <f>AVERAGE(B4:B7)</f>
        <v>28.5</v>
      </c>
      <c r="D3" s="139">
        <f>(AVERAGE(B28:B31)-AVERAGE(B4:B7))/(A31-Q1-1)</f>
        <v>1.5543478260869565</v>
      </c>
      <c r="E3" s="62"/>
      <c r="F3" s="31"/>
      <c r="G3" s="31"/>
      <c r="H3" s="31"/>
      <c r="I3" s="31"/>
      <c r="J3" s="1"/>
      <c r="K3" s="143" t="str">
        <f ca="1">_xlfn.FORMULATEXT(C3)</f>
        <v>=AVERAGE(B4:B7)</v>
      </c>
      <c r="L3" s="145" t="str">
        <f ca="1">_xlfn.FORMULATEXT(D3)</f>
        <v>=(AVERAGE(B28:B31)-AVERAGE(B4:B7))/(A31-Q1-1)</v>
      </c>
      <c r="M3" s="70"/>
      <c r="O3" s="22" t="s">
        <v>57</v>
      </c>
      <c r="P3" s="69" t="s">
        <v>62</v>
      </c>
      <c r="Q3" s="70">
        <v>0.7</v>
      </c>
      <c r="R3" s="22"/>
      <c r="S3" s="22"/>
      <c r="AH3" s="22"/>
      <c r="AI3" s="22"/>
      <c r="AJ3" s="22"/>
      <c r="BD3" s="22"/>
      <c r="BE3" s="22"/>
      <c r="BF3" s="22"/>
      <c r="BG3" s="22"/>
      <c r="BH3" s="22"/>
    </row>
    <row r="4" spans="1:60" customFormat="1" ht="16.5" x14ac:dyDescent="0.3">
      <c r="A4" s="29">
        <v>1</v>
      </c>
      <c r="B4" s="66">
        <v>21</v>
      </c>
      <c r="C4" s="148">
        <f t="shared" ref="C4:C31" si="0">(1-$Q$2)*SUM(C3:D3)+$Q$2*B4/E4</f>
        <v>29.432608695652171</v>
      </c>
      <c r="D4" s="150">
        <f t="shared" ref="D4:D31" si="1">(1-$Q$3)*D3+$Q$3*(C4-C3)</f>
        <v>1.1191304347826065</v>
      </c>
      <c r="E4" s="153">
        <f>B4/AVERAGE($B$4:$B$7)</f>
        <v>0.73684210526315785</v>
      </c>
      <c r="F4" s="141">
        <f>(C3+D3)*E4</f>
        <v>22.145308924485125</v>
      </c>
      <c r="G4" s="48"/>
      <c r="H4" s="48"/>
      <c r="I4" s="48"/>
      <c r="J4" s="72"/>
      <c r="K4" s="147" t="str">
        <f ca="1">_xlfn.FORMULATEXT(C4)</f>
        <v>=(1-$Q$2)*SUM(C3:D3)+$Q$2*B4/E4</v>
      </c>
      <c r="L4" s="151" t="str">
        <f ca="1">_xlfn.FORMULATEXT(D4)</f>
        <v>=(1-$Q$3)*D3+$Q$3*(C4-C3)</v>
      </c>
      <c r="M4" s="152" t="str">
        <f ca="1">_xlfn.FORMULATEXT(E4)</f>
        <v>=B4/AVERAGE($B$4:$B$7)</v>
      </c>
      <c r="O4" s="22" t="s">
        <v>58</v>
      </c>
      <c r="P4" s="69" t="s">
        <v>63</v>
      </c>
      <c r="Q4" s="67">
        <v>0.5</v>
      </c>
      <c r="R4" s="22"/>
      <c r="S4" s="22"/>
      <c r="AH4" s="22"/>
      <c r="AI4" s="22"/>
      <c r="AJ4" s="22"/>
      <c r="BD4" s="22"/>
      <c r="BE4" s="22"/>
      <c r="BF4" s="22"/>
      <c r="BG4" s="22"/>
      <c r="BH4" s="22"/>
    </row>
    <row r="5" spans="1:60" customFormat="1" ht="16.5" x14ac:dyDescent="0.3">
      <c r="A5" s="29">
        <v>2</v>
      </c>
      <c r="B5" s="66">
        <v>27</v>
      </c>
      <c r="C5" s="63">
        <f>(1-$Q$2)*(C4+D4)+$Q$2*B5/E5</f>
        <v>29.731043478260865</v>
      </c>
      <c r="D5" s="71">
        <f>(1-$Q$3)*D4+$Q$3*(C5-C4)</f>
        <v>0.54464347826086823</v>
      </c>
      <c r="E5" s="153">
        <f t="shared" ref="E5:E6" si="2">B5/AVERAGE($B$4:$B$7)</f>
        <v>0.94736842105263153</v>
      </c>
      <c r="F5" s="141">
        <f t="shared" ref="F5:F31" si="3">(C4+D4)*E5</f>
        <v>28.943752860411891</v>
      </c>
      <c r="G5" s="48"/>
      <c r="H5" s="48"/>
      <c r="I5" s="48"/>
      <c r="J5" s="72"/>
      <c r="K5" s="146"/>
      <c r="L5" s="146"/>
      <c r="M5" s="152" t="str">
        <f t="shared" ref="M5:M8" ca="1" si="4">_xlfn.FORMULATEXT(E5)</f>
        <v>=B5/AVERAGE($B$4:$B$7)</v>
      </c>
      <c r="O5" s="72"/>
      <c r="AH5" s="22"/>
      <c r="AI5" s="22"/>
      <c r="AJ5" s="22"/>
      <c r="BD5" s="22"/>
      <c r="BE5" s="22"/>
      <c r="BF5" s="22"/>
      <c r="BG5" s="22"/>
      <c r="BH5" s="22"/>
    </row>
    <row r="6" spans="1:60" customFormat="1" ht="16.5" x14ac:dyDescent="0.3">
      <c r="A6" s="29">
        <v>3</v>
      </c>
      <c r="B6" s="66">
        <v>38</v>
      </c>
      <c r="C6" s="63">
        <f t="shared" ref="C6:C10" si="5">(1-$Q$2)*(C5+D5)+$Q$2*B6/E6</f>
        <v>29.565412173913042</v>
      </c>
      <c r="D6" s="71">
        <f t="shared" ref="D6:D8" si="6">(1-$Q$3)*D5+$Q$3*(C6-C5)</f>
        <v>4.745113043478455E-2</v>
      </c>
      <c r="E6" s="153">
        <f t="shared" si="2"/>
        <v>1.3333333333333333</v>
      </c>
      <c r="F6" s="141">
        <f t="shared" si="3"/>
        <v>40.367582608695642</v>
      </c>
      <c r="G6" s="48"/>
      <c r="H6" s="48"/>
      <c r="I6" s="48"/>
      <c r="J6" s="72"/>
      <c r="K6" s="146"/>
      <c r="L6" s="146"/>
      <c r="M6" s="152" t="str">
        <f t="shared" ca="1" si="4"/>
        <v>=B6/AVERAGE($B$4:$B$7)</v>
      </c>
      <c r="O6" s="72"/>
      <c r="AH6" s="22"/>
      <c r="AI6" s="22"/>
      <c r="AJ6" s="22"/>
      <c r="BD6" s="22"/>
      <c r="BE6" s="22"/>
      <c r="BF6" s="22"/>
      <c r="BG6" s="22"/>
      <c r="BH6" s="22"/>
    </row>
    <row r="7" spans="1:60" customFormat="1" ht="16.5" x14ac:dyDescent="0.3">
      <c r="A7" s="29">
        <v>4</v>
      </c>
      <c r="B7" s="66">
        <v>28</v>
      </c>
      <c r="C7" s="63">
        <f t="shared" si="5"/>
        <v>29.167717982608696</v>
      </c>
      <c r="D7" s="71">
        <f t="shared" si="6"/>
        <v>-0.26415059478260694</v>
      </c>
      <c r="E7" s="153">
        <f>B7/AVERAGE($B$4:$B$7)</f>
        <v>0.98245614035087714</v>
      </c>
      <c r="F7" s="141">
        <f t="shared" si="3"/>
        <v>29.093339386727688</v>
      </c>
      <c r="G7" s="48"/>
      <c r="H7" s="48"/>
      <c r="I7" s="48"/>
      <c r="K7" s="70"/>
      <c r="L7" s="70"/>
      <c r="M7" s="152" t="str">
        <f t="shared" ca="1" si="4"/>
        <v>=B7/AVERAGE($B$4:$B$7)</v>
      </c>
      <c r="AH7" s="22"/>
      <c r="AI7" s="22"/>
      <c r="AJ7" s="22"/>
      <c r="BD7" s="22"/>
      <c r="BE7" s="22"/>
      <c r="BF7" s="22"/>
      <c r="BG7" s="22"/>
      <c r="BH7" s="22"/>
    </row>
    <row r="8" spans="1:60" customFormat="1" ht="16.5" x14ac:dyDescent="0.3">
      <c r="A8" s="29">
        <v>5</v>
      </c>
      <c r="B8" s="66">
        <v>38</v>
      </c>
      <c r="C8" s="63">
        <f t="shared" si="5"/>
        <v>38.518305273980232</v>
      </c>
      <c r="D8" s="71">
        <f t="shared" si="6"/>
        <v>6.466165925525293</v>
      </c>
      <c r="E8" s="140">
        <f t="shared" ref="E8:E31" si="7">(1-$Q$4)*E4+$Q$4*B4/SUM(C3:D3)</f>
        <v>0.71778814123917378</v>
      </c>
      <c r="F8" s="141">
        <f t="shared" si="3"/>
        <v>20.746637910488889</v>
      </c>
      <c r="G8" s="48">
        <f t="shared" ref="G8:G31" si="8">B8-F8</f>
        <v>17.253362089511111</v>
      </c>
      <c r="H8" s="48">
        <f>G8^2</f>
        <v>297.6785033917792</v>
      </c>
      <c r="I8" s="48">
        <f>AVERAGE(H$8:H8)</f>
        <v>297.6785033917792</v>
      </c>
      <c r="K8" s="70"/>
      <c r="L8" s="70"/>
      <c r="M8" s="144" t="str">
        <f t="shared" ca="1" si="4"/>
        <v>=(1-$Q$4)*E4+$Q$4*B4/SUM(C3:D3)</v>
      </c>
      <c r="AH8" s="22"/>
      <c r="AI8" s="22"/>
      <c r="AJ8" s="22"/>
      <c r="BD8" s="22"/>
      <c r="BE8" s="22"/>
      <c r="BF8" s="22"/>
      <c r="BG8" s="22"/>
      <c r="BH8" s="22"/>
    </row>
    <row r="9" spans="1:60" customFormat="1" ht="16.5" x14ac:dyDescent="0.3">
      <c r="A9" s="29">
        <v>6</v>
      </c>
      <c r="B9" s="66">
        <v>49</v>
      </c>
      <c r="C9" s="63">
        <f t="shared" si="5"/>
        <v>48.398402307291704</v>
      </c>
      <c r="D9" s="71">
        <f t="shared" si="1"/>
        <v>8.8559177009756187</v>
      </c>
      <c r="E9" s="141">
        <f>(1-$Q$4)*E5+$Q$4*B5/SUM(C4:D4)</f>
        <v>0.91555758285266176</v>
      </c>
      <c r="F9" s="141">
        <f t="shared" si="3"/>
        <v>41.185873717324462</v>
      </c>
      <c r="G9" s="48">
        <f t="shared" si="8"/>
        <v>7.814126282675538</v>
      </c>
      <c r="H9" s="48">
        <f t="shared" ref="H9:H31" si="9">G9^2</f>
        <v>61.060569561600623</v>
      </c>
      <c r="I9" s="48">
        <f>AVERAGE(H$8:H9)</f>
        <v>179.36953647668992</v>
      </c>
      <c r="K9" s="70"/>
      <c r="L9" s="70"/>
      <c r="M9" s="70"/>
      <c r="AH9" s="22"/>
      <c r="AI9" s="22"/>
      <c r="AJ9" s="22"/>
      <c r="BD9" s="22"/>
      <c r="BE9" s="22"/>
      <c r="BF9" s="22"/>
      <c r="BG9" s="22"/>
      <c r="BH9" s="22"/>
    </row>
    <row r="10" spans="1:60" customFormat="1" ht="16.5" x14ac:dyDescent="0.3">
      <c r="A10" s="29">
        <v>7</v>
      </c>
      <c r="B10" s="66">
        <v>47</v>
      </c>
      <c r="C10" s="63">
        <f t="shared" si="5"/>
        <v>48.878570626111639</v>
      </c>
      <c r="D10" s="71">
        <f t="shared" si="1"/>
        <v>2.99289313346664</v>
      </c>
      <c r="E10" s="141">
        <f t="shared" si="7"/>
        <v>1.2942329388138682</v>
      </c>
      <c r="F10" s="141">
        <f t="shared" si="3"/>
        <v>74.100426844089469</v>
      </c>
      <c r="G10" s="48">
        <f t="shared" si="8"/>
        <v>-27.100426844089469</v>
      </c>
      <c r="H10" s="48">
        <f t="shared" si="9"/>
        <v>734.43313513184512</v>
      </c>
      <c r="I10" s="48">
        <f>AVERAGE(H$8:H10)</f>
        <v>364.39073602840836</v>
      </c>
      <c r="K10" s="70"/>
      <c r="L10" s="70"/>
      <c r="M10" s="70"/>
      <c r="AH10" s="22"/>
      <c r="AI10" s="22"/>
      <c r="AJ10" s="22"/>
      <c r="BD10" s="22"/>
      <c r="BE10" s="22"/>
      <c r="BF10" s="22"/>
      <c r="BG10" s="22"/>
      <c r="BH10" s="22"/>
    </row>
    <row r="11" spans="1:60" customFormat="1" ht="16.5" x14ac:dyDescent="0.3">
      <c r="A11" s="29">
        <v>8</v>
      </c>
      <c r="B11" s="66">
        <v>35</v>
      </c>
      <c r="C11" s="63">
        <f t="shared" si="0"/>
        <v>45.645766239323059</v>
      </c>
      <c r="D11" s="71">
        <f t="shared" si="1"/>
        <v>-1.3650951307120134</v>
      </c>
      <c r="E11" s="141">
        <f t="shared" si="7"/>
        <v>0.96399559204977514</v>
      </c>
      <c r="F11" s="141">
        <f t="shared" si="3"/>
        <v>50.003862417403113</v>
      </c>
      <c r="G11" s="48">
        <f t="shared" si="8"/>
        <v>-15.003862417403113</v>
      </c>
      <c r="H11" s="48">
        <f t="shared" si="9"/>
        <v>225.11588744036158</v>
      </c>
      <c r="I11" s="48">
        <f>AVERAGE(H$8:H11)</f>
        <v>329.57202388139666</v>
      </c>
      <c r="K11" s="70"/>
      <c r="L11" s="70"/>
      <c r="M11" s="70"/>
      <c r="AH11" s="22"/>
      <c r="AI11" s="22"/>
      <c r="AJ11" s="22"/>
      <c r="BD11" s="22"/>
      <c r="BE11" s="22"/>
      <c r="BF11" s="22"/>
      <c r="BG11" s="22"/>
      <c r="BH11" s="22"/>
    </row>
    <row r="12" spans="1:60" customFormat="1" ht="16.5" x14ac:dyDescent="0.3">
      <c r="A12" s="29">
        <v>9</v>
      </c>
      <c r="B12" s="66">
        <v>42</v>
      </c>
      <c r="C12" s="63">
        <f t="shared" si="0"/>
        <v>43.09972937207867</v>
      </c>
      <c r="D12" s="71">
        <f t="shared" si="1"/>
        <v>-2.1917543462846765</v>
      </c>
      <c r="E12" s="141">
        <f t="shared" si="7"/>
        <v>1.0162523733183264</v>
      </c>
      <c r="F12" s="141">
        <f t="shared" si="3"/>
        <v>45.000337106254221</v>
      </c>
      <c r="G12" s="48">
        <f t="shared" si="8"/>
        <v>-3.0003371062542215</v>
      </c>
      <c r="H12" s="48">
        <f t="shared" si="9"/>
        <v>9.0020227511659545</v>
      </c>
      <c r="I12" s="48">
        <f>AVERAGE(H$8:H12)</f>
        <v>265.45802365535053</v>
      </c>
      <c r="K12" s="70"/>
      <c r="L12" s="70"/>
      <c r="M12" s="70"/>
      <c r="AH12" s="22"/>
      <c r="AI12" s="22"/>
      <c r="AJ12" s="22"/>
      <c r="BD12" s="22"/>
      <c r="BE12" s="22"/>
      <c r="BF12" s="22"/>
      <c r="BG12" s="22"/>
      <c r="BH12" s="22"/>
    </row>
    <row r="13" spans="1:60" customFormat="1" ht="16.5" x14ac:dyDescent="0.3">
      <c r="A13" s="29">
        <v>10</v>
      </c>
      <c r="B13" s="66">
        <v>55</v>
      </c>
      <c r="C13" s="63">
        <f t="shared" si="0"/>
        <v>46.49186665025821</v>
      </c>
      <c r="D13" s="71">
        <f t="shared" si="1"/>
        <v>1.7169697908402748</v>
      </c>
      <c r="E13" s="141">
        <f t="shared" si="7"/>
        <v>1.0024111800420117</v>
      </c>
      <c r="F13" s="141">
        <f t="shared" si="3"/>
        <v>41.006611518735305</v>
      </c>
      <c r="G13" s="48">
        <f t="shared" si="8"/>
        <v>13.993388481264695</v>
      </c>
      <c r="H13" s="48">
        <f t="shared" si="9"/>
        <v>195.81492118759144</v>
      </c>
      <c r="I13" s="48">
        <f>AVERAGE(H$8:H13)</f>
        <v>253.85083991072398</v>
      </c>
      <c r="K13" s="70"/>
      <c r="L13" s="70"/>
      <c r="M13" s="70"/>
      <c r="AH13" s="22"/>
      <c r="AI13" s="22"/>
      <c r="AJ13" s="22"/>
      <c r="BD13" s="22"/>
      <c r="BE13" s="22"/>
      <c r="BF13" s="22"/>
      <c r="BG13" s="22"/>
      <c r="BH13" s="22"/>
    </row>
    <row r="14" spans="1:60" customFormat="1" ht="16.5" x14ac:dyDescent="0.3">
      <c r="A14" s="29">
        <v>11</v>
      </c>
      <c r="B14" s="66">
        <v>56</v>
      </c>
      <c r="C14" s="63">
        <f t="shared" si="0"/>
        <v>50.106016113277491</v>
      </c>
      <c r="D14" s="71">
        <f t="shared" si="1"/>
        <v>3.044995561365579</v>
      </c>
      <c r="E14" s="141">
        <f t="shared" si="7"/>
        <v>1.0575658467920237</v>
      </c>
      <c r="F14" s="141">
        <f t="shared" si="3"/>
        <v>50.984018933688489</v>
      </c>
      <c r="G14" s="48">
        <f t="shared" si="8"/>
        <v>5.015981066311511</v>
      </c>
      <c r="H14" s="48">
        <f t="shared" si="9"/>
        <v>25.160066057595564</v>
      </c>
      <c r="I14" s="48">
        <f>AVERAGE(H$8:H14)</f>
        <v>221.18072936027707</v>
      </c>
      <c r="AH14" s="22"/>
      <c r="AI14" s="22"/>
      <c r="AJ14" s="22"/>
      <c r="BD14" s="22"/>
      <c r="BE14" s="22"/>
      <c r="BF14" s="22"/>
      <c r="BG14" s="22"/>
      <c r="BH14" s="22"/>
    </row>
    <row r="15" spans="1:60" customFormat="1" ht="16.5" x14ac:dyDescent="0.3">
      <c r="A15" s="29">
        <v>12</v>
      </c>
      <c r="B15" s="66">
        <v>32</v>
      </c>
      <c r="C15" s="63">
        <f t="shared" si="0"/>
        <v>47.512361528417188</v>
      </c>
      <c r="D15" s="71">
        <f t="shared" si="1"/>
        <v>-0.90205954099253816</v>
      </c>
      <c r="E15" s="141">
        <f t="shared" si="7"/>
        <v>0.81937019178205484</v>
      </c>
      <c r="F15" s="141">
        <f t="shared" si="3"/>
        <v>43.550354629262529</v>
      </c>
      <c r="G15" s="48">
        <f t="shared" si="8"/>
        <v>-11.550354629262529</v>
      </c>
      <c r="H15" s="48">
        <f t="shared" si="9"/>
        <v>133.41069206172634</v>
      </c>
      <c r="I15" s="48">
        <f>AVERAGE(H$8:H15)</f>
        <v>210.20947469795823</v>
      </c>
      <c r="AH15" s="22"/>
      <c r="AI15" s="22"/>
      <c r="AJ15" s="22"/>
      <c r="BD15" s="22"/>
      <c r="BE15" s="22"/>
      <c r="BF15" s="22"/>
      <c r="BG15" s="22"/>
      <c r="BH15" s="22"/>
    </row>
    <row r="16" spans="1:60" customFormat="1" ht="16.5" x14ac:dyDescent="0.3">
      <c r="A16" s="29">
        <v>13</v>
      </c>
      <c r="B16" s="66">
        <v>35</v>
      </c>
      <c r="C16" s="63">
        <f t="shared" si="0"/>
        <v>42.217376443880767</v>
      </c>
      <c r="D16" s="71">
        <f t="shared" si="1"/>
        <v>-3.9771074214732556</v>
      </c>
      <c r="E16" s="141">
        <f t="shared" si="7"/>
        <v>0.9823737415006758</v>
      </c>
      <c r="F16" s="141">
        <f t="shared" si="3"/>
        <v>45.788736755862736</v>
      </c>
      <c r="G16" s="48">
        <f t="shared" si="8"/>
        <v>-10.788736755862736</v>
      </c>
      <c r="H16" s="48">
        <f t="shared" si="9"/>
        <v>116.39684078730359</v>
      </c>
      <c r="I16" s="48">
        <f>AVERAGE(H$8:H16)</f>
        <v>199.78584870788549</v>
      </c>
      <c r="AH16" s="22"/>
      <c r="AI16" s="22"/>
      <c r="AJ16" s="22"/>
      <c r="BD16" s="22"/>
      <c r="BE16" s="22"/>
      <c r="BF16" s="22"/>
      <c r="BG16" s="22"/>
      <c r="BH16" s="22"/>
    </row>
    <row r="17" spans="1:60" customFormat="1" ht="16.5" x14ac:dyDescent="0.3">
      <c r="A17" s="29">
        <v>14</v>
      </c>
      <c r="B17" s="66">
        <v>55</v>
      </c>
      <c r="C17" s="63">
        <f t="shared" si="0"/>
        <v>41.692358778827852</v>
      </c>
      <c r="D17" s="71">
        <f t="shared" si="1"/>
        <v>-1.5606445919790166</v>
      </c>
      <c r="E17" s="141">
        <f t="shared" si="7"/>
        <v>1.1734461490479493</v>
      </c>
      <c r="F17" s="141">
        <f t="shared" si="3"/>
        <v>44.872896422901682</v>
      </c>
      <c r="G17" s="48">
        <f t="shared" si="8"/>
        <v>10.127103577098318</v>
      </c>
      <c r="H17" s="48">
        <f t="shared" si="9"/>
        <v>102.55822686127753</v>
      </c>
      <c r="I17" s="48">
        <f>AVERAGE(H$8:H17)</f>
        <v>190.06308652322468</v>
      </c>
      <c r="AH17" s="26"/>
      <c r="AI17" s="26"/>
      <c r="AJ17" s="26"/>
      <c r="AK17" s="6"/>
      <c r="AL17" s="6"/>
      <c r="AM17" s="6"/>
      <c r="AN17" s="6"/>
      <c r="AO17" s="6"/>
      <c r="AP17" s="6"/>
      <c r="AQ17" s="6"/>
      <c r="BD17" s="22"/>
      <c r="BE17" s="22"/>
      <c r="BF17" s="22"/>
      <c r="BG17" s="22"/>
      <c r="BH17" s="22"/>
    </row>
    <row r="18" spans="1:60" ht="16.5" x14ac:dyDescent="0.3">
      <c r="A18" s="29">
        <v>15</v>
      </c>
      <c r="B18" s="66">
        <v>50</v>
      </c>
      <c r="C18" s="63">
        <f t="shared" si="0"/>
        <v>42.103715534188595</v>
      </c>
      <c r="D18" s="71">
        <f t="shared" si="1"/>
        <v>-0.18024364884118538</v>
      </c>
      <c r="E18" s="141">
        <f t="shared" si="7"/>
        <v>1.1095893080141175</v>
      </c>
      <c r="F18" s="141">
        <f t="shared" si="3"/>
        <v>44.529720974005947</v>
      </c>
      <c r="G18" s="48">
        <f t="shared" si="8"/>
        <v>5.4702790259940528</v>
      </c>
      <c r="H18" s="48">
        <f t="shared" si="9"/>
        <v>29.923952622230441</v>
      </c>
      <c r="I18" s="48">
        <f>AVERAGE(H$8:H18)</f>
        <v>175.50498344131611</v>
      </c>
      <c r="J18"/>
      <c r="K18"/>
      <c r="L18"/>
      <c r="M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 s="26"/>
      <c r="AI18" s="26"/>
      <c r="AJ18" s="26"/>
      <c r="AK18" s="6"/>
      <c r="AL18" s="6"/>
      <c r="AM18" s="6"/>
      <c r="AN18" s="6"/>
      <c r="AO18" s="6"/>
      <c r="AP18" s="6"/>
      <c r="AQ18" s="6"/>
    </row>
    <row r="19" spans="1:60" ht="16.5" x14ac:dyDescent="0.3">
      <c r="A19" s="29">
        <v>16</v>
      </c>
      <c r="B19" s="66">
        <v>46</v>
      </c>
      <c r="C19" s="63">
        <f t="shared" si="0"/>
        <v>51.043534467672117</v>
      </c>
      <c r="D19" s="71">
        <f t="shared" si="1"/>
        <v>6.2038001587861089</v>
      </c>
      <c r="E19" s="141">
        <f t="shared" si="7"/>
        <v>0.7107141731537876</v>
      </c>
      <c r="F19" s="141">
        <f t="shared" si="3"/>
        <v>29.795605656730746</v>
      </c>
      <c r="G19" s="48">
        <f t="shared" si="8"/>
        <v>16.204394343269254</v>
      </c>
      <c r="H19" s="48">
        <f t="shared" si="9"/>
        <v>262.58239603217658</v>
      </c>
      <c r="I19" s="48">
        <f>AVERAGE(H$8:H19)</f>
        <v>182.76143449055448</v>
      </c>
      <c r="J19"/>
      <c r="K19"/>
      <c r="L19"/>
      <c r="M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 s="26"/>
      <c r="AI19" s="26"/>
      <c r="AJ19" s="26"/>
      <c r="AK19" s="6"/>
      <c r="AL19" s="6"/>
      <c r="AM19" s="6"/>
      <c r="AN19" s="6"/>
      <c r="AO19" s="6"/>
      <c r="AP19" s="6"/>
      <c r="AQ19" s="6"/>
    </row>
    <row r="20" spans="1:60" ht="16.5" x14ac:dyDescent="0.3">
      <c r="A20" s="29">
        <v>17</v>
      </c>
      <c r="B20" s="66">
        <v>44</v>
      </c>
      <c r="C20" s="63">
        <f t="shared" si="0"/>
        <v>54.656709778345942</v>
      </c>
      <c r="D20" s="71">
        <f t="shared" si="1"/>
        <v>4.3903627651075094</v>
      </c>
      <c r="E20" s="141">
        <f t="shared" si="7"/>
        <v>0.86664034892607378</v>
      </c>
      <c r="F20" s="141">
        <f t="shared" si="3"/>
        <v>49.612850055761463</v>
      </c>
      <c r="G20" s="48">
        <f t="shared" si="8"/>
        <v>-5.6128500557614629</v>
      </c>
      <c r="H20" s="48">
        <f t="shared" si="9"/>
        <v>31.504085748461456</v>
      </c>
      <c r="I20" s="48">
        <f>AVERAGE(H$8:H20)</f>
        <v>171.12625381808579</v>
      </c>
      <c r="J20"/>
      <c r="K20"/>
      <c r="L20"/>
      <c r="M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 s="26"/>
      <c r="AI20" s="26"/>
      <c r="AJ20" s="26"/>
      <c r="AK20" s="6"/>
      <c r="AL20" s="6"/>
      <c r="AM20" s="6"/>
      <c r="AN20" s="6"/>
      <c r="AO20" s="6"/>
      <c r="AP20" s="6"/>
      <c r="AQ20" s="6"/>
    </row>
    <row r="21" spans="1:60" ht="16.5" x14ac:dyDescent="0.3">
      <c r="A21" s="29">
        <v>18</v>
      </c>
      <c r="B21" s="66">
        <v>45</v>
      </c>
      <c r="C21" s="63">
        <f t="shared" si="0"/>
        <v>49.21226035259312</v>
      </c>
      <c r="D21" s="71">
        <f t="shared" si="1"/>
        <v>-2.4940057684947217</v>
      </c>
      <c r="E21" s="141">
        <f t="shared" si="7"/>
        <v>1.3058602747326322</v>
      </c>
      <c r="F21" s="141">
        <f t="shared" si="3"/>
        <v>77.107226373751786</v>
      </c>
      <c r="G21" s="48">
        <f t="shared" si="8"/>
        <v>-32.107226373751786</v>
      </c>
      <c r="H21" s="48">
        <f t="shared" si="9"/>
        <v>1030.8739854153423</v>
      </c>
      <c r="I21" s="48">
        <f>AVERAGE(H$8:H21)</f>
        <v>232.53680607503267</v>
      </c>
      <c r="J21"/>
      <c r="K21"/>
      <c r="L21"/>
      <c r="M21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6"/>
      <c r="AL21" s="6"/>
      <c r="AM21" s="6"/>
      <c r="AN21" s="6"/>
      <c r="AO21" s="6"/>
      <c r="AP21" s="6"/>
      <c r="AQ21" s="6"/>
    </row>
    <row r="22" spans="1:60" ht="16.5" x14ac:dyDescent="0.3">
      <c r="A22" s="29">
        <v>19</v>
      </c>
      <c r="B22" s="66">
        <v>59</v>
      </c>
      <c r="C22" s="63">
        <f t="shared" si="0"/>
        <v>48.069273927141055</v>
      </c>
      <c r="D22" s="71">
        <f t="shared" si="1"/>
        <v>-1.5482922283648621</v>
      </c>
      <c r="E22" s="141">
        <f t="shared" si="7"/>
        <v>1.1777433744031711</v>
      </c>
      <c r="F22" s="141">
        <f t="shared" si="3"/>
        <v>55.022114800102464</v>
      </c>
      <c r="G22" s="48">
        <f t="shared" si="8"/>
        <v>3.9778851998975355</v>
      </c>
      <c r="H22" s="48">
        <f t="shared" si="9"/>
        <v>15.823570663563856</v>
      </c>
      <c r="I22" s="48">
        <f>AVERAGE(H$8:H22)</f>
        <v>218.08925704760139</v>
      </c>
      <c r="J22"/>
      <c r="K22"/>
      <c r="L22"/>
      <c r="M22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6"/>
      <c r="AL22" s="6"/>
      <c r="AM22" s="6"/>
      <c r="AN22" s="6"/>
      <c r="AO22" s="6"/>
      <c r="AP22" s="6"/>
      <c r="AQ22" s="6"/>
    </row>
    <row r="23" spans="1:60" ht="16.5" x14ac:dyDescent="0.3">
      <c r="A23" s="29">
        <v>20</v>
      </c>
      <c r="B23" s="66">
        <v>49</v>
      </c>
      <c r="C23" s="63">
        <f t="shared" si="0"/>
        <v>49.594586064693146</v>
      </c>
      <c r="D23" s="71">
        <f t="shared" si="1"/>
        <v>0.60323082777700554</v>
      </c>
      <c r="E23" s="141">
        <f t="shared" si="7"/>
        <v>0.90397577118633055</v>
      </c>
      <c r="F23" s="141">
        <f t="shared" si="3"/>
        <v>42.053840307496372</v>
      </c>
      <c r="G23" s="48">
        <f t="shared" si="8"/>
        <v>6.9461596925036275</v>
      </c>
      <c r="H23" s="48">
        <f t="shared" si="9"/>
        <v>48.249134473762091</v>
      </c>
      <c r="I23" s="48">
        <f>AVERAGE(H$8:H23)</f>
        <v>207.47424938673646</v>
      </c>
      <c r="J23"/>
      <c r="K23"/>
      <c r="L23"/>
      <c r="M23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6"/>
      <c r="AL23" s="6"/>
      <c r="AM23" s="6"/>
      <c r="AN23" s="6"/>
      <c r="AO23" s="6"/>
      <c r="AP23" s="6"/>
      <c r="AQ23" s="6"/>
    </row>
    <row r="24" spans="1:60" ht="16.5" x14ac:dyDescent="0.3">
      <c r="A24" s="29">
        <v>21</v>
      </c>
      <c r="B24" s="66">
        <v>39</v>
      </c>
      <c r="C24" s="63">
        <f t="shared" si="0"/>
        <v>49.198515600485862</v>
      </c>
      <c r="D24" s="71">
        <f t="shared" si="1"/>
        <v>-9.6280076611997167E-2</v>
      </c>
      <c r="E24" s="141">
        <f t="shared" si="7"/>
        <v>0.81761754207938298</v>
      </c>
      <c r="F24" s="141">
        <f t="shared" si="3"/>
        <v>41.042615665372374</v>
      </c>
      <c r="G24" s="48">
        <f t="shared" si="8"/>
        <v>-2.0426156653723737</v>
      </c>
      <c r="H24" s="48">
        <f t="shared" si="9"/>
        <v>4.1722787564246246</v>
      </c>
      <c r="I24" s="48">
        <f>AVERAGE(H$8:H24)</f>
        <v>195.51530993789459</v>
      </c>
      <c r="J24"/>
      <c r="K24"/>
      <c r="L24"/>
      <c r="M24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6"/>
      <c r="AL24" s="6"/>
      <c r="AM24" s="6"/>
      <c r="AN24" s="6"/>
      <c r="AO24" s="6"/>
      <c r="AP24" s="6"/>
      <c r="AQ24" s="6"/>
    </row>
    <row r="25" spans="1:60" ht="16.5" x14ac:dyDescent="0.3">
      <c r="A25" s="29">
        <v>22</v>
      </c>
      <c r="B25" s="66">
        <v>73</v>
      </c>
      <c r="C25" s="63">
        <f t="shared" si="0"/>
        <v>57.701676787859739</v>
      </c>
      <c r="D25" s="71">
        <f t="shared" si="1"/>
        <v>5.9233288081781144</v>
      </c>
      <c r="E25" s="141">
        <f t="shared" si="7"/>
        <v>1.0339820512176248</v>
      </c>
      <c r="F25" s="141">
        <f t="shared" si="3"/>
        <v>50.77083020634602</v>
      </c>
      <c r="G25" s="48">
        <f t="shared" si="8"/>
        <v>22.22916979365398</v>
      </c>
      <c r="H25" s="48">
        <f t="shared" si="9"/>
        <v>494.13598971509856</v>
      </c>
      <c r="I25" s="48">
        <f>AVERAGE(H$8:H25)</f>
        <v>212.1053477032948</v>
      </c>
      <c r="J25"/>
      <c r="K25"/>
      <c r="L25"/>
      <c r="M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6"/>
      <c r="AL25" s="6"/>
      <c r="AM25" s="6"/>
      <c r="AN25" s="6"/>
      <c r="AO25" s="6"/>
      <c r="AP25" s="6"/>
      <c r="AQ25" s="6"/>
    </row>
    <row r="26" spans="1:60" ht="16.5" x14ac:dyDescent="0.3">
      <c r="A26" s="29">
        <v>23</v>
      </c>
      <c r="B26" s="66">
        <v>75</v>
      </c>
      <c r="C26" s="63">
        <f t="shared" si="0"/>
        <v>62.758789406146207</v>
      </c>
      <c r="D26" s="71">
        <f t="shared" si="1"/>
        <v>5.3169774752539611</v>
      </c>
      <c r="E26" s="141">
        <f t="shared" si="7"/>
        <v>1.2203165102716877</v>
      </c>
      <c r="F26" s="141">
        <f t="shared" si="3"/>
        <v>77.642644794973521</v>
      </c>
      <c r="G26" s="48">
        <f t="shared" si="8"/>
        <v>-2.6426447949735206</v>
      </c>
      <c r="H26" s="48">
        <f t="shared" si="9"/>
        <v>6.9835715124006406</v>
      </c>
      <c r="I26" s="48">
        <f>AVERAGE(H$8:H26)</f>
        <v>201.30946474587932</v>
      </c>
      <c r="J26"/>
      <c r="K26"/>
      <c r="L26"/>
      <c r="M26"/>
      <c r="O26" s="26"/>
      <c r="P26" s="26"/>
      <c r="Q26" s="26"/>
      <c r="R26" s="26"/>
      <c r="S26" s="26"/>
      <c r="T26" s="26"/>
      <c r="U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6"/>
      <c r="AL26" s="6"/>
      <c r="AM26" s="6"/>
      <c r="AN26" s="6"/>
      <c r="AO26" s="6"/>
      <c r="AP26" s="6"/>
      <c r="AQ26" s="6"/>
    </row>
    <row r="27" spans="1:60" ht="16.5" x14ac:dyDescent="0.3">
      <c r="A27" s="29">
        <v>24</v>
      </c>
      <c r="B27" s="66">
        <v>56</v>
      </c>
      <c r="C27" s="63">
        <f t="shared" si="0"/>
        <v>63.734554900316624</v>
      </c>
      <c r="D27" s="71">
        <f t="shared" si="1"/>
        <v>2.278129088495481</v>
      </c>
      <c r="E27" s="141">
        <f t="shared" si="7"/>
        <v>0.97863197403131863</v>
      </c>
      <c r="F27" s="141">
        <f t="shared" si="3"/>
        <v>66.621122126840518</v>
      </c>
      <c r="G27" s="48">
        <f t="shared" si="8"/>
        <v>-10.621122126840518</v>
      </c>
      <c r="H27" s="48">
        <f t="shared" si="9"/>
        <v>112.80823523326126</v>
      </c>
      <c r="I27" s="48">
        <f>AVERAGE(H$8:H27)</f>
        <v>196.88440327024841</v>
      </c>
      <c r="J27"/>
      <c r="K27"/>
      <c r="L27"/>
      <c r="M27"/>
      <c r="O27" s="26"/>
      <c r="P27" s="26"/>
      <c r="Q27" s="26"/>
      <c r="R27" s="26"/>
      <c r="S27" s="26"/>
      <c r="T27" s="26"/>
      <c r="U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6"/>
      <c r="AL27" s="6"/>
      <c r="AM27" s="6"/>
      <c r="AN27" s="6"/>
      <c r="AO27" s="6"/>
      <c r="AP27" s="6"/>
      <c r="AQ27" s="6"/>
    </row>
    <row r="28" spans="1:60" ht="16.5" x14ac:dyDescent="0.3">
      <c r="A28" s="29">
        <v>25</v>
      </c>
      <c r="B28" s="66">
        <v>60</v>
      </c>
      <c r="C28" s="63">
        <f t="shared" si="0"/>
        <v>69.710264970590771</v>
      </c>
      <c r="D28" s="71">
        <f t="shared" si="1"/>
        <v>4.8664357757405465</v>
      </c>
      <c r="E28" s="141">
        <f t="shared" si="7"/>
        <v>0.79727187973964508</v>
      </c>
      <c r="F28" s="141">
        <f t="shared" si="3"/>
        <v>52.630056650419398</v>
      </c>
      <c r="G28" s="48">
        <f t="shared" si="8"/>
        <v>7.3699433495806019</v>
      </c>
      <c r="H28" s="48">
        <f t="shared" si="9"/>
        <v>54.316064976027342</v>
      </c>
      <c r="I28" s="48">
        <f>AVERAGE(H$8:H28)</f>
        <v>190.09543478004741</v>
      </c>
      <c r="J28"/>
      <c r="K28"/>
      <c r="L28"/>
      <c r="M28"/>
      <c r="O28" s="26"/>
      <c r="P28" s="26"/>
      <c r="Q28" s="26"/>
      <c r="R28" s="26"/>
      <c r="S28" s="26"/>
      <c r="T28" s="26"/>
      <c r="U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6"/>
      <c r="AL28" s="6"/>
      <c r="AM28" s="6"/>
      <c r="AN28" s="6"/>
      <c r="AO28" s="6"/>
      <c r="AP28" s="6"/>
      <c r="AQ28" s="6"/>
    </row>
    <row r="29" spans="1:60" ht="16.5" x14ac:dyDescent="0.3">
      <c r="A29" s="29">
        <v>26</v>
      </c>
      <c r="B29" s="66">
        <v>71</v>
      </c>
      <c r="C29" s="63">
        <f t="shared" si="0"/>
        <v>67.279657598865072</v>
      </c>
      <c r="D29" s="71">
        <f t="shared" si="1"/>
        <v>-0.24149442748582528</v>
      </c>
      <c r="E29" s="141">
        <f t="shared" si="7"/>
        <v>1.2603380364033296</v>
      </c>
      <c r="F29" s="141">
        <f t="shared" si="3"/>
        <v>93.991852580069931</v>
      </c>
      <c r="G29" s="48">
        <f t="shared" si="8"/>
        <v>-22.991852580069931</v>
      </c>
      <c r="H29" s="48">
        <f t="shared" si="9"/>
        <v>528.62528506366834</v>
      </c>
      <c r="I29" s="48">
        <f>AVERAGE(H$8:H29)</f>
        <v>205.48315524748475</v>
      </c>
      <c r="J29"/>
      <c r="K29"/>
      <c r="L29"/>
      <c r="M29"/>
      <c r="O29" s="26"/>
      <c r="P29" s="26"/>
      <c r="Q29" s="26"/>
      <c r="R29" s="26"/>
      <c r="S29" s="26"/>
      <c r="T29" s="26"/>
      <c r="U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6"/>
      <c r="AL29" s="6"/>
      <c r="AM29" s="6"/>
      <c r="AN29" s="6"/>
      <c r="AO29" s="6"/>
      <c r="AP29" s="6"/>
      <c r="AQ29" s="6"/>
    </row>
    <row r="30" spans="1:60" ht="16.5" x14ac:dyDescent="0.3">
      <c r="A30" s="29">
        <v>27</v>
      </c>
      <c r="B30" s="66">
        <v>84</v>
      </c>
      <c r="C30" s="63">
        <f t="shared" si="0"/>
        <v>68.233421317150217</v>
      </c>
      <c r="D30" s="71">
        <f t="shared" si="1"/>
        <v>0.59518627455385431</v>
      </c>
      <c r="E30" s="141">
        <f t="shared" si="7"/>
        <v>1.1995491659687894</v>
      </c>
      <c r="F30" s="141">
        <f t="shared" si="3"/>
        <v>80.415572720307594</v>
      </c>
      <c r="G30" s="48">
        <f t="shared" si="8"/>
        <v>3.5844272796924059</v>
      </c>
      <c r="H30" s="48">
        <f t="shared" si="9"/>
        <v>12.848118923403101</v>
      </c>
      <c r="I30" s="48">
        <f>AVERAGE(H$8:H30)</f>
        <v>197.10771888556815</v>
      </c>
      <c r="J30"/>
      <c r="K30"/>
      <c r="L30"/>
      <c r="M30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6"/>
      <c r="AL30" s="6"/>
      <c r="AM30" s="6"/>
      <c r="AN30" s="6"/>
      <c r="AO30" s="6"/>
      <c r="AP30" s="6"/>
      <c r="AQ30" s="6"/>
    </row>
    <row r="31" spans="1:60" ht="16.5" x14ac:dyDescent="0.3">
      <c r="A31" s="29">
        <v>28</v>
      </c>
      <c r="B31" s="66">
        <v>42</v>
      </c>
      <c r="C31" s="63">
        <f t="shared" si="0"/>
        <v>59.950930949763084</v>
      </c>
      <c r="D31" s="71">
        <f t="shared" si="1"/>
        <v>-5.6191873748048362</v>
      </c>
      <c r="E31" s="141">
        <f t="shared" si="7"/>
        <v>0.9006224075335636</v>
      </c>
      <c r="F31" s="141">
        <f t="shared" si="3"/>
        <v>61.988586276423433</v>
      </c>
      <c r="G31" s="48">
        <f t="shared" si="8"/>
        <v>-19.988586276423433</v>
      </c>
      <c r="H31" s="48">
        <f t="shared" si="9"/>
        <v>399.54358133002319</v>
      </c>
      <c r="I31" s="48">
        <f>AVERAGE(H$8:H31)</f>
        <v>205.54254648742042</v>
      </c>
      <c r="J31"/>
      <c r="K31"/>
      <c r="L31"/>
      <c r="M31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6"/>
      <c r="AL31" s="6"/>
      <c r="AM31" s="6"/>
      <c r="AN31" s="6"/>
      <c r="AO31" s="6"/>
      <c r="AP31" s="6"/>
      <c r="AQ31" s="6"/>
    </row>
    <row r="32" spans="1:60" ht="16.5" x14ac:dyDescent="0.3">
      <c r="A32" s="29">
        <v>29</v>
      </c>
      <c r="B32"/>
      <c r="C32" s="6"/>
      <c r="D32" s="6"/>
      <c r="E32" s="154">
        <f>(1-$Q$4)*E28+$Q$4*B28/(C27+D27)</f>
        <v>0.85309405590528675</v>
      </c>
      <c r="F32" s="155">
        <f>($C$31+$D$31*(A32-$A$31))*E32</f>
        <v>46.350087490767137</v>
      </c>
      <c r="G32" s="43"/>
      <c r="H32" s="43"/>
      <c r="I32"/>
      <c r="J32"/>
      <c r="K32"/>
      <c r="L32"/>
      <c r="M32" s="149" t="str">
        <f t="shared" ref="M32:M35" ca="1" si="10">_xlfn.FORMULATEXT(E32)</f>
        <v>=(1-$Q$4)*E28+$Q$4*B28/(C27+D27)</v>
      </c>
      <c r="N32" s="156" t="str">
        <f ca="1">_xlfn.FORMULATEXT(F32)</f>
        <v>=($C$31+$D$31*(A32-$A$31))*E32</v>
      </c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6"/>
      <c r="AL32" s="6"/>
      <c r="AM32" s="6"/>
      <c r="AN32" s="6"/>
      <c r="AO32" s="6"/>
      <c r="AP32" s="6"/>
      <c r="AQ32" s="6"/>
      <c r="BD32"/>
      <c r="BE32"/>
      <c r="BF32"/>
      <c r="BG32"/>
      <c r="BH32"/>
    </row>
    <row r="33" spans="1:60" ht="16.5" x14ac:dyDescent="0.3">
      <c r="A33" s="29">
        <v>30</v>
      </c>
      <c r="B33"/>
      <c r="C33"/>
      <c r="D33"/>
      <c r="E33" s="154">
        <f>(1-$Q$4)*E29+$Q$4*B29/(C28+D28)</f>
        <v>1.106189003595647</v>
      </c>
      <c r="F33" s="155">
        <f t="shared" ref="F33:F35" si="11">($C$31+$D$31*(A33-$A$31))*E33</f>
        <v>53.88529400564466</v>
      </c>
      <c r="G33" s="26"/>
      <c r="H33" s="26"/>
      <c r="I33" s="26"/>
      <c r="J33" s="26"/>
      <c r="K33" s="26"/>
      <c r="L33" s="26"/>
      <c r="M33" s="149" t="str">
        <f t="shared" ca="1" si="10"/>
        <v>=(1-$Q$4)*E29+$Q$4*B29/(C28+D28)</v>
      </c>
      <c r="N33" s="156" t="str">
        <f t="shared" ref="N33:N35" ca="1" si="12">_xlfn.FORMULATEXT(F33)</f>
        <v>=($C$31+$D$31*(A33-$A$31))*E33</v>
      </c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6"/>
      <c r="AL33" s="6"/>
      <c r="AM33" s="6"/>
      <c r="AN33" s="6"/>
      <c r="AO33" s="6"/>
      <c r="AP33" s="6"/>
      <c r="AQ33" s="6"/>
      <c r="BD33"/>
      <c r="BE33"/>
      <c r="BF33"/>
      <c r="BG33"/>
      <c r="BH33"/>
    </row>
    <row r="34" spans="1:60" ht="16.5" x14ac:dyDescent="0.3">
      <c r="A34" s="29">
        <v>31</v>
      </c>
      <c r="E34" s="154">
        <f>(1-$Q$4)*E30+$Q$4*B30/(C29+D29)</f>
        <v>1.2262833954742205</v>
      </c>
      <c r="F34" s="155">
        <f t="shared" si="11"/>
        <v>52.844682645571375</v>
      </c>
      <c r="M34" s="149" t="str">
        <f t="shared" ca="1" si="10"/>
        <v>=(1-$Q$4)*E30+$Q$4*B30/(C29+D29)</v>
      </c>
      <c r="N34" s="156" t="str">
        <f t="shared" ca="1" si="12"/>
        <v>=($C$31+$D$31*(A34-$A$31))*E34</v>
      </c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6"/>
      <c r="AL34" s="6"/>
      <c r="AM34" s="6"/>
      <c r="AN34" s="6"/>
      <c r="AO34" s="6"/>
      <c r="AP34" s="6"/>
      <c r="AQ34" s="6"/>
      <c r="BD34"/>
      <c r="BE34"/>
      <c r="BF34"/>
      <c r="BG34"/>
      <c r="BH34"/>
    </row>
    <row r="35" spans="1:60" ht="16.5" x14ac:dyDescent="0.3">
      <c r="A35" s="29">
        <v>32</v>
      </c>
      <c r="E35" s="154">
        <f>(1-$Q$4)*E31+$Q$4*B31/(C30+D30)</f>
        <v>0.75541689651264421</v>
      </c>
      <c r="F35" s="155">
        <f t="shared" si="11"/>
        <v>28.308629850721452</v>
      </c>
      <c r="M35" s="149" t="str">
        <f t="shared" ca="1" si="10"/>
        <v>=(1-$Q$4)*E31+$Q$4*B31/(C30+D30)</v>
      </c>
      <c r="N35" s="156" t="str">
        <f t="shared" ca="1" si="12"/>
        <v>=($C$31+$D$31*(A35-$A$31))*E35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6"/>
      <c r="AL35" s="6"/>
      <c r="AM35" s="6"/>
      <c r="AN35" s="6"/>
      <c r="AO35" s="6"/>
      <c r="AP35" s="6"/>
      <c r="AQ35" s="6"/>
      <c r="BD35"/>
      <c r="BE35"/>
      <c r="BF35"/>
      <c r="BG35"/>
      <c r="BH35"/>
    </row>
    <row r="36" spans="1:60" x14ac:dyDescent="0.25">
      <c r="A3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6"/>
      <c r="AL36" s="6"/>
      <c r="AM36" s="6"/>
      <c r="AN36" s="6"/>
      <c r="AO36" s="6"/>
      <c r="AP36" s="6"/>
      <c r="AQ36" s="6"/>
      <c r="BD36"/>
      <c r="BE36"/>
      <c r="BF36"/>
      <c r="BG36"/>
      <c r="BH36"/>
    </row>
    <row r="37" spans="1:60" x14ac:dyDescent="0.25">
      <c r="A37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6"/>
      <c r="AL37" s="6"/>
      <c r="AM37" s="6"/>
      <c r="AN37" s="6"/>
      <c r="AO37" s="6"/>
      <c r="AP37" s="6"/>
      <c r="AQ37" s="6"/>
      <c r="BD37"/>
      <c r="BE37"/>
      <c r="BF37"/>
      <c r="BG37"/>
      <c r="BH37"/>
    </row>
    <row r="38" spans="1:60" x14ac:dyDescent="0.25">
      <c r="A38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6"/>
      <c r="AL38" s="6"/>
      <c r="AM38" s="6"/>
      <c r="AN38" s="6"/>
      <c r="AO38" s="6"/>
      <c r="AP38" s="6"/>
      <c r="AQ38" s="6"/>
      <c r="BD38"/>
      <c r="BE38"/>
      <c r="BF38"/>
      <c r="BG38"/>
      <c r="BH38"/>
    </row>
    <row r="39" spans="1:60" x14ac:dyDescent="0.25">
      <c r="A39"/>
      <c r="B39" t="s">
        <v>49</v>
      </c>
      <c r="C39"/>
      <c r="D39"/>
      <c r="E39"/>
      <c r="F39" s="26"/>
      <c r="G39" s="26"/>
      <c r="H39" s="26"/>
      <c r="I39" s="26"/>
      <c r="J39" s="26"/>
      <c r="K39" s="26"/>
      <c r="L39" s="26"/>
      <c r="M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6"/>
      <c r="AL39" s="6"/>
      <c r="AM39" s="6"/>
      <c r="AN39" s="6"/>
      <c r="AO39" s="6"/>
      <c r="AP39" s="6"/>
      <c r="AQ39" s="6"/>
      <c r="BD39"/>
      <c r="BE39"/>
      <c r="BF39"/>
      <c r="BG39"/>
      <c r="BH39"/>
    </row>
    <row r="40" spans="1:60" x14ac:dyDescent="0.25">
      <c r="A40"/>
      <c r="B40" s="22" t="s">
        <v>50</v>
      </c>
      <c r="C40"/>
      <c r="D40"/>
      <c r="E40"/>
      <c r="F40" s="26"/>
      <c r="G40" s="26"/>
      <c r="H40" s="26"/>
      <c r="I40" s="26"/>
      <c r="J40" s="26"/>
      <c r="K40" s="26"/>
      <c r="L40" s="26"/>
      <c r="M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6"/>
      <c r="AL40" s="6"/>
      <c r="AM40" s="6"/>
      <c r="AN40" s="6"/>
      <c r="AO40" s="6"/>
      <c r="AP40" s="6"/>
      <c r="AQ40" s="6"/>
      <c r="BD40"/>
      <c r="BE40"/>
      <c r="BF40"/>
      <c r="BG40"/>
      <c r="BH40"/>
    </row>
    <row r="41" spans="1:60" x14ac:dyDescent="0.25">
      <c r="A41"/>
      <c r="B41" s="22" t="s">
        <v>51</v>
      </c>
      <c r="C41" s="47"/>
      <c r="D41"/>
      <c r="E41"/>
      <c r="F41" s="26"/>
      <c r="G41" s="26"/>
      <c r="H41" s="26"/>
      <c r="I41" s="26"/>
      <c r="J41" s="26"/>
      <c r="K41" s="26"/>
      <c r="L41" s="26"/>
      <c r="M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6"/>
      <c r="AL41" s="6"/>
      <c r="AM41" s="6"/>
      <c r="AN41" s="6"/>
      <c r="AO41" s="6"/>
      <c r="AP41" s="6"/>
      <c r="AQ41" s="6"/>
      <c r="BD41"/>
      <c r="BE41"/>
      <c r="BF41"/>
      <c r="BG41"/>
      <c r="BH41"/>
    </row>
    <row r="42" spans="1:60" x14ac:dyDescent="0.25">
      <c r="A42"/>
      <c r="B42" s="22" t="s">
        <v>52</v>
      </c>
      <c r="C42"/>
      <c r="D42"/>
      <c r="E42"/>
      <c r="F42" s="26"/>
      <c r="G42" s="26"/>
      <c r="H42" s="26"/>
      <c r="I42" s="26"/>
      <c r="J42" s="26"/>
      <c r="K42" s="26"/>
      <c r="L42" s="26"/>
      <c r="M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6"/>
      <c r="AL42" s="6"/>
      <c r="AM42" s="6"/>
      <c r="AN42" s="6"/>
      <c r="AO42" s="6"/>
      <c r="AP42" s="6"/>
      <c r="AQ42" s="6"/>
      <c r="BD42"/>
      <c r="BE42"/>
      <c r="BF42"/>
      <c r="BG42"/>
      <c r="BH42"/>
    </row>
    <row r="43" spans="1:60" x14ac:dyDescent="0.25">
      <c r="A43"/>
      <c r="B43" s="57" t="s">
        <v>46</v>
      </c>
      <c r="C43"/>
      <c r="D43"/>
      <c r="E43"/>
      <c r="F43" s="26"/>
      <c r="G43" s="26"/>
      <c r="H43" s="26"/>
      <c r="I43" s="26"/>
      <c r="J43" s="26"/>
      <c r="K43" s="26"/>
      <c r="L43" s="26"/>
      <c r="M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6"/>
      <c r="AL43" s="6"/>
      <c r="AM43" s="6"/>
      <c r="AN43" s="6"/>
      <c r="AO43" s="6"/>
      <c r="AP43" s="6"/>
      <c r="AQ43" s="6"/>
      <c r="BD43"/>
      <c r="BE43"/>
      <c r="BF43"/>
      <c r="BG43"/>
      <c r="BH43"/>
    </row>
    <row r="44" spans="1:60" x14ac:dyDescent="0.25">
      <c r="A44"/>
      <c r="B44" t="s">
        <v>53</v>
      </c>
      <c r="C44"/>
      <c r="D44"/>
      <c r="E44"/>
      <c r="F44" s="26"/>
      <c r="G44" s="26"/>
      <c r="H44" s="26"/>
      <c r="I44" s="26"/>
      <c r="J44" s="26"/>
      <c r="K44" s="26"/>
      <c r="L44" s="26"/>
      <c r="M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6"/>
      <c r="AL44" s="6"/>
      <c r="AM44" s="6"/>
      <c r="AN44" s="6"/>
      <c r="AO44" s="6"/>
      <c r="AP44" s="6"/>
      <c r="AQ44" s="6"/>
      <c r="BD44"/>
      <c r="BE44"/>
      <c r="BF44"/>
      <c r="BG44"/>
      <c r="BH44"/>
    </row>
    <row r="45" spans="1:60" x14ac:dyDescent="0.25">
      <c r="A45"/>
      <c r="B45" t="s">
        <v>47</v>
      </c>
      <c r="C45"/>
      <c r="D45"/>
      <c r="E45"/>
      <c r="F45" s="26"/>
      <c r="G45" s="26"/>
      <c r="H45" s="26"/>
      <c r="I45" s="26"/>
      <c r="J45" s="26"/>
      <c r="K45" s="26"/>
      <c r="L45" s="26"/>
      <c r="M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6"/>
      <c r="AL45" s="6"/>
      <c r="AM45" s="6"/>
      <c r="AN45" s="6"/>
      <c r="AO45" s="6"/>
      <c r="AP45" s="6"/>
      <c r="AQ45" s="6"/>
      <c r="BD45"/>
      <c r="BE45"/>
      <c r="BF45"/>
      <c r="BG45"/>
      <c r="BH45"/>
    </row>
    <row r="46" spans="1:60" x14ac:dyDescent="0.25">
      <c r="A46"/>
      <c r="B46" t="s">
        <v>54</v>
      </c>
      <c r="C46"/>
      <c r="D46"/>
      <c r="E46"/>
      <c r="F46" s="26"/>
      <c r="G46" s="26"/>
      <c r="H46" s="26"/>
      <c r="I46" s="26"/>
      <c r="J46" s="26"/>
      <c r="K46" s="26"/>
      <c r="L46" s="26"/>
      <c r="M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6"/>
      <c r="AL46" s="6"/>
      <c r="AM46" s="6"/>
      <c r="AN46" s="6"/>
      <c r="AO46" s="6"/>
      <c r="AP46" s="6"/>
      <c r="AQ46" s="6"/>
      <c r="BD46"/>
      <c r="BE46"/>
      <c r="BF46"/>
      <c r="BG46"/>
      <c r="BH46"/>
    </row>
    <row r="47" spans="1:60" x14ac:dyDescent="0.25">
      <c r="A47"/>
      <c r="B47" t="s">
        <v>55</v>
      </c>
      <c r="C47"/>
      <c r="D47"/>
      <c r="E47"/>
      <c r="F47" s="26"/>
      <c r="G47" s="26"/>
      <c r="H47" s="26"/>
      <c r="I47" s="26"/>
      <c r="J47" s="26"/>
      <c r="K47" s="26"/>
      <c r="L47" s="26"/>
      <c r="M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6"/>
      <c r="AL47" s="6"/>
      <c r="AM47" s="6"/>
      <c r="AN47" s="6"/>
      <c r="AO47" s="6"/>
      <c r="AP47" s="6"/>
      <c r="AQ47" s="6"/>
      <c r="BD47"/>
      <c r="BE47"/>
      <c r="BF47"/>
      <c r="BG47"/>
      <c r="BH47"/>
    </row>
    <row r="48" spans="1:60" x14ac:dyDescent="0.25">
      <c r="A48"/>
      <c r="B48" t="s">
        <v>56</v>
      </c>
      <c r="C48"/>
      <c r="D48"/>
      <c r="E48"/>
      <c r="F48" s="26"/>
      <c r="G48" s="26"/>
      <c r="H48" s="26"/>
      <c r="I48" s="26"/>
      <c r="J48" s="26"/>
      <c r="K48" s="26"/>
      <c r="L48" s="26"/>
      <c r="M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6"/>
      <c r="AL48" s="6"/>
      <c r="AM48" s="6"/>
      <c r="AN48" s="6"/>
      <c r="AO48" s="6"/>
      <c r="AP48" s="6"/>
      <c r="AQ48" s="6"/>
      <c r="BD48"/>
      <c r="BE48"/>
      <c r="BF48"/>
      <c r="BG48"/>
      <c r="BH48"/>
    </row>
    <row r="49" spans="1:60" x14ac:dyDescent="0.25">
      <c r="A49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6"/>
      <c r="AL49" s="6"/>
      <c r="AM49" s="6"/>
      <c r="AN49" s="6"/>
      <c r="AO49" s="6"/>
      <c r="AP49" s="6"/>
      <c r="AQ49" s="6"/>
      <c r="BD49"/>
      <c r="BE49"/>
      <c r="BF49"/>
      <c r="BG49"/>
      <c r="BH49"/>
    </row>
    <row r="50" spans="1:60" x14ac:dyDescent="0.25">
      <c r="A50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6"/>
      <c r="AL50" s="6"/>
      <c r="AM50" s="6"/>
      <c r="AN50" s="6"/>
      <c r="AO50" s="6"/>
      <c r="AP50" s="6"/>
      <c r="AQ50" s="6"/>
      <c r="BD50"/>
      <c r="BE50"/>
      <c r="BF50"/>
      <c r="BG50"/>
      <c r="BH50"/>
    </row>
    <row r="51" spans="1:60" x14ac:dyDescent="0.25">
      <c r="A51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6"/>
      <c r="AL51" s="6"/>
      <c r="AM51" s="6"/>
      <c r="AN51" s="6"/>
      <c r="AO51" s="6"/>
      <c r="AP51" s="6"/>
      <c r="AQ51" s="6"/>
      <c r="BD51"/>
      <c r="BE51"/>
      <c r="BF51"/>
      <c r="BG51"/>
      <c r="BH51"/>
    </row>
    <row r="52" spans="1:60" x14ac:dyDescent="0.25">
      <c r="A52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6"/>
      <c r="AL52" s="6"/>
      <c r="AM52" s="6"/>
      <c r="AN52" s="6"/>
      <c r="AO52" s="6"/>
      <c r="AP52" s="6"/>
      <c r="AQ52" s="6"/>
      <c r="BD52"/>
      <c r="BE52"/>
      <c r="BF52"/>
      <c r="BG52"/>
      <c r="BH52"/>
    </row>
    <row r="53" spans="1:60" x14ac:dyDescent="0.25">
      <c r="A53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6"/>
      <c r="AL53" s="6"/>
      <c r="AM53" s="6"/>
      <c r="AN53" s="6"/>
      <c r="AO53" s="6"/>
      <c r="AP53" s="6"/>
      <c r="AQ53" s="6"/>
      <c r="BD53"/>
      <c r="BE53"/>
      <c r="BF53"/>
      <c r="BG53"/>
      <c r="BH53"/>
    </row>
    <row r="54" spans="1:60" x14ac:dyDescent="0.25">
      <c r="A54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6"/>
      <c r="AL54" s="6"/>
      <c r="AM54" s="6"/>
      <c r="AN54" s="6"/>
      <c r="AO54" s="6"/>
      <c r="AP54" s="6"/>
      <c r="AQ54" s="6"/>
      <c r="BD54"/>
      <c r="BE54"/>
      <c r="BF54"/>
      <c r="BG54"/>
      <c r="BH54"/>
    </row>
    <row r="55" spans="1:60" x14ac:dyDescent="0.25">
      <c r="A55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6"/>
      <c r="AL55" s="6"/>
      <c r="AM55" s="6"/>
      <c r="AN55" s="6"/>
      <c r="AO55" s="6"/>
      <c r="AP55" s="6"/>
      <c r="AQ55" s="6"/>
      <c r="BD55"/>
      <c r="BE55"/>
      <c r="BF55"/>
      <c r="BG55"/>
      <c r="BH55"/>
    </row>
    <row r="56" spans="1:60" x14ac:dyDescent="0.25">
      <c r="A5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6"/>
      <c r="AL56" s="6"/>
      <c r="AM56" s="6"/>
      <c r="AN56" s="6"/>
      <c r="AO56" s="6"/>
      <c r="AP56" s="6"/>
      <c r="AQ56" s="6"/>
      <c r="BD56"/>
      <c r="BE56"/>
      <c r="BF56"/>
      <c r="BG56"/>
      <c r="BH56"/>
    </row>
    <row r="57" spans="1:60" x14ac:dyDescent="0.25">
      <c r="A57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6"/>
      <c r="AL57" s="6"/>
      <c r="AM57" s="6"/>
      <c r="AN57" s="6"/>
      <c r="AO57" s="6"/>
      <c r="AP57" s="6"/>
      <c r="AQ57" s="6"/>
      <c r="BD57"/>
      <c r="BE57"/>
      <c r="BF57"/>
      <c r="BG57"/>
      <c r="BH57"/>
    </row>
    <row r="58" spans="1:60" x14ac:dyDescent="0.25">
      <c r="A58"/>
      <c r="B58"/>
      <c r="C58"/>
      <c r="D58"/>
      <c r="E58"/>
      <c r="F58" s="26"/>
      <c r="G58" s="26"/>
      <c r="H58" s="26"/>
      <c r="I58" s="26"/>
      <c r="J58" s="26"/>
      <c r="K58" s="26"/>
      <c r="L58" s="26"/>
      <c r="M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6"/>
      <c r="AL58" s="6"/>
      <c r="AM58" s="6"/>
      <c r="AN58" s="6"/>
      <c r="AO58" s="6"/>
      <c r="AP58" s="6"/>
      <c r="AQ58" s="6"/>
      <c r="BD58"/>
      <c r="BE58"/>
      <c r="BF58"/>
      <c r="BG58"/>
      <c r="BH58"/>
    </row>
    <row r="59" spans="1:60" x14ac:dyDescent="0.25">
      <c r="A59"/>
      <c r="B59"/>
      <c r="C59"/>
      <c r="D59"/>
      <c r="E59"/>
      <c r="F59" s="26"/>
      <c r="G59" s="26"/>
      <c r="H59" s="26"/>
      <c r="I59" s="26"/>
      <c r="J59" s="26"/>
      <c r="K59" s="26"/>
      <c r="L59" s="26"/>
      <c r="M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6"/>
      <c r="AL59" s="6"/>
      <c r="AM59" s="6"/>
      <c r="AN59" s="6"/>
      <c r="AO59" s="6"/>
      <c r="AP59" s="6"/>
      <c r="AQ59" s="6"/>
      <c r="BD59"/>
      <c r="BE59"/>
      <c r="BF59"/>
      <c r="BG59"/>
      <c r="BH59"/>
    </row>
    <row r="60" spans="1:60" x14ac:dyDescent="0.25">
      <c r="A60"/>
      <c r="B60"/>
      <c r="C60"/>
      <c r="D60"/>
      <c r="E60"/>
      <c r="F60" s="26"/>
      <c r="G60" s="26"/>
      <c r="H60" s="26"/>
      <c r="I60" s="26"/>
      <c r="J60" s="26"/>
      <c r="K60" s="26"/>
      <c r="L60" s="26"/>
      <c r="M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6"/>
      <c r="AL60" s="6"/>
      <c r="AM60" s="6"/>
      <c r="AN60" s="6"/>
      <c r="AO60" s="6"/>
      <c r="AP60" s="6"/>
      <c r="AQ60" s="6"/>
      <c r="BD60"/>
      <c r="BE60"/>
      <c r="BF60"/>
      <c r="BG60"/>
      <c r="BH60"/>
    </row>
    <row r="61" spans="1:60" x14ac:dyDescent="0.25">
      <c r="A61"/>
      <c r="B61"/>
      <c r="C61"/>
      <c r="D61"/>
      <c r="E61"/>
      <c r="F61" s="26"/>
      <c r="G61" s="26"/>
      <c r="H61" s="26"/>
      <c r="I61" s="26"/>
      <c r="J61" s="26"/>
      <c r="K61" s="26"/>
      <c r="L61" s="26"/>
      <c r="M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6"/>
      <c r="AL61" s="6"/>
      <c r="AM61" s="6"/>
      <c r="AN61" s="6"/>
      <c r="AO61" s="6"/>
      <c r="AP61" s="6"/>
      <c r="AQ61" s="6"/>
      <c r="BD61"/>
      <c r="BE61"/>
      <c r="BF61"/>
      <c r="BG61"/>
      <c r="BH61"/>
    </row>
    <row r="62" spans="1:60" x14ac:dyDescent="0.25">
      <c r="A62"/>
      <c r="B62"/>
      <c r="C62"/>
      <c r="D62"/>
      <c r="E62"/>
      <c r="F62" s="26"/>
      <c r="G62" s="26"/>
      <c r="H62" s="26"/>
      <c r="I62" s="26"/>
      <c r="J62" s="26"/>
      <c r="K62" s="26"/>
      <c r="L62" s="26"/>
      <c r="M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6"/>
      <c r="AL62" s="6"/>
      <c r="AM62" s="6"/>
      <c r="AN62" s="6"/>
      <c r="AO62" s="6"/>
      <c r="AP62" s="6"/>
      <c r="AQ62" s="6"/>
      <c r="BD62"/>
      <c r="BE62"/>
      <c r="BF62"/>
      <c r="BG62"/>
      <c r="BH62"/>
    </row>
    <row r="63" spans="1:60" x14ac:dyDescent="0.25">
      <c r="A63"/>
      <c r="B63"/>
      <c r="C63"/>
      <c r="D63"/>
      <c r="E63"/>
      <c r="F63" s="26"/>
      <c r="G63" s="26"/>
      <c r="H63" s="26"/>
      <c r="I63" s="26"/>
      <c r="J63" s="26"/>
      <c r="K63" s="26"/>
      <c r="L63" s="26"/>
      <c r="M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6"/>
      <c r="AL63" s="6"/>
      <c r="AM63" s="6"/>
      <c r="AN63" s="6"/>
      <c r="AO63" s="6"/>
      <c r="AP63" s="6"/>
      <c r="AQ63" s="6"/>
      <c r="BD63"/>
      <c r="BE63"/>
      <c r="BF63"/>
      <c r="BG63"/>
      <c r="BH63"/>
    </row>
    <row r="64" spans="1:60" x14ac:dyDescent="0.25">
      <c r="A64"/>
      <c r="B64"/>
      <c r="C64"/>
      <c r="D64"/>
      <c r="E64"/>
      <c r="F64" s="26"/>
      <c r="G64" s="26"/>
      <c r="H64" s="26"/>
      <c r="I64" s="26"/>
      <c r="J64" s="26"/>
      <c r="K64" s="26"/>
      <c r="L64" s="26"/>
      <c r="M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6"/>
      <c r="AL64" s="6"/>
      <c r="AM64" s="6"/>
      <c r="AN64" s="6"/>
      <c r="AO64" s="6"/>
      <c r="AP64" s="6"/>
      <c r="AQ64" s="6"/>
      <c r="BD64"/>
      <c r="BE64"/>
      <c r="BF64"/>
      <c r="BG64"/>
      <c r="BH64"/>
    </row>
    <row r="65" spans="1:60" x14ac:dyDescent="0.25">
      <c r="A65"/>
      <c r="B65"/>
      <c r="C65"/>
      <c r="D65"/>
      <c r="E65"/>
      <c r="F65" s="26"/>
      <c r="G65" s="26"/>
      <c r="H65" s="26"/>
      <c r="I65" s="26"/>
      <c r="J65" s="26"/>
      <c r="K65" s="26"/>
      <c r="L65" s="26"/>
      <c r="M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6"/>
      <c r="AL65" s="6"/>
      <c r="AM65" s="6"/>
      <c r="AN65" s="6"/>
      <c r="AO65" s="6"/>
      <c r="AP65" s="6"/>
      <c r="AQ65" s="6"/>
      <c r="BD65"/>
      <c r="BE65"/>
      <c r="BF65"/>
      <c r="BG65"/>
      <c r="BH65"/>
    </row>
    <row r="66" spans="1:60" x14ac:dyDescent="0.25">
      <c r="A66"/>
      <c r="B66"/>
      <c r="C66"/>
      <c r="D66"/>
      <c r="E66"/>
      <c r="F66" s="26"/>
      <c r="G66" s="26"/>
      <c r="H66" s="26"/>
      <c r="I66" s="26"/>
      <c r="J66" s="26"/>
      <c r="K66" s="26"/>
      <c r="L66" s="26"/>
      <c r="M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6"/>
      <c r="AL66" s="6"/>
      <c r="AM66" s="6"/>
      <c r="AN66" s="6"/>
      <c r="AO66" s="6"/>
      <c r="AP66" s="6"/>
      <c r="AQ66" s="6"/>
      <c r="BD66"/>
      <c r="BE66"/>
      <c r="BF66"/>
      <c r="BG66"/>
      <c r="BH66"/>
    </row>
    <row r="67" spans="1:60" x14ac:dyDescent="0.25">
      <c r="A67"/>
      <c r="B67"/>
      <c r="C67"/>
      <c r="D67"/>
      <c r="E67"/>
      <c r="F67" s="26"/>
      <c r="G67" s="26"/>
      <c r="H67" s="26"/>
      <c r="I67" s="26"/>
      <c r="J67" s="26"/>
      <c r="K67" s="26"/>
      <c r="L67" s="26"/>
      <c r="M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6"/>
      <c r="AL67" s="6"/>
      <c r="AM67" s="6"/>
      <c r="AN67" s="6"/>
      <c r="AO67" s="6"/>
      <c r="AP67" s="6"/>
      <c r="AQ67" s="6"/>
      <c r="BD67"/>
      <c r="BE67"/>
      <c r="BF67"/>
      <c r="BG67"/>
      <c r="BH67"/>
    </row>
    <row r="68" spans="1:60" x14ac:dyDescent="0.25">
      <c r="A68"/>
      <c r="B68"/>
      <c r="C68"/>
      <c r="D68"/>
      <c r="E68"/>
      <c r="F68" s="26"/>
      <c r="G68" s="26"/>
      <c r="H68" s="26"/>
      <c r="I68" s="26"/>
      <c r="J68" s="26"/>
      <c r="K68" s="26"/>
      <c r="L68" s="26"/>
      <c r="M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6"/>
      <c r="AL68" s="6"/>
      <c r="AM68" s="6"/>
      <c r="AN68" s="6"/>
      <c r="AO68" s="6"/>
      <c r="AP68" s="6"/>
      <c r="AQ68" s="6"/>
      <c r="BD68"/>
      <c r="BE68"/>
      <c r="BF68"/>
      <c r="BG68"/>
      <c r="BH68"/>
    </row>
    <row r="69" spans="1:60" x14ac:dyDescent="0.25">
      <c r="A69"/>
      <c r="B69"/>
      <c r="C69"/>
      <c r="D69"/>
      <c r="E69"/>
      <c r="F69" s="26"/>
      <c r="G69" s="26"/>
      <c r="H69" s="26"/>
      <c r="I69" s="26"/>
      <c r="J69" s="26"/>
      <c r="K69" s="26"/>
      <c r="L69" s="26"/>
      <c r="M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6"/>
      <c r="AL69" s="6"/>
      <c r="AM69" s="6"/>
      <c r="AN69" s="6"/>
      <c r="AO69" s="6"/>
      <c r="AP69" s="6"/>
      <c r="AQ69" s="6"/>
      <c r="BD69"/>
      <c r="BE69"/>
      <c r="BF69"/>
      <c r="BG69"/>
      <c r="BH69"/>
    </row>
    <row r="70" spans="1:60" x14ac:dyDescent="0.25">
      <c r="A70"/>
      <c r="B70"/>
      <c r="C70"/>
      <c r="D70"/>
      <c r="E70"/>
      <c r="F70" s="26"/>
      <c r="G70" s="26"/>
      <c r="H70" s="26"/>
      <c r="I70" s="26"/>
      <c r="J70" s="26"/>
      <c r="K70" s="26"/>
      <c r="L70" s="26"/>
      <c r="M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6"/>
      <c r="AL70" s="6"/>
      <c r="AM70" s="6"/>
      <c r="AN70" s="6"/>
      <c r="AO70" s="6"/>
      <c r="AP70" s="6"/>
      <c r="AQ70" s="6"/>
      <c r="BD70"/>
      <c r="BE70"/>
      <c r="BF70"/>
      <c r="BG70"/>
      <c r="BH70"/>
    </row>
    <row r="71" spans="1:60" x14ac:dyDescent="0.25">
      <c r="A71"/>
      <c r="B71"/>
      <c r="C71"/>
      <c r="D71"/>
      <c r="E71"/>
      <c r="F71" s="26"/>
      <c r="G71" s="26"/>
      <c r="H71" s="26"/>
      <c r="I71" s="26"/>
      <c r="J71" s="26"/>
      <c r="K71" s="26"/>
      <c r="L71" s="26"/>
      <c r="M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6"/>
      <c r="AL71" s="6"/>
      <c r="AM71" s="6"/>
      <c r="AN71" s="6"/>
      <c r="AO71" s="6"/>
      <c r="AP71" s="6"/>
      <c r="AQ71" s="6"/>
      <c r="BD71"/>
      <c r="BE71"/>
      <c r="BF71"/>
      <c r="BG71"/>
      <c r="BH71"/>
    </row>
    <row r="72" spans="1:60" x14ac:dyDescent="0.25">
      <c r="A72"/>
      <c r="B72"/>
      <c r="C72"/>
      <c r="D72"/>
      <c r="E72"/>
      <c r="F72" s="26"/>
      <c r="G72" s="26"/>
      <c r="H72" s="26"/>
      <c r="I72" s="26"/>
      <c r="J72" s="26"/>
      <c r="K72" s="26"/>
      <c r="L72" s="26"/>
      <c r="M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6"/>
      <c r="AL72" s="6"/>
      <c r="AM72" s="6"/>
      <c r="AN72" s="6"/>
      <c r="AO72" s="6"/>
      <c r="AP72" s="6"/>
      <c r="AQ72" s="6"/>
      <c r="BD72"/>
      <c r="BE72"/>
      <c r="BF72"/>
      <c r="BG72"/>
      <c r="BH72"/>
    </row>
    <row r="73" spans="1:60" x14ac:dyDescent="0.25">
      <c r="A73"/>
      <c r="B73"/>
      <c r="C73"/>
      <c r="D73"/>
      <c r="E73"/>
      <c r="F73" s="26"/>
      <c r="G73" s="26"/>
      <c r="H73" s="26"/>
      <c r="I73" s="26"/>
      <c r="J73" s="26"/>
      <c r="K73" s="26"/>
      <c r="L73" s="26"/>
      <c r="M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6"/>
      <c r="AL73" s="6"/>
      <c r="AM73" s="6"/>
      <c r="AN73" s="6"/>
      <c r="AO73" s="6"/>
      <c r="AP73" s="6"/>
      <c r="AQ73" s="6"/>
      <c r="BD73"/>
      <c r="BE73"/>
      <c r="BF73"/>
      <c r="BG73"/>
      <c r="BH73"/>
    </row>
    <row r="74" spans="1:60" x14ac:dyDescent="0.25">
      <c r="A74"/>
      <c r="B74"/>
      <c r="C74"/>
      <c r="D74"/>
      <c r="E74"/>
      <c r="BD74"/>
      <c r="BE74"/>
      <c r="BF74"/>
      <c r="BG74"/>
      <c r="BH74"/>
    </row>
    <row r="75" spans="1:60" x14ac:dyDescent="0.25">
      <c r="A75"/>
      <c r="B75"/>
      <c r="C75"/>
      <c r="D75"/>
      <c r="E75"/>
      <c r="BD75"/>
      <c r="BE75"/>
      <c r="BF75"/>
      <c r="BG75"/>
      <c r="BH75"/>
    </row>
    <row r="76" spans="1:60" x14ac:dyDescent="0.25">
      <c r="A76"/>
      <c r="B76"/>
      <c r="C76"/>
      <c r="D76"/>
      <c r="E76"/>
      <c r="BD76"/>
      <c r="BE76"/>
      <c r="BF76"/>
      <c r="BG76"/>
      <c r="BH76"/>
    </row>
    <row r="77" spans="1:60" x14ac:dyDescent="0.25">
      <c r="A77"/>
      <c r="B77"/>
      <c r="C77"/>
      <c r="D77"/>
      <c r="E77"/>
      <c r="BD77"/>
      <c r="BE77"/>
      <c r="BF77"/>
      <c r="BG77"/>
      <c r="BH77"/>
    </row>
    <row r="78" spans="1:60" x14ac:dyDescent="0.25">
      <c r="A78"/>
      <c r="B78"/>
      <c r="C78"/>
      <c r="D78"/>
      <c r="E78"/>
      <c r="BD78"/>
      <c r="BE78"/>
      <c r="BF78"/>
      <c r="BG78"/>
      <c r="BH78"/>
    </row>
    <row r="79" spans="1:60" ht="16.5" x14ac:dyDescent="0.3">
      <c r="A79"/>
      <c r="B79"/>
      <c r="C79"/>
      <c r="D79"/>
      <c r="E79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BD79"/>
      <c r="BE79"/>
      <c r="BF79"/>
      <c r="BG79"/>
      <c r="BH79"/>
    </row>
    <row r="80" spans="1:60" ht="16.5" x14ac:dyDescent="0.3">
      <c r="A80"/>
      <c r="B80"/>
      <c r="C80"/>
      <c r="D80"/>
      <c r="E80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BD80"/>
      <c r="BE80"/>
      <c r="BF80"/>
      <c r="BG80"/>
      <c r="BH80"/>
    </row>
    <row r="81" spans="1:60" ht="16.5" x14ac:dyDescent="0.3">
      <c r="A81"/>
      <c r="B81"/>
      <c r="C81"/>
      <c r="D81"/>
      <c r="E8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BD81"/>
      <c r="BE81"/>
      <c r="BF81"/>
      <c r="BG81"/>
      <c r="BH81"/>
    </row>
    <row r="82" spans="1:60" ht="16.5" x14ac:dyDescent="0.3">
      <c r="A82"/>
      <c r="B82"/>
      <c r="C82"/>
      <c r="D82"/>
      <c r="E82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BD82"/>
      <c r="BE82"/>
      <c r="BF82"/>
      <c r="BG82"/>
      <c r="BH82"/>
    </row>
    <row r="83" spans="1:60" ht="16.5" x14ac:dyDescent="0.3">
      <c r="A83"/>
      <c r="B83"/>
      <c r="C83"/>
      <c r="D83"/>
      <c r="E83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BD83"/>
      <c r="BE83"/>
      <c r="BF83"/>
      <c r="BG83"/>
      <c r="BH83"/>
    </row>
    <row r="84" spans="1:60" ht="16.5" x14ac:dyDescent="0.3">
      <c r="A84"/>
      <c r="B84"/>
      <c r="C84"/>
      <c r="D84"/>
      <c r="E84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BD84"/>
      <c r="BE84"/>
      <c r="BF84"/>
      <c r="BG84"/>
      <c r="BH84"/>
    </row>
    <row r="85" spans="1:60" ht="16.5" x14ac:dyDescent="0.3">
      <c r="A85"/>
      <c r="B85"/>
      <c r="C85"/>
      <c r="D85"/>
      <c r="E85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BD85"/>
      <c r="BE85"/>
      <c r="BF85"/>
      <c r="BG85"/>
      <c r="BH85"/>
    </row>
    <row r="86" spans="1:60" ht="16.5" x14ac:dyDescent="0.3">
      <c r="A86"/>
      <c r="B86"/>
      <c r="C86"/>
      <c r="D86"/>
      <c r="E86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BD86"/>
      <c r="BE86"/>
      <c r="BF86"/>
      <c r="BG86"/>
      <c r="BH86"/>
    </row>
    <row r="87" spans="1:60" ht="16.5" x14ac:dyDescent="0.3">
      <c r="A87"/>
      <c r="B87"/>
      <c r="C87"/>
      <c r="D87"/>
      <c r="E87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BD87"/>
      <c r="BE87"/>
      <c r="BF87"/>
      <c r="BG87"/>
      <c r="BH87"/>
    </row>
    <row r="88" spans="1:60" ht="16.5" x14ac:dyDescent="0.3">
      <c r="A88"/>
      <c r="B88"/>
      <c r="C88"/>
      <c r="D88"/>
      <c r="E88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</row>
    <row r="89" spans="1:60" ht="16.5" x14ac:dyDescent="0.3">
      <c r="A89"/>
      <c r="B89"/>
      <c r="C89"/>
      <c r="D89"/>
      <c r="E89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</row>
    <row r="90" spans="1:60" ht="16.5" x14ac:dyDescent="0.3">
      <c r="A90"/>
      <c r="B90"/>
      <c r="C90"/>
      <c r="D90"/>
      <c r="E90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</row>
    <row r="91" spans="1:60" x14ac:dyDescent="0.25">
      <c r="A91"/>
      <c r="B91"/>
      <c r="C91"/>
      <c r="D91"/>
      <c r="E91"/>
    </row>
    <row r="92" spans="1:60" x14ac:dyDescent="0.25">
      <c r="A92"/>
      <c r="B92"/>
      <c r="C92"/>
      <c r="D92"/>
      <c r="E92"/>
    </row>
    <row r="93" spans="1:60" x14ac:dyDescent="0.25">
      <c r="A93"/>
      <c r="B93"/>
      <c r="C93"/>
      <c r="D93"/>
      <c r="E93"/>
    </row>
    <row r="94" spans="1:60" x14ac:dyDescent="0.25">
      <c r="A94"/>
      <c r="B94"/>
      <c r="C94"/>
      <c r="D94"/>
      <c r="E94"/>
    </row>
    <row r="95" spans="1:60" x14ac:dyDescent="0.25">
      <c r="A95"/>
      <c r="B95"/>
      <c r="C95"/>
      <c r="D95"/>
      <c r="E95"/>
    </row>
    <row r="96" spans="1:60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</sheetData>
  <pageMargins left="0.75" right="0.75" top="1" bottom="1" header="0.5" footer="0.5"/>
  <pageSetup orientation="portrait" horizontalDpi="200" verticalDpi="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F9123-214E-4D79-900D-29EB9612859D}">
  <dimension ref="A1:AK26"/>
  <sheetViews>
    <sheetView workbookViewId="0">
      <selection activeCell="D3" sqref="D3"/>
    </sheetView>
  </sheetViews>
  <sheetFormatPr defaultRowHeight="15" x14ac:dyDescent="0.25"/>
  <cols>
    <col min="1" max="1" width="6.85546875" customWidth="1"/>
    <col min="2" max="2" width="5.5703125" customWidth="1"/>
    <col min="5" max="5" width="11.85546875" customWidth="1"/>
    <col min="6" max="6" width="12.42578125" customWidth="1"/>
    <col min="7" max="7" width="3.7109375" customWidth="1"/>
    <col min="8" max="8" width="5.7109375" customWidth="1"/>
    <col min="9" max="10" width="7" customWidth="1"/>
    <col min="11" max="11" width="5.140625" customWidth="1"/>
    <col min="14" max="14" width="13" customWidth="1"/>
    <col min="15" max="15" width="4.140625" customWidth="1"/>
    <col min="21" max="21" width="13.85546875" customWidth="1"/>
    <col min="22" max="22" width="5" customWidth="1"/>
    <col min="29" max="29" width="4.42578125" customWidth="1"/>
    <col min="30" max="30" width="3.5703125" customWidth="1"/>
  </cols>
  <sheetData>
    <row r="1" spans="1:37" ht="15.75" thickBot="1" x14ac:dyDescent="0.3">
      <c r="A1" s="73" t="s">
        <v>69</v>
      </c>
      <c r="B1" s="8" t="s">
        <v>0</v>
      </c>
      <c r="C1" s="8" t="s">
        <v>70</v>
      </c>
      <c r="D1" s="8" t="s">
        <v>71</v>
      </c>
      <c r="E1" s="8" t="s">
        <v>72</v>
      </c>
      <c r="F1" s="8" t="s">
        <v>36</v>
      </c>
      <c r="H1" s="73" t="s">
        <v>69</v>
      </c>
      <c r="I1" s="8" t="s">
        <v>0</v>
      </c>
      <c r="J1" s="8" t="s">
        <v>70</v>
      </c>
      <c r="K1" s="8" t="s">
        <v>71</v>
      </c>
      <c r="L1" s="8" t="s">
        <v>72</v>
      </c>
      <c r="M1" s="8" t="s">
        <v>36</v>
      </c>
      <c r="N1" s="1"/>
      <c r="P1" s="73" t="s">
        <v>69</v>
      </c>
      <c r="Q1" s="8" t="s">
        <v>0</v>
      </c>
      <c r="R1" s="8" t="s">
        <v>70</v>
      </c>
      <c r="S1" s="8" t="s">
        <v>71</v>
      </c>
      <c r="T1" s="8" t="s">
        <v>72</v>
      </c>
      <c r="U1" s="8" t="s">
        <v>36</v>
      </c>
      <c r="W1" s="73" t="s">
        <v>69</v>
      </c>
      <c r="X1" s="8" t="s">
        <v>0</v>
      </c>
      <c r="Y1" s="8" t="s">
        <v>70</v>
      </c>
      <c r="Z1" s="8" t="s">
        <v>71</v>
      </c>
      <c r="AA1" s="8" t="s">
        <v>72</v>
      </c>
      <c r="AB1" s="8" t="s">
        <v>36</v>
      </c>
      <c r="AC1" s="1"/>
      <c r="AD1" s="1"/>
      <c r="AE1" s="73" t="s">
        <v>69</v>
      </c>
      <c r="AF1" s="8" t="s">
        <v>0</v>
      </c>
      <c r="AG1" s="8" t="s">
        <v>70</v>
      </c>
      <c r="AH1" s="8" t="s">
        <v>71</v>
      </c>
      <c r="AI1" s="8" t="s">
        <v>72</v>
      </c>
      <c r="AJ1" s="8" t="s">
        <v>36</v>
      </c>
    </row>
    <row r="2" spans="1:37" x14ac:dyDescent="0.25">
      <c r="A2" s="74">
        <v>0</v>
      </c>
      <c r="B2" s="75"/>
      <c r="C2" s="76">
        <f>AVERAGE(B3:B6)</f>
        <v>9.75</v>
      </c>
      <c r="D2" s="77">
        <f>(AVERAGE(B11:B14)-AVERAGE(B3:B6))/(A14-$B$15-1)</f>
        <v>0.9642857142857143</v>
      </c>
      <c r="E2" s="78"/>
      <c r="F2" s="76"/>
      <c r="G2" s="79"/>
      <c r="H2" s="74">
        <v>0</v>
      </c>
      <c r="I2" s="75"/>
      <c r="J2" s="75">
        <f>AVERAGE(I3:I6)</f>
        <v>9.75</v>
      </c>
      <c r="K2" s="80">
        <f>(AVERAGE(I11:I14)-J2)/(H14-I15-1)</f>
        <v>0.61363636363636365</v>
      </c>
      <c r="L2" s="78"/>
      <c r="M2" s="76"/>
      <c r="N2" s="79"/>
      <c r="O2" s="79"/>
      <c r="P2" s="74">
        <v>0</v>
      </c>
      <c r="Q2" s="75"/>
      <c r="R2" s="75">
        <f>AVERAGE(Q3:Q6)</f>
        <v>9.75</v>
      </c>
      <c r="S2" s="80">
        <f>(AVERAGE(Q11:Q14)-R2)/(P14-Q15-1)</f>
        <v>0.61363636363636365</v>
      </c>
      <c r="T2" s="78"/>
      <c r="U2" s="76"/>
      <c r="W2" s="74">
        <v>0</v>
      </c>
      <c r="X2" s="75"/>
      <c r="Y2" s="75">
        <f>AVERAGE(X3:X6)</f>
        <v>9.75</v>
      </c>
      <c r="Z2" s="80">
        <f>(AVERAGE(X11:X14)-Y2)/(W14-X15-1)</f>
        <v>0.61363636363636365</v>
      </c>
      <c r="AA2" s="78"/>
      <c r="AB2" s="76"/>
      <c r="AC2" s="78"/>
      <c r="AD2" s="78"/>
      <c r="AE2" s="74">
        <v>0</v>
      </c>
      <c r="AF2" s="75"/>
      <c r="AG2" s="75">
        <f>AVERAGE(AF3:AF6)</f>
        <v>9.75</v>
      </c>
      <c r="AH2" s="80">
        <f>(AVERAGE(AF11:AF14)-AG2)/(AE14-AF15-1)</f>
        <v>0.61363636363636365</v>
      </c>
      <c r="AI2" s="78"/>
      <c r="AJ2" s="76"/>
    </row>
    <row r="3" spans="1:37" x14ac:dyDescent="0.25">
      <c r="A3" s="81">
        <v>1</v>
      </c>
      <c r="B3" s="82">
        <v>4</v>
      </c>
      <c r="C3" s="83"/>
      <c r="D3" s="76"/>
      <c r="E3" s="77">
        <f>B3/AVERAGE($B$3:$B$6)</f>
        <v>0.41025641025641024</v>
      </c>
      <c r="F3" s="84">
        <f>(C2+D2)*E3</f>
        <v>4.3956043956043951</v>
      </c>
      <c r="G3" s="79"/>
      <c r="H3" s="81">
        <v>1</v>
      </c>
      <c r="I3" s="82">
        <v>4</v>
      </c>
      <c r="J3" s="83">
        <f>(1-$B$24)*(J2+K2)+$B$24*I3/L3</f>
        <v>10.210227272727273</v>
      </c>
      <c r="K3" s="76">
        <f>(1-$B$25)*K2+$B$25*(J3-J2)</f>
        <v>0.57528409090909105</v>
      </c>
      <c r="L3" s="80">
        <f>I3/AVERAGE($B$3:$B$6)</f>
        <v>0.41025641025641024</v>
      </c>
      <c r="M3" s="85">
        <f>(J2+K2)*L3</f>
        <v>4.2517482517482517</v>
      </c>
      <c r="N3" s="79"/>
      <c r="O3" s="79"/>
      <c r="P3" s="81">
        <v>1</v>
      </c>
      <c r="Q3" s="82">
        <v>4</v>
      </c>
      <c r="R3" s="86">
        <f>(1-$B$24)*(R2+S2)+$B$24*Q3/T3</f>
        <v>10.210227272727273</v>
      </c>
      <c r="S3" s="87">
        <f>(1-$B$25)*S2+$B$25*(R3-R2)</f>
        <v>0.57528409090909105</v>
      </c>
      <c r="T3" s="80">
        <f>Q3/AVERAGE($B$3:$B$6)</f>
        <v>0.41025641025641024</v>
      </c>
      <c r="U3" s="85">
        <f>(R2+S2)*T3</f>
        <v>4.2517482517482517</v>
      </c>
      <c r="W3" s="81">
        <v>1</v>
      </c>
      <c r="X3" s="82">
        <v>4</v>
      </c>
      <c r="Y3" s="86">
        <f>(1-$B$24)*(Y2+Z2)+$B$24*X3/AA3</f>
        <v>10.210227272727273</v>
      </c>
      <c r="Z3" s="87">
        <f>(1-$B$25)*Z2+$B$25*(Y3-Y2)</f>
        <v>0.57528409090909105</v>
      </c>
      <c r="AA3" s="80">
        <f>X3/AVERAGE($B$3:$B$6)</f>
        <v>0.41025641025641024</v>
      </c>
      <c r="AB3" s="85">
        <f>(Y2+Z2)*AA3</f>
        <v>4.2517482517482517</v>
      </c>
      <c r="AC3" s="88"/>
      <c r="AD3" s="88"/>
      <c r="AE3" s="81">
        <v>1</v>
      </c>
      <c r="AF3" s="82">
        <v>4</v>
      </c>
      <c r="AG3" s="86">
        <f>(1-$B$24)*(AG2+AH2)+$B$24*AF3/AI3</f>
        <v>10.210227272727273</v>
      </c>
      <c r="AH3" s="87">
        <f>(1-$B$25)*AH2+$B$25*(AG3-AG2)</f>
        <v>0.57528409090909105</v>
      </c>
      <c r="AI3" s="87">
        <f>AF3/AVERAGE($B$3:$B$6)</f>
        <v>0.41025641025641024</v>
      </c>
      <c r="AJ3" s="89">
        <f>(AG2+AH2)*AI3</f>
        <v>4.2517482517482517</v>
      </c>
    </row>
    <row r="4" spans="1:37" x14ac:dyDescent="0.25">
      <c r="A4" s="81">
        <v>2</v>
      </c>
      <c r="B4" s="82">
        <v>9</v>
      </c>
      <c r="C4" s="83"/>
      <c r="D4" s="76"/>
      <c r="E4" s="77">
        <f>B4/AVERAGE($B$3:$B$6)</f>
        <v>0.92307692307692313</v>
      </c>
      <c r="F4" s="90"/>
      <c r="G4" s="79"/>
      <c r="H4" s="81">
        <v>2</v>
      </c>
      <c r="I4" s="82">
        <v>9</v>
      </c>
      <c r="J4" s="83"/>
      <c r="K4" s="76"/>
      <c r="L4" s="80">
        <f>I4/AVERAGE($B$3:$B$6)</f>
        <v>0.92307692307692313</v>
      </c>
      <c r="M4" s="84">
        <f>(J3+K3)*L4</f>
        <v>9.9558566433566451</v>
      </c>
      <c r="N4" s="79"/>
      <c r="O4" s="79"/>
      <c r="P4" s="81">
        <v>2</v>
      </c>
      <c r="Q4" s="82">
        <v>9</v>
      </c>
      <c r="R4" s="91">
        <f>(1-$B$24)*(R3+S3)+$B$24*Q4/T4</f>
        <v>10.526633522727273</v>
      </c>
      <c r="S4" s="77">
        <f>(1-$B$25)*S3+$B$25*(R4-R3)</f>
        <v>0.51056463068181834</v>
      </c>
      <c r="T4" s="80">
        <f>Q4/AVERAGE($B$3:$B$6)</f>
        <v>0.92307692307692313</v>
      </c>
      <c r="U4" s="89">
        <f>(R3+S3)*T4</f>
        <v>9.9558566433566451</v>
      </c>
      <c r="W4" s="81">
        <v>2</v>
      </c>
      <c r="X4" s="82">
        <v>9</v>
      </c>
      <c r="Y4" s="92">
        <f>(1-$B$24)*(Y3+Z3)+$B$24*X4/AA4</f>
        <v>10.526633522727273</v>
      </c>
      <c r="Z4" s="80">
        <f>(1-$B$25)*Z3+$B$25*(Y4-Y3)</f>
        <v>0.51056463068181834</v>
      </c>
      <c r="AA4" s="80">
        <f>X4/AVERAGE($B$3:$B$6)</f>
        <v>0.92307692307692313</v>
      </c>
      <c r="AB4" s="89">
        <f>(Y3+Z3)*AA4</f>
        <v>9.9558566433566451</v>
      </c>
      <c r="AC4" s="93"/>
      <c r="AD4" s="93"/>
      <c r="AE4" s="81">
        <v>2</v>
      </c>
      <c r="AF4" s="82">
        <v>9</v>
      </c>
      <c r="AG4" s="92">
        <f>(1-$B$24)*(AG3+AH3)+$B$24*AF4/AI4</f>
        <v>10.526633522727273</v>
      </c>
      <c r="AH4" s="80">
        <f>(1-$B$25)*AH3+$B$25*(AG4-AG3)</f>
        <v>0.51056463068181834</v>
      </c>
      <c r="AI4" s="87">
        <f>AF4/AVERAGE($B$3:$B$6)</f>
        <v>0.92307692307692313</v>
      </c>
      <c r="AJ4" s="89">
        <f>(AG3+AH3)*AI4</f>
        <v>9.9558566433566451</v>
      </c>
    </row>
    <row r="5" spans="1:37" x14ac:dyDescent="0.25">
      <c r="A5" s="81">
        <v>3</v>
      </c>
      <c r="B5" s="82">
        <v>15</v>
      </c>
      <c r="C5" s="83"/>
      <c r="D5" s="76"/>
      <c r="E5" s="77">
        <f>B5/AVERAGE($B$3:$B$6)</f>
        <v>1.5384615384615385</v>
      </c>
      <c r="F5" s="90"/>
      <c r="G5" s="79"/>
      <c r="H5" s="81">
        <v>3</v>
      </c>
      <c r="I5" s="82">
        <v>15</v>
      </c>
      <c r="J5" s="83"/>
      <c r="K5" s="76"/>
      <c r="L5" s="80">
        <f>I5/AVERAGE($B$3:$B$6)</f>
        <v>1.5384615384615385</v>
      </c>
      <c r="M5" s="90"/>
      <c r="N5" s="79"/>
      <c r="O5" s="79"/>
      <c r="P5" s="81">
        <v>3</v>
      </c>
      <c r="Q5" s="82">
        <v>15</v>
      </c>
      <c r="R5" s="83"/>
      <c r="S5" s="76"/>
      <c r="T5" s="80">
        <f>Q5/AVERAGE($B$3:$B$6)</f>
        <v>1.5384615384615385</v>
      </c>
      <c r="U5" s="84">
        <f>(R4+S4)*T5</f>
        <v>16.980304851398603</v>
      </c>
      <c r="W5" s="81">
        <v>3</v>
      </c>
      <c r="X5" s="82">
        <v>15</v>
      </c>
      <c r="Y5" s="91">
        <f>(1-$B$24)*(Y4+Z4)+$B$24*X5/AA5</f>
        <v>10.715398615056818</v>
      </c>
      <c r="Z5" s="77">
        <f>(1-$B$25)*Z4+$B$25*(Y5-Y4)</f>
        <v>0.43011474609375</v>
      </c>
      <c r="AA5" s="80">
        <f>X5/AVERAGE($B$3:$B$6)</f>
        <v>1.5384615384615385</v>
      </c>
      <c r="AB5" s="85">
        <f>(Y4+Z4)*AA5</f>
        <v>16.980304851398603</v>
      </c>
      <c r="AC5" s="94"/>
      <c r="AD5" s="94"/>
      <c r="AE5" s="81">
        <v>3</v>
      </c>
      <c r="AF5" s="82">
        <v>15</v>
      </c>
      <c r="AG5" s="86">
        <f>(1-$B$24)*(AG4+AH4)+$B$24*AF5/AI5</f>
        <v>10.715398615056818</v>
      </c>
      <c r="AH5" s="87">
        <f>(1-$B$25)*AH4+$B$25*(AG5-AG4)</f>
        <v>0.43011474609375</v>
      </c>
      <c r="AI5" s="87">
        <f>AF5/AVERAGE($B$3:$B$6)</f>
        <v>1.5384615384615385</v>
      </c>
      <c r="AJ5" s="89">
        <f>(AG4+AH4)*AI5</f>
        <v>16.980304851398603</v>
      </c>
    </row>
    <row r="6" spans="1:37" x14ac:dyDescent="0.25">
      <c r="A6" s="81">
        <v>4</v>
      </c>
      <c r="B6" s="82">
        <v>11</v>
      </c>
      <c r="C6" s="83"/>
      <c r="D6" s="76"/>
      <c r="E6" s="77">
        <f>B6/AVERAGE($B$3:$B$6)</f>
        <v>1.1282051282051282</v>
      </c>
      <c r="F6" s="90"/>
      <c r="G6" s="79"/>
      <c r="H6" s="81">
        <v>4</v>
      </c>
      <c r="I6" s="82">
        <v>11</v>
      </c>
      <c r="J6" s="83"/>
      <c r="K6" s="76"/>
      <c r="L6" s="80">
        <f>I6/AVERAGE($B$3:$B$6)</f>
        <v>1.1282051282051282</v>
      </c>
      <c r="M6" s="90"/>
      <c r="N6" s="79"/>
      <c r="O6" s="79"/>
      <c r="P6" s="81">
        <v>4</v>
      </c>
      <c r="Q6" s="82">
        <v>11</v>
      </c>
      <c r="R6" s="83"/>
      <c r="S6" s="76"/>
      <c r="T6" s="80">
        <f>Q6/AVERAGE($B$3:$B$6)</f>
        <v>1.1282051282051282</v>
      </c>
      <c r="U6" s="90"/>
      <c r="W6" s="81">
        <v>4</v>
      </c>
      <c r="X6" s="82">
        <v>11</v>
      </c>
      <c r="Y6" s="83"/>
      <c r="Z6" s="76"/>
      <c r="AA6" s="80">
        <f>X6/AVERAGE($B$3:$B$6)</f>
        <v>1.1282051282051282</v>
      </c>
      <c r="AB6" s="84">
        <f>(Y5+Z5)*AA6</f>
        <v>12.574425330528847</v>
      </c>
      <c r="AC6" s="78"/>
      <c r="AD6" s="78"/>
      <c r="AE6" s="81">
        <v>4</v>
      </c>
      <c r="AF6" s="82">
        <v>11</v>
      </c>
      <c r="AG6" s="91">
        <f>(1-$B$24)*(AG5+AH5)+$B$24*AF6/AI6</f>
        <v>10.796635020862926</v>
      </c>
      <c r="AH6" s="77">
        <f>(1-$B$25)*AH5+$B$25*(AG6-AG5)</f>
        <v>0.34289516102183937</v>
      </c>
      <c r="AI6" s="87">
        <f>AF6/AVERAGE($B$3:$B$6)</f>
        <v>1.1282051282051282</v>
      </c>
      <c r="AJ6" s="89">
        <f>(AG5+AH5)*AI6</f>
        <v>12.574425330528847</v>
      </c>
    </row>
    <row r="7" spans="1:37" x14ac:dyDescent="0.25">
      <c r="A7" s="81">
        <v>5</v>
      </c>
      <c r="B7" s="82">
        <v>6</v>
      </c>
      <c r="C7" s="74"/>
      <c r="D7" s="75"/>
      <c r="E7" s="75"/>
      <c r="F7" s="75"/>
      <c r="G7" s="79"/>
      <c r="H7" s="81">
        <v>5</v>
      </c>
      <c r="I7" s="82">
        <v>6</v>
      </c>
      <c r="J7" s="74"/>
      <c r="K7" s="75"/>
      <c r="L7" s="77">
        <f>(1-$B$26)*L3+$B$26*I3/(J2+K2)</f>
        <v>0.40418353576248317</v>
      </c>
      <c r="M7" s="75"/>
      <c r="N7" s="79"/>
      <c r="O7" s="79"/>
      <c r="P7" s="81">
        <v>5</v>
      </c>
      <c r="Q7" s="82">
        <v>6</v>
      </c>
      <c r="R7" s="74"/>
      <c r="S7" s="75"/>
      <c r="T7" s="87">
        <f>(1-$B$26)*T3+J26*Q3/(R2+S2)</f>
        <v>0.30769230769230771</v>
      </c>
      <c r="U7" s="75"/>
      <c r="W7" s="81">
        <v>5</v>
      </c>
      <c r="X7" s="82">
        <v>6</v>
      </c>
      <c r="Y7" s="74"/>
      <c r="Z7" s="75"/>
      <c r="AA7" s="87">
        <f>(1-$B$26)*AA3+Q26*X3/(Y2+Z2)</f>
        <v>0.30769230769230771</v>
      </c>
      <c r="AB7" s="75"/>
      <c r="AC7" s="79"/>
      <c r="AD7" s="79"/>
      <c r="AE7" s="81">
        <v>5</v>
      </c>
      <c r="AF7" s="82">
        <v>6</v>
      </c>
      <c r="AG7" s="74"/>
      <c r="AH7" s="75"/>
      <c r="AI7" s="87">
        <f>(1-$B$26)*AI3+Z26*AF3/(AG2+AH2)</f>
        <v>0.30769230769230771</v>
      </c>
      <c r="AJ7" s="84">
        <f>(AG6+AH6)*AI7</f>
        <v>3.4275477482722359</v>
      </c>
    </row>
    <row r="8" spans="1:37" x14ac:dyDescent="0.25">
      <c r="A8" s="81">
        <v>6</v>
      </c>
      <c r="B8" s="82">
        <v>14</v>
      </c>
      <c r="C8" s="74"/>
      <c r="D8" s="75"/>
      <c r="E8" s="75"/>
      <c r="F8" s="75"/>
      <c r="G8" s="79"/>
      <c r="H8" s="81">
        <v>6</v>
      </c>
      <c r="I8" s="82">
        <v>14</v>
      </c>
      <c r="J8" s="74"/>
      <c r="K8" s="75"/>
      <c r="L8" s="75"/>
      <c r="M8" s="75"/>
      <c r="N8" s="79"/>
      <c r="O8" s="79"/>
      <c r="P8" s="81">
        <v>6</v>
      </c>
      <c r="Q8" s="82">
        <v>14</v>
      </c>
      <c r="R8" s="74"/>
      <c r="S8" s="75"/>
      <c r="T8" s="77">
        <f>(1-$B$26)*T4+J27*Q4/(R3+S3)</f>
        <v>0.69230769230769229</v>
      </c>
      <c r="U8" s="75"/>
      <c r="W8" s="81">
        <v>6</v>
      </c>
      <c r="X8" s="82">
        <v>14</v>
      </c>
      <c r="Y8" s="74"/>
      <c r="Z8" s="75"/>
      <c r="AA8" s="80">
        <f>(1-$B$26)*AA4+Q27*X4/(Y3+Z3)</f>
        <v>0.69230769230769229</v>
      </c>
      <c r="AB8" s="75"/>
      <c r="AC8" s="79"/>
      <c r="AD8" s="79"/>
      <c r="AE8" s="81">
        <v>6</v>
      </c>
      <c r="AF8" s="82">
        <v>14</v>
      </c>
      <c r="AG8" s="74"/>
      <c r="AH8" s="75"/>
      <c r="AI8" s="87">
        <f>(1-$B$26)*AI4+Z27*AF4/(AG3+AH3)</f>
        <v>0.69230769230769229</v>
      </c>
      <c r="AJ8" s="75"/>
    </row>
    <row r="9" spans="1:37" x14ac:dyDescent="0.25">
      <c r="A9" s="81">
        <v>7</v>
      </c>
      <c r="B9" s="82">
        <v>23</v>
      </c>
      <c r="C9" s="74"/>
      <c r="D9" s="75"/>
      <c r="E9" s="75"/>
      <c r="F9" s="75"/>
      <c r="G9" s="79"/>
      <c r="H9" s="81">
        <v>7</v>
      </c>
      <c r="I9" s="82">
        <v>23</v>
      </c>
      <c r="J9" s="74"/>
      <c r="K9" s="75"/>
      <c r="L9" s="75"/>
      <c r="M9" s="75"/>
      <c r="N9" s="79"/>
      <c r="O9" s="79"/>
      <c r="P9" s="81">
        <v>7</v>
      </c>
      <c r="Q9" s="82">
        <v>23</v>
      </c>
      <c r="R9" s="74"/>
      <c r="S9" s="75"/>
      <c r="T9" s="75"/>
      <c r="U9" s="75"/>
      <c r="W9" s="81">
        <v>7</v>
      </c>
      <c r="X9" s="82">
        <v>23</v>
      </c>
      <c r="Y9" s="74"/>
      <c r="Z9" s="75"/>
      <c r="AA9" s="77">
        <f>(1-$B$26)*AA5+Q28*X5/(Y4+Z4)</f>
        <v>1.153846153846154</v>
      </c>
      <c r="AB9" s="75"/>
      <c r="AC9" s="79"/>
      <c r="AD9" s="79"/>
      <c r="AE9" s="81">
        <v>7</v>
      </c>
      <c r="AF9" s="82">
        <v>23</v>
      </c>
      <c r="AG9" s="74"/>
      <c r="AH9" s="75"/>
      <c r="AI9" s="87">
        <f>(1-$B$26)*AI5+Z28*AF5/(AG4+AH4)</f>
        <v>1.153846153846154</v>
      </c>
      <c r="AJ9" s="75"/>
    </row>
    <row r="10" spans="1:37" x14ac:dyDescent="0.25">
      <c r="A10" s="81">
        <v>8</v>
      </c>
      <c r="B10" s="82">
        <v>16</v>
      </c>
      <c r="C10" s="74"/>
      <c r="D10" s="75"/>
      <c r="E10" s="75"/>
      <c r="F10" s="75"/>
      <c r="G10" s="79"/>
      <c r="H10" s="81">
        <v>8</v>
      </c>
      <c r="I10" s="82">
        <v>16</v>
      </c>
      <c r="J10" s="74"/>
      <c r="K10" s="75"/>
      <c r="L10" s="75"/>
      <c r="M10" s="75"/>
      <c r="N10" s="79"/>
      <c r="O10" s="79"/>
      <c r="P10" s="81">
        <v>8</v>
      </c>
      <c r="Q10" s="82">
        <v>16</v>
      </c>
      <c r="R10" s="74"/>
      <c r="S10" s="75"/>
      <c r="T10" s="75"/>
      <c r="U10" s="75"/>
      <c r="W10" s="81">
        <v>8</v>
      </c>
      <c r="X10" s="82">
        <v>16</v>
      </c>
      <c r="Y10" s="74"/>
      <c r="Z10" s="75"/>
      <c r="AA10" s="75"/>
      <c r="AB10" s="75"/>
      <c r="AC10" s="79"/>
      <c r="AD10" s="79"/>
      <c r="AE10" s="81">
        <v>8</v>
      </c>
      <c r="AF10" s="82">
        <v>16</v>
      </c>
      <c r="AG10" s="74"/>
      <c r="AH10" s="75"/>
      <c r="AI10" s="77">
        <f>(1-$B$26)*AI6+Z29*AF6/(AG5+AH5)</f>
        <v>0.84615384615384615</v>
      </c>
      <c r="AJ10" s="75"/>
    </row>
    <row r="11" spans="1:37" x14ac:dyDescent="0.25">
      <c r="A11" s="81">
        <v>9</v>
      </c>
      <c r="B11" s="82">
        <v>8</v>
      </c>
      <c r="C11" s="74"/>
      <c r="D11" s="75"/>
      <c r="E11" s="75"/>
      <c r="F11" s="75"/>
      <c r="G11" s="79"/>
      <c r="H11" s="81">
        <v>9</v>
      </c>
      <c r="I11" s="82">
        <v>8</v>
      </c>
      <c r="J11" s="74"/>
      <c r="K11" s="75"/>
      <c r="L11" s="75"/>
      <c r="M11" s="75"/>
      <c r="N11" s="79"/>
      <c r="O11" s="79"/>
      <c r="P11" s="81">
        <v>9</v>
      </c>
      <c r="Q11" s="82">
        <v>8</v>
      </c>
      <c r="R11" s="74"/>
      <c r="S11" s="75"/>
      <c r="T11" s="75"/>
      <c r="U11" s="75"/>
      <c r="W11" s="81">
        <v>9</v>
      </c>
      <c r="X11" s="82">
        <v>8</v>
      </c>
      <c r="Y11" s="74"/>
      <c r="Z11" s="75"/>
      <c r="AA11" s="75"/>
      <c r="AB11" s="75"/>
      <c r="AC11" s="79"/>
      <c r="AD11" s="79"/>
      <c r="AE11" s="81">
        <v>9</v>
      </c>
      <c r="AF11" s="82">
        <v>8</v>
      </c>
      <c r="AG11" s="74"/>
      <c r="AH11" s="75"/>
      <c r="AI11" s="75"/>
      <c r="AJ11" s="75"/>
    </row>
    <row r="12" spans="1:37" x14ac:dyDescent="0.25">
      <c r="A12" s="81">
        <v>10</v>
      </c>
      <c r="B12" s="82">
        <v>17</v>
      </c>
      <c r="C12" s="74"/>
      <c r="D12" s="75"/>
      <c r="E12" s="75"/>
      <c r="F12" s="75"/>
      <c r="G12" s="79"/>
      <c r="H12" s="81">
        <v>10</v>
      </c>
      <c r="I12" s="82">
        <v>17</v>
      </c>
      <c r="J12" s="74"/>
      <c r="K12" s="75"/>
      <c r="L12" s="75"/>
      <c r="M12" s="75"/>
      <c r="N12" s="79"/>
      <c r="O12" s="79"/>
      <c r="P12" s="81">
        <v>10</v>
      </c>
      <c r="Q12" s="82">
        <v>17</v>
      </c>
      <c r="R12" s="74"/>
      <c r="S12" s="75"/>
      <c r="T12" s="75"/>
      <c r="U12" s="75"/>
      <c r="W12" s="81">
        <v>10</v>
      </c>
      <c r="X12" s="82">
        <v>17</v>
      </c>
      <c r="Y12" s="74"/>
      <c r="Z12" s="75"/>
      <c r="AA12" s="75"/>
      <c r="AB12" s="75"/>
      <c r="AC12" s="79"/>
      <c r="AD12" s="79"/>
      <c r="AE12" s="81">
        <v>10</v>
      </c>
      <c r="AF12" s="82">
        <v>17</v>
      </c>
      <c r="AG12" s="74"/>
      <c r="AH12" s="75"/>
      <c r="AI12" s="75"/>
      <c r="AJ12" s="75"/>
    </row>
    <row r="13" spans="1:37" x14ac:dyDescent="0.25">
      <c r="A13" s="81">
        <v>11</v>
      </c>
      <c r="B13" s="82">
        <v>24</v>
      </c>
      <c r="C13" s="74"/>
      <c r="D13" s="75"/>
      <c r="E13" s="75"/>
      <c r="F13" s="75"/>
      <c r="G13" s="79"/>
      <c r="H13" s="81">
        <v>11</v>
      </c>
      <c r="I13" s="82">
        <v>24</v>
      </c>
      <c r="J13" s="74"/>
      <c r="K13" s="75"/>
      <c r="L13" s="75"/>
      <c r="M13" s="75"/>
      <c r="N13" s="79"/>
      <c r="O13" s="79"/>
      <c r="P13" s="81">
        <v>11</v>
      </c>
      <c r="Q13" s="82">
        <v>24</v>
      </c>
      <c r="R13" s="74"/>
      <c r="S13" s="75"/>
      <c r="T13" s="75"/>
      <c r="U13" s="75"/>
      <c r="W13" s="81">
        <v>11</v>
      </c>
      <c r="X13" s="82">
        <v>24</v>
      </c>
      <c r="Y13" s="74"/>
      <c r="Z13" s="75"/>
      <c r="AA13" s="75"/>
      <c r="AB13" s="75"/>
      <c r="AC13" s="79"/>
      <c r="AD13" s="79"/>
      <c r="AE13" s="81">
        <v>11</v>
      </c>
      <c r="AF13" s="82">
        <v>24</v>
      </c>
      <c r="AG13" s="74"/>
      <c r="AH13" s="75"/>
      <c r="AI13" s="75"/>
      <c r="AJ13" s="75"/>
    </row>
    <row r="14" spans="1:37" ht="15.75" thickBot="1" x14ac:dyDescent="0.3">
      <c r="A14" s="95">
        <v>12</v>
      </c>
      <c r="B14" s="96">
        <v>17</v>
      </c>
      <c r="C14" s="97"/>
      <c r="D14" s="98"/>
      <c r="E14" s="98"/>
      <c r="F14" s="98"/>
      <c r="G14" s="79"/>
      <c r="H14" s="95">
        <v>12</v>
      </c>
      <c r="I14" s="96">
        <v>17</v>
      </c>
      <c r="J14" s="97"/>
      <c r="K14" s="98"/>
      <c r="L14" s="98"/>
      <c r="M14" s="98"/>
      <c r="N14" s="79"/>
      <c r="O14" s="79"/>
      <c r="P14" s="95">
        <v>12</v>
      </c>
      <c r="Q14" s="96">
        <v>17</v>
      </c>
      <c r="R14" s="97"/>
      <c r="S14" s="98"/>
      <c r="T14" s="98"/>
      <c r="U14" s="98"/>
      <c r="W14" s="95">
        <v>12</v>
      </c>
      <c r="X14" s="96">
        <v>17</v>
      </c>
      <c r="Y14" s="97"/>
      <c r="Z14" s="98"/>
      <c r="AA14" s="98"/>
      <c r="AB14" s="98"/>
      <c r="AC14" s="79"/>
      <c r="AD14" s="79"/>
      <c r="AE14" s="95">
        <v>12</v>
      </c>
      <c r="AF14" s="96">
        <v>17</v>
      </c>
      <c r="AG14" s="97"/>
      <c r="AH14" s="98"/>
      <c r="AI14" s="98"/>
      <c r="AJ14" s="98"/>
    </row>
    <row r="15" spans="1:37" ht="15.75" thickBot="1" x14ac:dyDescent="0.3">
      <c r="A15" s="51" t="s">
        <v>73</v>
      </c>
      <c r="B15" s="7">
        <v>4</v>
      </c>
      <c r="C15" s="51"/>
      <c r="D15" s="7"/>
      <c r="E15" s="51"/>
      <c r="F15" s="7"/>
      <c r="H15" s="51"/>
      <c r="I15" s="7"/>
      <c r="J15" s="1"/>
      <c r="K15" s="7"/>
      <c r="L15" s="51"/>
      <c r="M15" s="7"/>
      <c r="N15" s="7"/>
      <c r="P15" s="51"/>
      <c r="Q15" s="7"/>
      <c r="R15" s="1"/>
      <c r="S15" s="7"/>
      <c r="T15" s="51"/>
      <c r="U15" s="7"/>
      <c r="W15" s="51"/>
      <c r="X15" s="7"/>
      <c r="Y15" s="1"/>
      <c r="Z15" s="7"/>
      <c r="AA15" s="51"/>
      <c r="AB15" s="7"/>
      <c r="AC15" s="7"/>
      <c r="AD15" s="7"/>
    </row>
    <row r="16" spans="1:37" x14ac:dyDescent="0.25">
      <c r="A16" s="99" t="s">
        <v>74</v>
      </c>
      <c r="B16" s="100" t="str">
        <f ca="1">_xlfn.FORMULATEXT(C2)</f>
        <v>=AVERAGE(B3:B6)</v>
      </c>
      <c r="C16" s="101"/>
      <c r="D16" s="102"/>
      <c r="E16" s="104"/>
      <c r="F16" s="105"/>
      <c r="H16" s="103"/>
      <c r="I16" s="104"/>
      <c r="J16" s="102"/>
      <c r="K16" s="99" t="s">
        <v>75</v>
      </c>
      <c r="L16" s="100" t="str">
        <f ca="1">_xlfn.FORMULATEXT(J3)</f>
        <v>=(1-$B$24)*(J2+K2)+$B$24*I3/L3</v>
      </c>
      <c r="M16" s="102"/>
      <c r="N16" s="105"/>
      <c r="P16" s="103"/>
      <c r="Q16" s="104"/>
      <c r="R16" s="99" t="s">
        <v>76</v>
      </c>
      <c r="S16" s="100" t="str">
        <f ca="1">_xlfn.FORMULATEXT(R4)</f>
        <v>=(1-$B$24)*(R3+S3)+$B$24*Q4/T4</v>
      </c>
      <c r="T16" s="102"/>
      <c r="U16" s="106"/>
      <c r="W16" s="103"/>
      <c r="X16" s="104"/>
      <c r="Y16" s="99" t="s">
        <v>77</v>
      </c>
      <c r="Z16" s="100" t="str">
        <f ca="1">_xlfn.FORMULATEXT(Y5)</f>
        <v>=(1-$B$24)*(Y4+Z4)+$B$24*X5/AA5</v>
      </c>
      <c r="AA16" s="100"/>
      <c r="AB16" s="100"/>
      <c r="AC16" s="106"/>
      <c r="AE16" s="103"/>
      <c r="AF16" s="104"/>
      <c r="AG16" s="99" t="s">
        <v>78</v>
      </c>
      <c r="AH16" s="100" t="str">
        <f ca="1">_xlfn.FORMULATEXT(AG5)</f>
        <v>=(1-$B$24)*(AG4+AH4)+$B$24*AF5/AI5</v>
      </c>
      <c r="AI16" s="100"/>
      <c r="AJ16" s="100"/>
      <c r="AK16" s="106"/>
    </row>
    <row r="17" spans="1:37" x14ac:dyDescent="0.25">
      <c r="A17" s="107" t="s">
        <v>79</v>
      </c>
      <c r="B17" s="158" t="str">
        <f ca="1">_xlfn.FORMULATEXT(D2)</f>
        <v>=(AVERAGE(B11:B14)-AVERAGE(B3:B6))/(A14-$B$15-1)</v>
      </c>
      <c r="C17" s="159"/>
      <c r="D17" s="160"/>
      <c r="E17" s="157"/>
      <c r="F17" s="112"/>
      <c r="H17" s="110"/>
      <c r="I17" s="111"/>
      <c r="J17" s="109"/>
      <c r="K17" s="107" t="s">
        <v>80</v>
      </c>
      <c r="L17" s="108" t="str">
        <f ca="1">_xlfn.FORMULATEXT(K3)</f>
        <v>=(1-$B$25)*K2+$B$25*(J3-J2)</v>
      </c>
      <c r="M17" s="109"/>
      <c r="N17" s="112"/>
      <c r="P17" s="110"/>
      <c r="Q17" s="111"/>
      <c r="R17" s="107" t="s">
        <v>81</v>
      </c>
      <c r="S17" s="108" t="str">
        <f ca="1">_xlfn.FORMULATEXT(S4)</f>
        <v>=(1-$B$25)*S3+$B$25*(R4-R3)</v>
      </c>
      <c r="T17" s="109"/>
      <c r="U17" s="113"/>
      <c r="W17" s="110"/>
      <c r="X17" s="111"/>
      <c r="Y17" s="107" t="s">
        <v>82</v>
      </c>
      <c r="Z17" s="108" t="str">
        <f ca="1">_xlfn.FORMULATEXT(Z5)</f>
        <v>=(1-$B$25)*Z4+$B$25*(Y5-Y4)</v>
      </c>
      <c r="AA17" s="108"/>
      <c r="AB17" s="108"/>
      <c r="AC17" s="113"/>
      <c r="AE17" s="110"/>
      <c r="AF17" s="111"/>
      <c r="AG17" s="107" t="s">
        <v>83</v>
      </c>
      <c r="AH17" s="108" t="str">
        <f ca="1">_xlfn.FORMULATEXT(AH6)</f>
        <v>=(1-$B$25)*AH5+$B$25*(AG6-AG5)</v>
      </c>
      <c r="AI17" s="108"/>
      <c r="AJ17" s="108"/>
      <c r="AK17" s="113"/>
    </row>
    <row r="18" spans="1:37" x14ac:dyDescent="0.25">
      <c r="A18" s="107" t="s">
        <v>65</v>
      </c>
      <c r="B18" s="158" t="str">
        <f ca="1">_xlfn.FORMULATEXT(E3)</f>
        <v>=B3/AVERAGE($B$3:$B$6)</v>
      </c>
      <c r="C18" s="159"/>
      <c r="D18" s="160"/>
      <c r="E18" s="157"/>
      <c r="F18" s="112"/>
      <c r="H18" s="110"/>
      <c r="I18" s="111"/>
      <c r="J18" s="109"/>
      <c r="K18" s="107" t="s">
        <v>84</v>
      </c>
      <c r="L18" s="108" t="str">
        <f ca="1">_xlfn.FORMULATEXT(M4)</f>
        <v>=(J3+K3)*L4</v>
      </c>
      <c r="M18" s="109"/>
      <c r="N18" s="112"/>
      <c r="P18" s="110"/>
      <c r="Q18" s="111"/>
      <c r="R18" s="107" t="s">
        <v>85</v>
      </c>
      <c r="S18" s="108" t="str">
        <f ca="1">_xlfn.FORMULATEXT(U5)</f>
        <v>=(R4+S4)*T5</v>
      </c>
      <c r="T18" s="109"/>
      <c r="U18" s="113"/>
      <c r="W18" s="110"/>
      <c r="X18" s="111"/>
      <c r="Y18" s="107" t="s">
        <v>86</v>
      </c>
      <c r="Z18" s="108" t="str">
        <f ca="1">_xlfn.FORMULATEXT(AB6)</f>
        <v>=(Y5+Z5)*AA6</v>
      </c>
      <c r="AA18" s="108"/>
      <c r="AB18" s="108"/>
      <c r="AC18" s="113"/>
      <c r="AE18" s="110"/>
      <c r="AF18" s="111"/>
      <c r="AG18" s="107" t="s">
        <v>87</v>
      </c>
      <c r="AH18" s="108" t="str">
        <f ca="1">_xlfn.FORMULATEXT(AJ6)</f>
        <v>=(AG5+AH5)*AI6</v>
      </c>
      <c r="AI18" s="108"/>
      <c r="AJ18" s="108"/>
      <c r="AK18" s="113"/>
    </row>
    <row r="19" spans="1:37" ht="15.75" thickBot="1" x14ac:dyDescent="0.3">
      <c r="A19" s="107" t="s">
        <v>66</v>
      </c>
      <c r="B19" s="158" t="str">
        <f ca="1">_xlfn.FORMULATEXT(E4)</f>
        <v>=B4/AVERAGE($B$3:$B$6)</v>
      </c>
      <c r="C19" s="159"/>
      <c r="D19" s="160"/>
      <c r="E19" s="157"/>
      <c r="F19" s="112"/>
      <c r="H19" s="114"/>
      <c r="I19" s="115"/>
      <c r="J19" s="116"/>
      <c r="K19" s="117" t="s">
        <v>88</v>
      </c>
      <c r="L19" s="118" t="str">
        <f ca="1">_xlfn.FORMULATEXT(L7)</f>
        <v>=(1-$B$26)*L3+$B$26*I3/(J2+K2)</v>
      </c>
      <c r="M19" s="116"/>
      <c r="N19" s="119"/>
      <c r="P19" s="114"/>
      <c r="Q19" s="115"/>
      <c r="R19" s="117" t="s">
        <v>89</v>
      </c>
      <c r="S19" s="118" t="str">
        <f ca="1">_xlfn.FORMULATEXT(T8)</f>
        <v>=(1-$B$26)*T4+J27*Q4/(R3+S3)</v>
      </c>
      <c r="T19" s="116"/>
      <c r="U19" s="120"/>
      <c r="W19" s="114"/>
      <c r="X19" s="115"/>
      <c r="Y19" s="117" t="s">
        <v>90</v>
      </c>
      <c r="Z19" s="118" t="str">
        <f ca="1">_xlfn.FORMULATEXT(AA9)</f>
        <v>=(1-$B$26)*AA5+Q28*X5/(Y4+Z4)</v>
      </c>
      <c r="AA19" s="118"/>
      <c r="AB19" s="118"/>
      <c r="AC19" s="120"/>
      <c r="AE19" s="114"/>
      <c r="AF19" s="115"/>
      <c r="AG19" s="117" t="s">
        <v>91</v>
      </c>
      <c r="AH19" s="118" t="str">
        <f ca="1">_xlfn.FORMULATEXT(AI10)</f>
        <v>=(1-$B$26)*AI6+Z29*AF6/(AG5+AH5)</v>
      </c>
      <c r="AI19" s="118"/>
      <c r="AJ19" s="118"/>
      <c r="AK19" s="120"/>
    </row>
    <row r="20" spans="1:37" x14ac:dyDescent="0.25">
      <c r="A20" s="107" t="s">
        <v>67</v>
      </c>
      <c r="B20" s="158" t="str">
        <f ca="1">_xlfn.FORMULATEXT(E5)</f>
        <v>=B5/AVERAGE($B$3:$B$6)</v>
      </c>
      <c r="C20" s="159"/>
      <c r="D20" s="160"/>
      <c r="E20" s="157"/>
      <c r="F20" s="112"/>
    </row>
    <row r="21" spans="1:37" x14ac:dyDescent="0.25">
      <c r="A21" s="107" t="s">
        <v>68</v>
      </c>
      <c r="B21" s="158" t="str">
        <f ca="1">_xlfn.FORMULATEXT(E6)</f>
        <v>=B6/AVERAGE($B$3:$B$6)</v>
      </c>
      <c r="C21" s="159"/>
      <c r="D21" s="160"/>
      <c r="E21" s="157"/>
      <c r="F21" s="112"/>
    </row>
    <row r="22" spans="1:37" ht="15.75" thickBot="1" x14ac:dyDescent="0.3">
      <c r="A22" s="117" t="s">
        <v>92</v>
      </c>
      <c r="B22" s="118" t="str">
        <f ca="1">_xlfn.FORMULATEXT(F3)</f>
        <v>=(C2+D2)*E3</v>
      </c>
      <c r="C22" s="116"/>
      <c r="D22" s="116"/>
      <c r="E22" s="116"/>
      <c r="F22" s="119"/>
    </row>
    <row r="23" spans="1:37" x14ac:dyDescent="0.25">
      <c r="AF23" t="s">
        <v>93</v>
      </c>
    </row>
    <row r="24" spans="1:37" x14ac:dyDescent="0.25">
      <c r="A24" s="121" t="s">
        <v>94</v>
      </c>
      <c r="B24" s="7">
        <v>0.25</v>
      </c>
    </row>
    <row r="25" spans="1:37" x14ac:dyDescent="0.25">
      <c r="A25" s="121" t="s">
        <v>95</v>
      </c>
      <c r="B25" s="7">
        <v>0.25</v>
      </c>
    </row>
    <row r="26" spans="1:37" x14ac:dyDescent="0.25">
      <c r="A26" s="121" t="s">
        <v>96</v>
      </c>
      <c r="B26" s="7">
        <v>0.25</v>
      </c>
    </row>
  </sheetData>
  <pageMargins left="0.7" right="0.7" top="0.75" bottom="0.75" header="0.3" footer="0.3"/>
  <pageSetup orientation="portrait" horizontalDpi="200" verticalDpi="200" copies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135"/>
  <sheetViews>
    <sheetView zoomScale="84" zoomScaleNormal="84" workbookViewId="0">
      <selection activeCell="K1" sqref="K1"/>
    </sheetView>
  </sheetViews>
  <sheetFormatPr defaultColWidth="9.140625" defaultRowHeight="13.5" x14ac:dyDescent="0.25"/>
  <cols>
    <col min="1" max="1" width="6.7109375" style="22" bestFit="1" customWidth="1"/>
    <col min="2" max="2" width="8.140625" style="31" bestFit="1" customWidth="1"/>
    <col min="3" max="3" width="12.140625" style="31" bestFit="1" customWidth="1"/>
    <col min="4" max="4" width="11.5703125" style="31" bestFit="1" customWidth="1"/>
    <col min="5" max="5" width="11.5703125" style="22" bestFit="1" customWidth="1"/>
    <col min="6" max="6" width="9.5703125" style="22" bestFit="1" customWidth="1"/>
    <col min="7" max="7" width="9.7109375" style="22" bestFit="1" customWidth="1"/>
    <col min="8" max="9" width="9.140625" style="22"/>
    <col min="10" max="10" width="9.140625" style="22" customWidth="1"/>
    <col min="11" max="11" width="14.5703125" style="22" bestFit="1" customWidth="1"/>
    <col min="12" max="16384" width="9.140625" style="22"/>
  </cols>
  <sheetData>
    <row r="1" spans="1:19" ht="18.75" x14ac:dyDescent="0.3">
      <c r="C1" s="32" t="s">
        <v>48</v>
      </c>
      <c r="D1" s="32" t="s">
        <v>10</v>
      </c>
      <c r="E1" s="32" t="s">
        <v>11</v>
      </c>
      <c r="F1" s="32" t="s">
        <v>21</v>
      </c>
      <c r="G1" s="32" t="s">
        <v>9</v>
      </c>
      <c r="I1" s="45" t="s">
        <v>28</v>
      </c>
      <c r="J1" s="44"/>
      <c r="K1" s="172" t="s">
        <v>29</v>
      </c>
      <c r="L1" s="46"/>
      <c r="M1" s="46"/>
      <c r="N1" s="46"/>
      <c r="O1" s="46"/>
      <c r="P1" s="26"/>
      <c r="Q1" s="46"/>
      <c r="R1" s="46"/>
      <c r="S1" s="46"/>
    </row>
    <row r="2" spans="1:19" ht="15" x14ac:dyDescent="0.25">
      <c r="C2" s="59">
        <v>4</v>
      </c>
      <c r="D2" s="33" t="e">
        <f>INTERCEPT($C$6:$C$29,$A$6:$A$29)</f>
        <v>#REF!</v>
      </c>
      <c r="E2" s="33" t="e">
        <f>SLOPE($C$6:$C$29,$A$6:$A$29)</f>
        <v>#REF!</v>
      </c>
      <c r="F2" s="34" t="e">
        <f>RSQ($C$6:$C$76,$A$6:$A$76)</f>
        <v>#REF!</v>
      </c>
      <c r="G2" s="33" t="e">
        <f>STEYX($C$6:$C$76,$A$6:$A$76)</f>
        <v>#REF!</v>
      </c>
      <c r="I2" s="31" t="s">
        <v>24</v>
      </c>
      <c r="J2" s="31" t="s">
        <v>23</v>
      </c>
      <c r="K2" s="31" t="s">
        <v>25</v>
      </c>
      <c r="L2" s="22" t="s">
        <v>30</v>
      </c>
    </row>
    <row r="3" spans="1:19" x14ac:dyDescent="0.25">
      <c r="A3" s="35" t="str">
        <f>[4]ArdiData!A2</f>
        <v>Per.</v>
      </c>
      <c r="B3" s="30" t="str">
        <f>[4]ArdiData!D2</f>
        <v>Trend&amp;S</v>
      </c>
      <c r="C3" s="31" t="s">
        <v>20</v>
      </c>
      <c r="D3" s="22" t="s">
        <v>22</v>
      </c>
      <c r="E3" s="22" t="s">
        <v>23</v>
      </c>
      <c r="F3" s="22" t="s">
        <v>24</v>
      </c>
      <c r="G3" s="22" t="s">
        <v>26</v>
      </c>
      <c r="I3" s="31">
        <v>1</v>
      </c>
      <c r="J3" s="36" t="e">
        <f>AVERAGEIF($F$4:$F$31,I3,$E$4:$E$31)</f>
        <v>#REF!</v>
      </c>
      <c r="K3" s="31" t="e">
        <f>J3/$J$8</f>
        <v>#REF!</v>
      </c>
      <c r="L3" s="22" t="s">
        <v>31</v>
      </c>
    </row>
    <row r="4" spans="1:19" ht="15" x14ac:dyDescent="0.3">
      <c r="A4" s="35">
        <f>[4]ArdiData!A3</f>
        <v>1</v>
      </c>
      <c r="B4" s="37" t="e">
        <f>#REF!</f>
        <v>#REF!</v>
      </c>
      <c r="D4" s="38" t="e">
        <f>$D$2+$E$2*A4</f>
        <v>#REF!</v>
      </c>
      <c r="E4" s="42" t="e">
        <f>B4/D4</f>
        <v>#REF!</v>
      </c>
      <c r="F4" s="58">
        <f>IF(MOD(A4,$C$2)&lt;&gt;0,MOD(A4,$C$2),$C$2)</f>
        <v>1</v>
      </c>
      <c r="G4" s="39" t="e">
        <f>VLOOKUP(F4,$I$3:$K$7,3)*D4</f>
        <v>#REF!</v>
      </c>
      <c r="I4" s="31">
        <v>2</v>
      </c>
      <c r="J4" s="36" t="e">
        <f t="shared" ref="J4:J6" si="0">AVERAGEIF($F$4:$F$31,I4,$E$4:$E$31)</f>
        <v>#REF!</v>
      </c>
      <c r="K4" s="31" t="e">
        <f t="shared" ref="K4:K6" si="1">J4/$J$8</f>
        <v>#REF!</v>
      </c>
      <c r="L4" s="22" t="s">
        <v>32</v>
      </c>
    </row>
    <row r="5" spans="1:19" ht="15" x14ac:dyDescent="0.3">
      <c r="A5" s="35">
        <f>[4]ArdiData!A4</f>
        <v>2</v>
      </c>
      <c r="B5" s="37" t="e">
        <f>#REF!</f>
        <v>#REF!</v>
      </c>
      <c r="D5" s="38" t="e">
        <f t="shared" ref="D5:D31" si="2">$D$2+$E$2*A5</f>
        <v>#REF!</v>
      </c>
      <c r="E5" s="42" t="e">
        <f t="shared" ref="E5:E31" si="3">B5/D5</f>
        <v>#REF!</v>
      </c>
      <c r="F5" s="58">
        <f t="shared" ref="F5:F31" si="4">IF(MOD(A5,$C$2)&lt;&gt;0,MOD(A5,$C$2),$C$2)</f>
        <v>2</v>
      </c>
      <c r="G5" s="39" t="e">
        <f t="shared" ref="G5:G31" si="5">VLOOKUP(F5,$I$3:$K$7,3)*D5</f>
        <v>#REF!</v>
      </c>
      <c r="I5" s="31">
        <v>3</v>
      </c>
      <c r="J5" s="36" t="e">
        <f t="shared" si="0"/>
        <v>#REF!</v>
      </c>
      <c r="K5" s="31" t="e">
        <f t="shared" si="1"/>
        <v>#REF!</v>
      </c>
      <c r="L5" s="22" t="s">
        <v>33</v>
      </c>
    </row>
    <row r="6" spans="1:19" ht="15" x14ac:dyDescent="0.3">
      <c r="A6" s="35">
        <f>[4]ArdiData!A5</f>
        <v>3</v>
      </c>
      <c r="B6" s="37" t="e">
        <f>#REF!</f>
        <v>#REF!</v>
      </c>
      <c r="C6" s="40" t="e">
        <f>(AVERAGE(B4:B7)+AVERAGE(B5:B8))/2</f>
        <v>#REF!</v>
      </c>
      <c r="D6" s="38" t="e">
        <f t="shared" si="2"/>
        <v>#REF!</v>
      </c>
      <c r="E6" s="42" t="e">
        <f t="shared" si="3"/>
        <v>#REF!</v>
      </c>
      <c r="F6" s="58">
        <f t="shared" si="4"/>
        <v>3</v>
      </c>
      <c r="G6" s="39" t="e">
        <f t="shared" si="5"/>
        <v>#REF!</v>
      </c>
      <c r="I6" s="31">
        <v>4</v>
      </c>
      <c r="J6" s="36" t="e">
        <f t="shared" si="0"/>
        <v>#REF!</v>
      </c>
      <c r="K6" s="31" t="e">
        <f t="shared" si="1"/>
        <v>#REF!</v>
      </c>
      <c r="L6" s="22" t="s">
        <v>34</v>
      </c>
    </row>
    <row r="7" spans="1:19" ht="15" x14ac:dyDescent="0.3">
      <c r="A7" s="35">
        <f>[4]ArdiData!A6</f>
        <v>4</v>
      </c>
      <c r="B7" s="37" t="e">
        <f>#REF!</f>
        <v>#REF!</v>
      </c>
      <c r="C7" s="40" t="e">
        <f t="shared" ref="C7:C28" si="6">(AVERAGE(B5:B8)+AVERAGE(B6:B9))/2</f>
        <v>#REF!</v>
      </c>
      <c r="D7" s="38" t="e">
        <f t="shared" si="2"/>
        <v>#REF!</v>
      </c>
      <c r="E7" s="42" t="e">
        <f t="shared" si="3"/>
        <v>#REF!</v>
      </c>
      <c r="F7" s="58">
        <f t="shared" si="4"/>
        <v>4</v>
      </c>
      <c r="G7" s="39" t="e">
        <f t="shared" si="5"/>
        <v>#REF!</v>
      </c>
      <c r="I7" s="31"/>
      <c r="J7" s="36"/>
      <c r="K7" s="31"/>
      <c r="L7" s="22" t="s">
        <v>35</v>
      </c>
    </row>
    <row r="8" spans="1:19" ht="15" x14ac:dyDescent="0.3">
      <c r="A8" s="35">
        <f>[4]ArdiData!A7</f>
        <v>5</v>
      </c>
      <c r="B8" s="37" t="e">
        <f>#REF!</f>
        <v>#REF!</v>
      </c>
      <c r="C8" s="40" t="e">
        <f t="shared" si="6"/>
        <v>#REF!</v>
      </c>
      <c r="D8" s="38" t="e">
        <f t="shared" si="2"/>
        <v>#REF!</v>
      </c>
      <c r="E8" s="42" t="e">
        <f t="shared" si="3"/>
        <v>#REF!</v>
      </c>
      <c r="F8" s="58">
        <f t="shared" si="4"/>
        <v>1</v>
      </c>
      <c r="G8" s="39" t="e">
        <f t="shared" si="5"/>
        <v>#REF!</v>
      </c>
      <c r="I8" s="31"/>
      <c r="J8" s="41" t="e">
        <f>AVERAGE(J3:J6)</f>
        <v>#REF!</v>
      </c>
      <c r="K8" s="41" t="e">
        <f>AVERAGE(K3:K7)</f>
        <v>#REF!</v>
      </c>
    </row>
    <row r="9" spans="1:19" ht="15" x14ac:dyDescent="0.3">
      <c r="A9" s="35">
        <f>[4]ArdiData!A8</f>
        <v>6</v>
      </c>
      <c r="B9" s="37" t="e">
        <f>#REF!</f>
        <v>#REF!</v>
      </c>
      <c r="C9" s="40" t="e">
        <f t="shared" si="6"/>
        <v>#REF!</v>
      </c>
      <c r="D9" s="38" t="e">
        <f t="shared" si="2"/>
        <v>#REF!</v>
      </c>
      <c r="E9" s="42" t="e">
        <f t="shared" si="3"/>
        <v>#REF!</v>
      </c>
      <c r="F9" s="58">
        <f t="shared" si="4"/>
        <v>2</v>
      </c>
      <c r="G9" s="39" t="e">
        <f t="shared" si="5"/>
        <v>#REF!</v>
      </c>
    </row>
    <row r="10" spans="1:19" ht="15" x14ac:dyDescent="0.3">
      <c r="A10" s="35">
        <f>[4]ArdiData!A9</f>
        <v>7</v>
      </c>
      <c r="B10" s="37" t="e">
        <f>#REF!</f>
        <v>#REF!</v>
      </c>
      <c r="C10" s="40" t="e">
        <f t="shared" si="6"/>
        <v>#REF!</v>
      </c>
      <c r="D10" s="38" t="e">
        <f t="shared" si="2"/>
        <v>#REF!</v>
      </c>
      <c r="E10" s="42" t="e">
        <f t="shared" si="3"/>
        <v>#REF!</v>
      </c>
      <c r="F10" s="58">
        <f t="shared" si="4"/>
        <v>3</v>
      </c>
      <c r="G10" s="39" t="e">
        <f t="shared" si="5"/>
        <v>#REF!</v>
      </c>
    </row>
    <row r="11" spans="1:19" ht="15" x14ac:dyDescent="0.3">
      <c r="A11" s="35">
        <f>[4]ArdiData!A10</f>
        <v>8</v>
      </c>
      <c r="B11" s="37" t="e">
        <f>#REF!</f>
        <v>#REF!</v>
      </c>
      <c r="C11" s="40" t="e">
        <f t="shared" si="6"/>
        <v>#REF!</v>
      </c>
      <c r="D11" s="38" t="e">
        <f t="shared" si="2"/>
        <v>#REF!</v>
      </c>
      <c r="E11" s="42" t="e">
        <f t="shared" si="3"/>
        <v>#REF!</v>
      </c>
      <c r="F11" s="58">
        <f t="shared" si="4"/>
        <v>4</v>
      </c>
      <c r="G11" s="39" t="e">
        <f t="shared" si="5"/>
        <v>#REF!</v>
      </c>
    </row>
    <row r="12" spans="1:19" ht="15" x14ac:dyDescent="0.3">
      <c r="A12" s="35">
        <f>[4]ArdiData!A11</f>
        <v>9</v>
      </c>
      <c r="B12" s="37" t="e">
        <f>#REF!</f>
        <v>#REF!</v>
      </c>
      <c r="C12" s="40" t="e">
        <f t="shared" si="6"/>
        <v>#REF!</v>
      </c>
      <c r="D12" s="38" t="e">
        <f t="shared" si="2"/>
        <v>#REF!</v>
      </c>
      <c r="E12" s="42" t="e">
        <f t="shared" si="3"/>
        <v>#REF!</v>
      </c>
      <c r="F12" s="58">
        <f t="shared" si="4"/>
        <v>1</v>
      </c>
      <c r="G12" s="39" t="e">
        <f t="shared" si="5"/>
        <v>#REF!</v>
      </c>
    </row>
    <row r="13" spans="1:19" ht="15" x14ac:dyDescent="0.3">
      <c r="A13" s="35">
        <f>[4]ArdiData!A12</f>
        <v>10</v>
      </c>
      <c r="B13" s="37" t="e">
        <f>#REF!</f>
        <v>#REF!</v>
      </c>
      <c r="C13" s="40" t="e">
        <f t="shared" si="6"/>
        <v>#REF!</v>
      </c>
      <c r="D13" s="38" t="e">
        <f t="shared" si="2"/>
        <v>#REF!</v>
      </c>
      <c r="E13" s="42" t="e">
        <f t="shared" si="3"/>
        <v>#REF!</v>
      </c>
      <c r="F13" s="58">
        <f t="shared" si="4"/>
        <v>2</v>
      </c>
      <c r="G13" s="39" t="e">
        <f t="shared" si="5"/>
        <v>#REF!</v>
      </c>
    </row>
    <row r="14" spans="1:19" ht="15" x14ac:dyDescent="0.3">
      <c r="A14" s="35">
        <f>[4]ArdiData!A13</f>
        <v>11</v>
      </c>
      <c r="B14" s="37" t="e">
        <f>#REF!</f>
        <v>#REF!</v>
      </c>
      <c r="C14" s="40" t="e">
        <f t="shared" si="6"/>
        <v>#REF!</v>
      </c>
      <c r="D14" s="38" t="e">
        <f t="shared" si="2"/>
        <v>#REF!</v>
      </c>
      <c r="E14" s="42" t="e">
        <f t="shared" si="3"/>
        <v>#REF!</v>
      </c>
      <c r="F14" s="58">
        <f t="shared" si="4"/>
        <v>3</v>
      </c>
      <c r="G14" s="39" t="e">
        <f t="shared" si="5"/>
        <v>#REF!</v>
      </c>
    </row>
    <row r="15" spans="1:19" ht="15" x14ac:dyDescent="0.3">
      <c r="A15" s="35">
        <f>[4]ArdiData!A14</f>
        <v>12</v>
      </c>
      <c r="B15" s="37" t="e">
        <f>#REF!</f>
        <v>#REF!</v>
      </c>
      <c r="C15" s="40" t="e">
        <f t="shared" si="6"/>
        <v>#REF!</v>
      </c>
      <c r="D15" s="38" t="e">
        <f t="shared" si="2"/>
        <v>#REF!</v>
      </c>
      <c r="E15" s="42" t="e">
        <f t="shared" si="3"/>
        <v>#REF!</v>
      </c>
      <c r="F15" s="58">
        <f t="shared" si="4"/>
        <v>4</v>
      </c>
      <c r="G15" s="39" t="e">
        <f t="shared" si="5"/>
        <v>#REF!</v>
      </c>
    </row>
    <row r="16" spans="1:19" ht="15" x14ac:dyDescent="0.3">
      <c r="A16" s="35">
        <f>[4]ArdiData!A15</f>
        <v>13</v>
      </c>
      <c r="B16" s="37" t="e">
        <f>#REF!</f>
        <v>#REF!</v>
      </c>
      <c r="C16" s="40" t="e">
        <f t="shared" si="6"/>
        <v>#REF!</v>
      </c>
      <c r="D16" s="38" t="e">
        <f t="shared" si="2"/>
        <v>#REF!</v>
      </c>
      <c r="E16" s="42" t="e">
        <f t="shared" si="3"/>
        <v>#REF!</v>
      </c>
      <c r="F16" s="58">
        <f t="shared" si="4"/>
        <v>1</v>
      </c>
      <c r="G16" s="39" t="e">
        <f t="shared" si="5"/>
        <v>#REF!</v>
      </c>
    </row>
    <row r="17" spans="1:11" ht="15" x14ac:dyDescent="0.3">
      <c r="A17" s="35">
        <f>[4]ArdiData!A16</f>
        <v>14</v>
      </c>
      <c r="B17" s="37" t="e">
        <f>#REF!</f>
        <v>#REF!</v>
      </c>
      <c r="C17" s="40" t="e">
        <f t="shared" si="6"/>
        <v>#REF!</v>
      </c>
      <c r="D17" s="38" t="e">
        <f t="shared" si="2"/>
        <v>#REF!</v>
      </c>
      <c r="E17" s="42" t="e">
        <f t="shared" si="3"/>
        <v>#REF!</v>
      </c>
      <c r="F17" s="58">
        <f t="shared" si="4"/>
        <v>2</v>
      </c>
      <c r="G17" s="39" t="e">
        <f t="shared" si="5"/>
        <v>#REF!</v>
      </c>
    </row>
    <row r="18" spans="1:11" ht="15" x14ac:dyDescent="0.3">
      <c r="A18" s="35">
        <f>[4]ArdiData!A17</f>
        <v>15</v>
      </c>
      <c r="B18" s="37" t="e">
        <f>#REF!</f>
        <v>#REF!</v>
      </c>
      <c r="C18" s="40" t="e">
        <f t="shared" si="6"/>
        <v>#REF!</v>
      </c>
      <c r="D18" s="38" t="e">
        <f t="shared" si="2"/>
        <v>#REF!</v>
      </c>
      <c r="E18" s="42" t="e">
        <f t="shared" si="3"/>
        <v>#REF!</v>
      </c>
      <c r="F18" s="58">
        <f t="shared" si="4"/>
        <v>3</v>
      </c>
      <c r="G18" s="39" t="e">
        <f t="shared" si="5"/>
        <v>#REF!</v>
      </c>
    </row>
    <row r="19" spans="1:11" ht="15" x14ac:dyDescent="0.3">
      <c r="A19" s="35">
        <f>[4]ArdiData!A18</f>
        <v>16</v>
      </c>
      <c r="B19" s="37" t="e">
        <f>#REF!</f>
        <v>#REF!</v>
      </c>
      <c r="C19" s="40" t="e">
        <f t="shared" si="6"/>
        <v>#REF!</v>
      </c>
      <c r="D19" s="38" t="e">
        <f t="shared" si="2"/>
        <v>#REF!</v>
      </c>
      <c r="E19" s="42" t="e">
        <f t="shared" si="3"/>
        <v>#REF!</v>
      </c>
      <c r="F19" s="58">
        <f t="shared" si="4"/>
        <v>4</v>
      </c>
      <c r="G19" s="39" t="e">
        <f t="shared" si="5"/>
        <v>#REF!</v>
      </c>
    </row>
    <row r="20" spans="1:11" ht="15" x14ac:dyDescent="0.3">
      <c r="A20" s="35">
        <f>[4]ArdiData!A19</f>
        <v>17</v>
      </c>
      <c r="B20" s="37" t="e">
        <f>#REF!</f>
        <v>#REF!</v>
      </c>
      <c r="C20" s="40" t="e">
        <f t="shared" si="6"/>
        <v>#REF!</v>
      </c>
      <c r="D20" s="38" t="e">
        <f t="shared" si="2"/>
        <v>#REF!</v>
      </c>
      <c r="E20" s="42" t="e">
        <f t="shared" si="3"/>
        <v>#REF!</v>
      </c>
      <c r="F20" s="58">
        <f t="shared" si="4"/>
        <v>1</v>
      </c>
      <c r="G20" s="39" t="e">
        <f t="shared" si="5"/>
        <v>#REF!</v>
      </c>
    </row>
    <row r="21" spans="1:11" ht="15" x14ac:dyDescent="0.3">
      <c r="A21" s="35">
        <f>[4]ArdiData!A20</f>
        <v>18</v>
      </c>
      <c r="B21" s="37" t="e">
        <f>#REF!</f>
        <v>#REF!</v>
      </c>
      <c r="C21" s="40" t="e">
        <f t="shared" si="6"/>
        <v>#REF!</v>
      </c>
      <c r="D21" s="38" t="e">
        <f t="shared" si="2"/>
        <v>#REF!</v>
      </c>
      <c r="E21" s="42" t="e">
        <f t="shared" si="3"/>
        <v>#REF!</v>
      </c>
      <c r="F21" s="58">
        <f t="shared" si="4"/>
        <v>2</v>
      </c>
      <c r="G21" s="39" t="e">
        <f t="shared" si="5"/>
        <v>#REF!</v>
      </c>
    </row>
    <row r="22" spans="1:11" ht="15" x14ac:dyDescent="0.3">
      <c r="A22" s="35">
        <f>[4]ArdiData!A21</f>
        <v>19</v>
      </c>
      <c r="B22" s="37" t="e">
        <f>#REF!</f>
        <v>#REF!</v>
      </c>
      <c r="C22" s="40" t="e">
        <f t="shared" si="6"/>
        <v>#REF!</v>
      </c>
      <c r="D22" s="38" t="e">
        <f t="shared" si="2"/>
        <v>#REF!</v>
      </c>
      <c r="E22" s="42" t="e">
        <f t="shared" si="3"/>
        <v>#REF!</v>
      </c>
      <c r="F22" s="58">
        <f t="shared" si="4"/>
        <v>3</v>
      </c>
      <c r="G22" s="39" t="e">
        <f t="shared" si="5"/>
        <v>#REF!</v>
      </c>
    </row>
    <row r="23" spans="1:11" ht="15" x14ac:dyDescent="0.3">
      <c r="A23" s="35">
        <f>[4]ArdiData!A22</f>
        <v>20</v>
      </c>
      <c r="B23" s="37" t="e">
        <f>#REF!</f>
        <v>#REF!</v>
      </c>
      <c r="C23" s="40" t="e">
        <f t="shared" si="6"/>
        <v>#REF!</v>
      </c>
      <c r="D23" s="38" t="e">
        <f t="shared" si="2"/>
        <v>#REF!</v>
      </c>
      <c r="E23" s="42" t="e">
        <f t="shared" si="3"/>
        <v>#REF!</v>
      </c>
      <c r="F23" s="58">
        <f t="shared" si="4"/>
        <v>4</v>
      </c>
      <c r="G23" s="39" t="e">
        <f t="shared" si="5"/>
        <v>#REF!</v>
      </c>
    </row>
    <row r="24" spans="1:11" ht="15" x14ac:dyDescent="0.3">
      <c r="A24" s="35">
        <f>[4]ArdiData!A23</f>
        <v>21</v>
      </c>
      <c r="B24" s="37" t="e">
        <f>#REF!</f>
        <v>#REF!</v>
      </c>
      <c r="C24" s="40" t="e">
        <f t="shared" si="6"/>
        <v>#REF!</v>
      </c>
      <c r="D24" s="38" t="e">
        <f t="shared" si="2"/>
        <v>#REF!</v>
      </c>
      <c r="E24" s="42" t="e">
        <f t="shared" si="3"/>
        <v>#REF!</v>
      </c>
      <c r="F24" s="58">
        <f t="shared" si="4"/>
        <v>1</v>
      </c>
      <c r="G24" s="39" t="e">
        <f t="shared" si="5"/>
        <v>#REF!</v>
      </c>
    </row>
    <row r="25" spans="1:11" ht="15" x14ac:dyDescent="0.3">
      <c r="A25" s="35">
        <f>[4]ArdiData!A24</f>
        <v>22</v>
      </c>
      <c r="B25" s="37" t="e">
        <f>#REF!</f>
        <v>#REF!</v>
      </c>
      <c r="C25" s="40" t="e">
        <f t="shared" si="6"/>
        <v>#REF!</v>
      </c>
      <c r="D25" s="38" t="e">
        <f t="shared" si="2"/>
        <v>#REF!</v>
      </c>
      <c r="E25" s="42" t="e">
        <f t="shared" si="3"/>
        <v>#REF!</v>
      </c>
      <c r="F25" s="58">
        <f t="shared" si="4"/>
        <v>2</v>
      </c>
      <c r="G25" s="39" t="e">
        <f t="shared" si="5"/>
        <v>#REF!</v>
      </c>
    </row>
    <row r="26" spans="1:11" ht="15" x14ac:dyDescent="0.3">
      <c r="A26" s="35">
        <f>[4]ArdiData!A25</f>
        <v>23</v>
      </c>
      <c r="B26" s="37" t="e">
        <f>#REF!</f>
        <v>#REF!</v>
      </c>
      <c r="C26" s="40" t="e">
        <f t="shared" si="6"/>
        <v>#REF!</v>
      </c>
      <c r="D26" s="38" t="e">
        <f t="shared" si="2"/>
        <v>#REF!</v>
      </c>
      <c r="E26" s="42" t="e">
        <f t="shared" si="3"/>
        <v>#REF!</v>
      </c>
      <c r="F26" s="58">
        <f t="shared" si="4"/>
        <v>3</v>
      </c>
      <c r="G26" s="39" t="e">
        <f t="shared" si="5"/>
        <v>#REF!</v>
      </c>
    </row>
    <row r="27" spans="1:11" ht="15" x14ac:dyDescent="0.3">
      <c r="A27" s="35">
        <f>[4]ArdiData!A26</f>
        <v>24</v>
      </c>
      <c r="B27" s="37" t="e">
        <f>#REF!</f>
        <v>#REF!</v>
      </c>
      <c r="C27" s="40" t="e">
        <f t="shared" si="6"/>
        <v>#REF!</v>
      </c>
      <c r="D27" s="38" t="e">
        <f t="shared" si="2"/>
        <v>#REF!</v>
      </c>
      <c r="E27" s="42" t="e">
        <f t="shared" si="3"/>
        <v>#REF!</v>
      </c>
      <c r="F27" s="58">
        <f t="shared" si="4"/>
        <v>4</v>
      </c>
      <c r="G27" s="39" t="e">
        <f t="shared" si="5"/>
        <v>#REF!</v>
      </c>
    </row>
    <row r="28" spans="1:11" ht="15" x14ac:dyDescent="0.3">
      <c r="A28" s="35">
        <f>[4]ArdiData!A27</f>
        <v>25</v>
      </c>
      <c r="B28" s="37" t="e">
        <f>#REF!</f>
        <v>#REF!</v>
      </c>
      <c r="C28" s="40" t="e">
        <f t="shared" si="6"/>
        <v>#REF!</v>
      </c>
      <c r="D28" s="38" t="e">
        <f t="shared" si="2"/>
        <v>#REF!</v>
      </c>
      <c r="E28" s="42" t="e">
        <f t="shared" si="3"/>
        <v>#REF!</v>
      </c>
      <c r="F28" s="58">
        <f t="shared" si="4"/>
        <v>1</v>
      </c>
      <c r="G28" s="39" t="e">
        <f t="shared" si="5"/>
        <v>#REF!</v>
      </c>
    </row>
    <row r="29" spans="1:11" ht="15" x14ac:dyDescent="0.3">
      <c r="A29" s="35">
        <f>[4]ArdiData!A28</f>
        <v>26</v>
      </c>
      <c r="B29" s="37" t="e">
        <f>#REF!</f>
        <v>#REF!</v>
      </c>
      <c r="C29" s="40" t="e">
        <f>(AVERAGE(B27:B30)+AVERAGE(B28:B31))/2</f>
        <v>#REF!</v>
      </c>
      <c r="D29" s="38" t="e">
        <f t="shared" si="2"/>
        <v>#REF!</v>
      </c>
      <c r="E29" s="42" t="e">
        <f t="shared" si="3"/>
        <v>#REF!</v>
      </c>
      <c r="F29" s="58">
        <f t="shared" si="4"/>
        <v>2</v>
      </c>
      <c r="G29" s="39" t="e">
        <f t="shared" si="5"/>
        <v>#REF!</v>
      </c>
    </row>
    <row r="30" spans="1:11" ht="15.75" x14ac:dyDescent="0.3">
      <c r="A30" s="35">
        <f>[4]ArdiData!A29</f>
        <v>27</v>
      </c>
      <c r="B30" s="37" t="e">
        <f>#REF!</f>
        <v>#REF!</v>
      </c>
      <c r="C30"/>
      <c r="D30" s="38" t="e">
        <f t="shared" si="2"/>
        <v>#REF!</v>
      </c>
      <c r="E30" s="42" t="e">
        <f t="shared" si="3"/>
        <v>#REF!</v>
      </c>
      <c r="F30" s="58">
        <f t="shared" si="4"/>
        <v>3</v>
      </c>
      <c r="G30" s="39" t="e">
        <f t="shared" si="5"/>
        <v>#REF!</v>
      </c>
    </row>
    <row r="31" spans="1:11" ht="15.75" x14ac:dyDescent="0.3">
      <c r="A31" s="35">
        <f>[4]ArdiData!A30</f>
        <v>28</v>
      </c>
      <c r="B31" s="37" t="e">
        <f>#REF!</f>
        <v>#REF!</v>
      </c>
      <c r="C31"/>
      <c r="D31" s="38" t="e">
        <f t="shared" si="2"/>
        <v>#REF!</v>
      </c>
      <c r="E31" s="42" t="e">
        <f t="shared" si="3"/>
        <v>#REF!</v>
      </c>
      <c r="F31" s="58">
        <f t="shared" si="4"/>
        <v>4</v>
      </c>
      <c r="G31" s="39" t="e">
        <f t="shared" si="5"/>
        <v>#REF!</v>
      </c>
    </row>
    <row r="32" spans="1:11" ht="15" x14ac:dyDescent="0.25">
      <c r="A32"/>
      <c r="B32"/>
      <c r="C32"/>
      <c r="D32"/>
      <c r="E32"/>
      <c r="F32"/>
      <c r="G32"/>
      <c r="H32"/>
      <c r="I32"/>
      <c r="J32"/>
      <c r="K32"/>
    </row>
    <row r="33" spans="1:11" ht="15" x14ac:dyDescent="0.25">
      <c r="A33"/>
      <c r="B33"/>
      <c r="C33"/>
      <c r="D33"/>
      <c r="E33"/>
      <c r="F33"/>
      <c r="G33"/>
      <c r="H33"/>
      <c r="I33"/>
      <c r="J33"/>
      <c r="K33"/>
    </row>
    <row r="34" spans="1:11" ht="15" x14ac:dyDescent="0.25">
      <c r="A34"/>
      <c r="B34"/>
      <c r="C34"/>
      <c r="D34"/>
      <c r="E34"/>
      <c r="F34"/>
      <c r="G34"/>
      <c r="H34"/>
      <c r="I34"/>
      <c r="J34"/>
      <c r="K34"/>
    </row>
    <row r="35" spans="1:11" ht="15" x14ac:dyDescent="0.25">
      <c r="A35"/>
      <c r="B35"/>
      <c r="C35"/>
      <c r="D35"/>
      <c r="E35"/>
      <c r="F35"/>
      <c r="G35"/>
      <c r="H35"/>
      <c r="I35"/>
      <c r="J35"/>
      <c r="K35"/>
    </row>
    <row r="36" spans="1:11" ht="15" x14ac:dyDescent="0.25">
      <c r="A36"/>
      <c r="B36"/>
      <c r="C36"/>
      <c r="D36"/>
      <c r="E36"/>
      <c r="F36"/>
      <c r="G36"/>
      <c r="H36"/>
      <c r="I36"/>
      <c r="J36"/>
      <c r="K36"/>
    </row>
    <row r="37" spans="1:11" ht="15" x14ac:dyDescent="0.25">
      <c r="A37"/>
      <c r="B37"/>
      <c r="C37"/>
      <c r="D37"/>
      <c r="E37"/>
      <c r="F37"/>
      <c r="G37"/>
      <c r="H37"/>
      <c r="I37"/>
      <c r="J37"/>
      <c r="K37"/>
    </row>
    <row r="38" spans="1:11" ht="15" x14ac:dyDescent="0.25">
      <c r="A38"/>
      <c r="B38"/>
      <c r="C38"/>
      <c r="D38"/>
      <c r="E38"/>
      <c r="F38"/>
      <c r="G38"/>
      <c r="H38"/>
      <c r="I38"/>
      <c r="J38"/>
      <c r="K38"/>
    </row>
    <row r="39" spans="1:11" ht="15" x14ac:dyDescent="0.25">
      <c r="A39"/>
      <c r="B39"/>
      <c r="C39"/>
      <c r="D39"/>
      <c r="E39"/>
      <c r="F39"/>
      <c r="G39"/>
      <c r="H39"/>
      <c r="I39"/>
      <c r="J39"/>
      <c r="K39"/>
    </row>
    <row r="40" spans="1:11" ht="15" x14ac:dyDescent="0.25">
      <c r="A40"/>
      <c r="B40"/>
      <c r="C40"/>
      <c r="D40"/>
      <c r="E40"/>
      <c r="F40"/>
      <c r="G40"/>
      <c r="H40"/>
      <c r="I40"/>
      <c r="J40"/>
      <c r="K40"/>
    </row>
    <row r="41" spans="1:11" ht="15" x14ac:dyDescent="0.25">
      <c r="A41"/>
      <c r="B41"/>
      <c r="C41"/>
      <c r="D41"/>
      <c r="E41"/>
      <c r="F41"/>
      <c r="G41"/>
      <c r="H41"/>
      <c r="I41"/>
      <c r="J41"/>
      <c r="K41"/>
    </row>
    <row r="42" spans="1:11" ht="15" x14ac:dyDescent="0.25">
      <c r="A42"/>
      <c r="B42"/>
      <c r="C42"/>
      <c r="D42"/>
      <c r="E42"/>
      <c r="F42"/>
      <c r="G42"/>
      <c r="H42"/>
      <c r="I42"/>
      <c r="J42"/>
      <c r="K42"/>
    </row>
    <row r="43" spans="1:11" ht="15" x14ac:dyDescent="0.25">
      <c r="A43"/>
      <c r="B43"/>
      <c r="C43"/>
      <c r="D43"/>
      <c r="E43"/>
      <c r="F43"/>
      <c r="G43"/>
      <c r="H43"/>
      <c r="I43"/>
      <c r="J43"/>
      <c r="K43"/>
    </row>
    <row r="44" spans="1:11" ht="15" x14ac:dyDescent="0.25">
      <c r="A44"/>
      <c r="B44"/>
      <c r="C44"/>
      <c r="D44"/>
      <c r="E44"/>
      <c r="F44"/>
      <c r="G44"/>
      <c r="H44"/>
      <c r="I44"/>
      <c r="J44"/>
      <c r="K44"/>
    </row>
    <row r="45" spans="1:11" ht="15" x14ac:dyDescent="0.25">
      <c r="A45"/>
      <c r="B45"/>
      <c r="C45"/>
      <c r="D45"/>
      <c r="E45"/>
      <c r="F45"/>
      <c r="G45"/>
      <c r="H45"/>
      <c r="I45"/>
      <c r="J45"/>
      <c r="K45"/>
    </row>
    <row r="46" spans="1:11" ht="15" x14ac:dyDescent="0.25">
      <c r="A46"/>
      <c r="B46"/>
      <c r="C46"/>
      <c r="D46"/>
      <c r="E46"/>
      <c r="F46"/>
      <c r="G46"/>
      <c r="H46"/>
      <c r="I46"/>
      <c r="J46"/>
      <c r="K46"/>
    </row>
    <row r="47" spans="1:11" ht="15" x14ac:dyDescent="0.25">
      <c r="A47"/>
      <c r="B47"/>
      <c r="C47"/>
      <c r="D47"/>
      <c r="E47"/>
      <c r="F47"/>
      <c r="G47"/>
      <c r="H47"/>
      <c r="I47"/>
      <c r="J47"/>
      <c r="K47"/>
    </row>
    <row r="48" spans="1:11" ht="15" x14ac:dyDescent="0.25">
      <c r="A48"/>
      <c r="B48"/>
      <c r="C48"/>
      <c r="D48"/>
      <c r="E48"/>
      <c r="F48"/>
      <c r="G48"/>
      <c r="H48"/>
      <c r="I48"/>
      <c r="J48"/>
      <c r="K48"/>
    </row>
    <row r="49" spans="1:11" ht="15" x14ac:dyDescent="0.25">
      <c r="A49"/>
      <c r="B49"/>
      <c r="C49"/>
      <c r="D49"/>
      <c r="E49"/>
      <c r="F49"/>
      <c r="G49"/>
      <c r="H49"/>
      <c r="I49"/>
      <c r="J49"/>
      <c r="K49"/>
    </row>
    <row r="50" spans="1:11" ht="15" x14ac:dyDescent="0.25">
      <c r="A50"/>
      <c r="B50"/>
      <c r="C50"/>
      <c r="D50"/>
      <c r="E50"/>
      <c r="F50"/>
      <c r="G50"/>
      <c r="H50"/>
      <c r="I50"/>
      <c r="J50"/>
      <c r="K50"/>
    </row>
    <row r="51" spans="1:11" ht="15" x14ac:dyDescent="0.25">
      <c r="A51"/>
      <c r="B51"/>
      <c r="C51"/>
      <c r="D51"/>
      <c r="E51"/>
      <c r="F51"/>
      <c r="G51"/>
      <c r="H51"/>
      <c r="I51"/>
      <c r="J51"/>
      <c r="K51"/>
    </row>
    <row r="52" spans="1:11" ht="15" x14ac:dyDescent="0.25">
      <c r="A52"/>
      <c r="B52"/>
      <c r="C52"/>
      <c r="D52"/>
      <c r="E52"/>
      <c r="F52"/>
      <c r="G52"/>
      <c r="H52"/>
      <c r="I52"/>
      <c r="J52"/>
      <c r="K52"/>
    </row>
    <row r="53" spans="1:11" ht="15" x14ac:dyDescent="0.25">
      <c r="A53"/>
      <c r="B53"/>
      <c r="C53"/>
      <c r="D53"/>
      <c r="E53"/>
      <c r="F53"/>
      <c r="G53"/>
      <c r="H53"/>
      <c r="I53"/>
      <c r="J53"/>
      <c r="K53"/>
    </row>
    <row r="54" spans="1:11" ht="15" x14ac:dyDescent="0.25">
      <c r="A54"/>
      <c r="B54"/>
      <c r="C54"/>
      <c r="D54"/>
      <c r="E54"/>
      <c r="F54"/>
      <c r="G54"/>
      <c r="H54"/>
      <c r="I54"/>
      <c r="J54"/>
      <c r="K54"/>
    </row>
    <row r="55" spans="1:11" ht="15" x14ac:dyDescent="0.25">
      <c r="A55"/>
      <c r="B55"/>
      <c r="C55"/>
      <c r="D55"/>
      <c r="E55"/>
      <c r="F55"/>
      <c r="G55"/>
      <c r="H55"/>
      <c r="I55"/>
      <c r="J55"/>
      <c r="K55"/>
    </row>
    <row r="56" spans="1:11" ht="15" x14ac:dyDescent="0.25">
      <c r="A56"/>
      <c r="B56"/>
      <c r="C56"/>
      <c r="D56"/>
      <c r="E56"/>
      <c r="F56"/>
      <c r="G56"/>
      <c r="H56"/>
      <c r="I56"/>
      <c r="J56"/>
      <c r="K56"/>
    </row>
    <row r="57" spans="1:11" ht="15" x14ac:dyDescent="0.25">
      <c r="A57"/>
      <c r="B57"/>
      <c r="C57"/>
      <c r="D57"/>
      <c r="E57"/>
      <c r="F57"/>
      <c r="G57"/>
      <c r="H57"/>
      <c r="I57"/>
      <c r="J57"/>
      <c r="K57"/>
    </row>
    <row r="58" spans="1:11" ht="15" x14ac:dyDescent="0.25">
      <c r="A58"/>
      <c r="B58"/>
      <c r="C58"/>
      <c r="D58"/>
      <c r="E58"/>
      <c r="F58"/>
      <c r="G58"/>
      <c r="H58"/>
      <c r="I58"/>
      <c r="J58"/>
      <c r="K58"/>
    </row>
    <row r="59" spans="1:11" ht="15" x14ac:dyDescent="0.25">
      <c r="A59"/>
      <c r="B59"/>
      <c r="C59"/>
      <c r="D59"/>
      <c r="E59"/>
      <c r="F59"/>
      <c r="G59"/>
      <c r="H59"/>
      <c r="I59"/>
      <c r="J59"/>
      <c r="K59"/>
    </row>
    <row r="60" spans="1:11" ht="15" x14ac:dyDescent="0.25">
      <c r="A60"/>
      <c r="B60"/>
      <c r="C60"/>
      <c r="D60"/>
      <c r="E60"/>
      <c r="F60"/>
      <c r="G60"/>
      <c r="H60"/>
      <c r="I60"/>
      <c r="J60"/>
      <c r="K60"/>
    </row>
    <row r="61" spans="1:11" ht="15" x14ac:dyDescent="0.25">
      <c r="A61"/>
      <c r="B61"/>
      <c r="C61"/>
      <c r="D61"/>
      <c r="E61"/>
      <c r="F61"/>
      <c r="G61"/>
      <c r="H61"/>
      <c r="I61"/>
      <c r="J61"/>
      <c r="K61"/>
    </row>
    <row r="62" spans="1:11" ht="15" x14ac:dyDescent="0.25">
      <c r="A62"/>
      <c r="B62"/>
      <c r="C62"/>
      <c r="D62"/>
      <c r="E62"/>
      <c r="F62"/>
      <c r="G62"/>
      <c r="H62"/>
      <c r="I62"/>
      <c r="J62"/>
      <c r="K62"/>
    </row>
    <row r="63" spans="1:11" ht="15" x14ac:dyDescent="0.25">
      <c r="A63"/>
      <c r="B63"/>
      <c r="C63"/>
      <c r="D63"/>
      <c r="E63"/>
      <c r="F63"/>
      <c r="G63"/>
      <c r="H63"/>
      <c r="I63"/>
      <c r="J63"/>
      <c r="K63"/>
    </row>
    <row r="64" spans="1:11" ht="15" x14ac:dyDescent="0.25">
      <c r="A64"/>
      <c r="B64"/>
      <c r="C64"/>
      <c r="D64"/>
      <c r="E64"/>
      <c r="F64"/>
      <c r="G64"/>
      <c r="H64"/>
      <c r="I64"/>
      <c r="J64"/>
      <c r="K64"/>
    </row>
    <row r="65" spans="1:11" ht="15" x14ac:dyDescent="0.25">
      <c r="A65"/>
      <c r="B65"/>
      <c r="C65"/>
      <c r="D65"/>
      <c r="E65"/>
      <c r="F65"/>
      <c r="G65"/>
      <c r="H65"/>
      <c r="I65"/>
      <c r="J65"/>
      <c r="K65"/>
    </row>
    <row r="66" spans="1:11" ht="15" x14ac:dyDescent="0.25">
      <c r="A66"/>
      <c r="B66"/>
      <c r="C66"/>
      <c r="D66"/>
      <c r="E66"/>
      <c r="F66"/>
      <c r="G66"/>
      <c r="H66"/>
      <c r="I66"/>
      <c r="J66"/>
      <c r="K66"/>
    </row>
    <row r="67" spans="1:11" ht="15" x14ac:dyDescent="0.25">
      <c r="A67"/>
      <c r="B67"/>
      <c r="C67"/>
      <c r="D67"/>
      <c r="E67"/>
      <c r="F67"/>
      <c r="G67"/>
      <c r="H67"/>
      <c r="I67"/>
      <c r="J67"/>
      <c r="K67"/>
    </row>
    <row r="68" spans="1:11" ht="15" x14ac:dyDescent="0.25">
      <c r="A68"/>
      <c r="B68"/>
      <c r="C68"/>
      <c r="D68"/>
      <c r="E68"/>
      <c r="F68"/>
      <c r="G68"/>
      <c r="H68"/>
      <c r="I68"/>
      <c r="J68"/>
      <c r="K68"/>
    </row>
    <row r="69" spans="1:11" ht="15" x14ac:dyDescent="0.25">
      <c r="A69"/>
      <c r="B69"/>
      <c r="C69"/>
      <c r="D69"/>
      <c r="E69"/>
      <c r="F69"/>
      <c r="G69"/>
      <c r="H69"/>
      <c r="I69"/>
      <c r="J69"/>
      <c r="K69"/>
    </row>
    <row r="70" spans="1:11" ht="15" x14ac:dyDescent="0.25">
      <c r="A70"/>
      <c r="B70"/>
      <c r="C70"/>
      <c r="D70"/>
      <c r="E70"/>
      <c r="F70"/>
      <c r="G70"/>
      <c r="H70"/>
      <c r="I70"/>
      <c r="J70"/>
      <c r="K70"/>
    </row>
    <row r="71" spans="1:11" ht="15" x14ac:dyDescent="0.25">
      <c r="A71"/>
      <c r="B71"/>
      <c r="C71"/>
      <c r="D71"/>
      <c r="E71"/>
      <c r="F71"/>
      <c r="G71"/>
      <c r="H71"/>
      <c r="I71"/>
      <c r="J71"/>
      <c r="K71"/>
    </row>
    <row r="72" spans="1:11" ht="15" x14ac:dyDescent="0.25">
      <c r="A72"/>
      <c r="B72"/>
      <c r="C72"/>
      <c r="D72"/>
      <c r="E72"/>
      <c r="F72"/>
      <c r="G72"/>
      <c r="H72"/>
      <c r="I72"/>
      <c r="J72"/>
      <c r="K72"/>
    </row>
    <row r="73" spans="1:11" ht="15" x14ac:dyDescent="0.25">
      <c r="A73"/>
      <c r="B73"/>
      <c r="C73"/>
      <c r="D73"/>
      <c r="E73"/>
      <c r="F73"/>
      <c r="G73"/>
      <c r="H73"/>
      <c r="I73"/>
      <c r="J73"/>
      <c r="K73"/>
    </row>
    <row r="74" spans="1:11" ht="15" x14ac:dyDescent="0.25">
      <c r="A74"/>
      <c r="B74"/>
      <c r="C74"/>
      <c r="D74"/>
      <c r="E74"/>
      <c r="F74"/>
      <c r="G74"/>
      <c r="H74"/>
      <c r="I74"/>
      <c r="J74"/>
      <c r="K74"/>
    </row>
    <row r="75" spans="1:11" ht="15" x14ac:dyDescent="0.25">
      <c r="A75"/>
      <c r="B75"/>
      <c r="C75"/>
      <c r="D75"/>
      <c r="E75"/>
      <c r="F75"/>
      <c r="G75"/>
      <c r="H75"/>
      <c r="I75"/>
      <c r="J75"/>
      <c r="K75"/>
    </row>
    <row r="76" spans="1:11" ht="15" x14ac:dyDescent="0.25">
      <c r="A76"/>
      <c r="B76"/>
      <c r="C76"/>
      <c r="D76"/>
      <c r="E76"/>
      <c r="F76"/>
      <c r="G76"/>
      <c r="H76"/>
      <c r="I76"/>
      <c r="J76"/>
      <c r="K76"/>
    </row>
    <row r="77" spans="1:11" ht="15" x14ac:dyDescent="0.25">
      <c r="A77"/>
      <c r="B77"/>
      <c r="C77"/>
      <c r="D77"/>
      <c r="E77"/>
      <c r="F77"/>
      <c r="G77"/>
      <c r="H77"/>
      <c r="I77"/>
      <c r="J77"/>
      <c r="K77"/>
    </row>
    <row r="78" spans="1:11" ht="15" x14ac:dyDescent="0.25">
      <c r="A78"/>
      <c r="B78"/>
      <c r="C78"/>
      <c r="D78"/>
      <c r="E78"/>
      <c r="F78"/>
      <c r="G78"/>
      <c r="H78"/>
      <c r="I78"/>
      <c r="J78"/>
      <c r="K78"/>
    </row>
    <row r="79" spans="1:11" ht="15" x14ac:dyDescent="0.25">
      <c r="A79"/>
      <c r="B79"/>
      <c r="C79"/>
      <c r="D79"/>
      <c r="E79"/>
      <c r="F79"/>
      <c r="G79"/>
      <c r="H79"/>
      <c r="I79"/>
      <c r="J79"/>
      <c r="K79"/>
    </row>
    <row r="80" spans="1:11" ht="15" x14ac:dyDescent="0.25">
      <c r="A80"/>
      <c r="B80"/>
      <c r="C80"/>
      <c r="D80"/>
      <c r="E80"/>
      <c r="F80"/>
      <c r="G80"/>
      <c r="H80"/>
      <c r="I80"/>
      <c r="J80"/>
      <c r="K80"/>
    </row>
    <row r="81" spans="1:11" ht="15" x14ac:dyDescent="0.25">
      <c r="A81"/>
      <c r="B81"/>
      <c r="C81"/>
      <c r="D81"/>
      <c r="E81"/>
      <c r="F81"/>
      <c r="G81"/>
      <c r="H81"/>
      <c r="I81"/>
      <c r="J81"/>
      <c r="K81"/>
    </row>
    <row r="82" spans="1:11" ht="15" x14ac:dyDescent="0.25">
      <c r="A82"/>
      <c r="B82"/>
      <c r="C82"/>
      <c r="D82"/>
      <c r="E82"/>
      <c r="F82"/>
      <c r="G82"/>
      <c r="H82"/>
      <c r="I82"/>
      <c r="J82"/>
      <c r="K82"/>
    </row>
    <row r="83" spans="1:11" ht="15" x14ac:dyDescent="0.25">
      <c r="A83"/>
      <c r="B83"/>
      <c r="C83"/>
      <c r="D83"/>
      <c r="E83"/>
      <c r="F83"/>
      <c r="G83"/>
      <c r="H83"/>
      <c r="I83"/>
      <c r="J83"/>
      <c r="K83"/>
    </row>
    <row r="84" spans="1:11" ht="15" x14ac:dyDescent="0.25">
      <c r="A84"/>
      <c r="B84"/>
      <c r="C84"/>
      <c r="D84"/>
      <c r="E84"/>
      <c r="F84"/>
      <c r="G84"/>
      <c r="H84"/>
      <c r="I84"/>
      <c r="J84"/>
      <c r="K84"/>
    </row>
    <row r="85" spans="1:11" ht="15" x14ac:dyDescent="0.25">
      <c r="A85"/>
      <c r="B85"/>
      <c r="C85"/>
      <c r="D85"/>
      <c r="E85"/>
      <c r="F85"/>
      <c r="G85"/>
      <c r="H85"/>
      <c r="I85"/>
      <c r="J85"/>
      <c r="K85"/>
    </row>
    <row r="86" spans="1:11" ht="15" x14ac:dyDescent="0.25">
      <c r="A86"/>
      <c r="B86"/>
      <c r="C86"/>
      <c r="D86"/>
      <c r="E86"/>
      <c r="F86"/>
      <c r="G86"/>
      <c r="H86"/>
      <c r="I86"/>
      <c r="J86"/>
      <c r="K86"/>
    </row>
    <row r="87" spans="1:11" ht="15" x14ac:dyDescent="0.25">
      <c r="A87"/>
      <c r="B87"/>
      <c r="C87"/>
      <c r="D87"/>
      <c r="E87"/>
      <c r="F87"/>
      <c r="G87"/>
      <c r="H87"/>
      <c r="I87"/>
      <c r="J87"/>
      <c r="K87"/>
    </row>
    <row r="88" spans="1:11" ht="15" x14ac:dyDescent="0.25">
      <c r="A88"/>
      <c r="B88"/>
      <c r="C88"/>
      <c r="D88"/>
      <c r="E88"/>
      <c r="F88"/>
      <c r="G88"/>
      <c r="H88"/>
      <c r="I88"/>
      <c r="J88"/>
      <c r="K88"/>
    </row>
    <row r="89" spans="1:11" ht="15" x14ac:dyDescent="0.25">
      <c r="A89"/>
      <c r="B89"/>
      <c r="C89"/>
      <c r="D89"/>
      <c r="E89"/>
      <c r="F89"/>
      <c r="G89"/>
      <c r="H89"/>
      <c r="I89"/>
      <c r="J89"/>
      <c r="K89"/>
    </row>
    <row r="90" spans="1:11" ht="15" x14ac:dyDescent="0.25">
      <c r="A90"/>
      <c r="B90"/>
      <c r="C90"/>
      <c r="D90"/>
      <c r="E90"/>
      <c r="F90"/>
      <c r="G90"/>
      <c r="H90"/>
      <c r="I90"/>
      <c r="J90"/>
      <c r="K90"/>
    </row>
    <row r="91" spans="1:11" ht="15" x14ac:dyDescent="0.25">
      <c r="A91"/>
      <c r="B91"/>
      <c r="C91"/>
      <c r="D91"/>
      <c r="E91"/>
      <c r="F91"/>
      <c r="G91"/>
      <c r="H91"/>
      <c r="I91"/>
      <c r="J91"/>
      <c r="K91"/>
    </row>
    <row r="92" spans="1:11" ht="15" x14ac:dyDescent="0.25">
      <c r="A92"/>
      <c r="B92"/>
      <c r="C92"/>
      <c r="D92"/>
      <c r="E92"/>
      <c r="F92"/>
      <c r="G92"/>
      <c r="H92"/>
      <c r="I92"/>
      <c r="J92"/>
      <c r="K92"/>
    </row>
    <row r="93" spans="1:11" ht="15" x14ac:dyDescent="0.25">
      <c r="A93"/>
      <c r="B93"/>
      <c r="C93"/>
      <c r="D93"/>
      <c r="E93"/>
      <c r="F93"/>
      <c r="G93"/>
      <c r="H93"/>
      <c r="I93"/>
      <c r="J93"/>
      <c r="K93"/>
    </row>
    <row r="94" spans="1:11" ht="15" x14ac:dyDescent="0.25">
      <c r="A94"/>
      <c r="B94"/>
      <c r="C94"/>
      <c r="D94"/>
      <c r="E94"/>
      <c r="F94"/>
      <c r="G94"/>
      <c r="H94"/>
      <c r="I94"/>
      <c r="J94"/>
      <c r="K94"/>
    </row>
    <row r="95" spans="1:11" ht="15" x14ac:dyDescent="0.25">
      <c r="A95"/>
      <c r="B95"/>
      <c r="C95"/>
      <c r="D95"/>
      <c r="E95"/>
      <c r="F95"/>
      <c r="G95"/>
      <c r="H95"/>
      <c r="I95"/>
      <c r="J95"/>
      <c r="K95"/>
    </row>
    <row r="96" spans="1:11" ht="15" x14ac:dyDescent="0.25">
      <c r="A96"/>
      <c r="B96"/>
      <c r="C96"/>
      <c r="D96"/>
      <c r="E96"/>
      <c r="F96"/>
      <c r="G96"/>
      <c r="H96"/>
      <c r="I96"/>
      <c r="J96"/>
      <c r="K96"/>
    </row>
    <row r="97" spans="1:11" ht="15" x14ac:dyDescent="0.25">
      <c r="A97"/>
      <c r="B97"/>
      <c r="C97"/>
      <c r="D97"/>
      <c r="E97"/>
      <c r="F97"/>
      <c r="G97"/>
      <c r="H97"/>
      <c r="I97"/>
      <c r="J97"/>
      <c r="K97"/>
    </row>
    <row r="98" spans="1:11" ht="15" x14ac:dyDescent="0.25">
      <c r="A98"/>
      <c r="B98"/>
      <c r="C98"/>
      <c r="D98"/>
      <c r="E98"/>
      <c r="F98"/>
      <c r="G98"/>
      <c r="H98"/>
      <c r="I98"/>
      <c r="J98"/>
      <c r="K98"/>
    </row>
    <row r="99" spans="1:11" ht="15" x14ac:dyDescent="0.25">
      <c r="A99"/>
      <c r="B99"/>
      <c r="C99"/>
      <c r="D99"/>
      <c r="E99"/>
      <c r="F99"/>
      <c r="G99"/>
      <c r="H99"/>
      <c r="I99"/>
      <c r="J99"/>
      <c r="K99"/>
    </row>
    <row r="100" spans="1:11" ht="15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ht="15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ht="15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ht="15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ht="15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ht="15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ht="15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ht="15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ht="15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ht="15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ht="15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ht="15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ht="15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ht="15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ht="15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ht="15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ht="15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ht="15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ht="15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ht="15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ht="15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ht="15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ht="15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ht="15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ht="15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ht="15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ht="15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ht="15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ht="15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ht="15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ht="15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ht="15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ht="15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ht="15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ht="15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ht="15" x14ac:dyDescent="0.25">
      <c r="A135"/>
      <c r="B135"/>
      <c r="C135"/>
      <c r="D135"/>
      <c r="E135"/>
      <c r="F135"/>
      <c r="G135"/>
      <c r="H135"/>
      <c r="I135"/>
      <c r="J135"/>
      <c r="K135"/>
    </row>
  </sheetData>
  <conditionalFormatting sqref="F4:F3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:F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E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K1" r:id="rId1" xr:uid="{0D9D351D-EBCE-46CA-934A-D180B3630E65}"/>
  </hyperlinks>
  <pageMargins left="0.75" right="0.75" top="1" bottom="1" header="0.5" footer="0.5"/>
  <pageSetup orientation="portrait" r:id="rId2"/>
  <headerFooter alignWithMargins="0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08E34-637E-4DFA-9EB1-CB0F20607F07}">
  <dimension ref="A1:BI282"/>
  <sheetViews>
    <sheetView zoomScale="75" zoomScaleNormal="75" workbookViewId="0">
      <selection activeCell="V45" sqref="V45"/>
    </sheetView>
  </sheetViews>
  <sheetFormatPr defaultColWidth="9.140625" defaultRowHeight="15" x14ac:dyDescent="0.25"/>
  <cols>
    <col min="1" max="1" width="4.5703125" style="22" bestFit="1" customWidth="1"/>
    <col min="2" max="2" width="17" style="22" customWidth="1"/>
    <col min="3" max="4" width="9.7109375" style="22" customWidth="1"/>
    <col min="5" max="5" width="11" style="22" bestFit="1" customWidth="1"/>
    <col min="6" max="6" width="20.5703125" style="22" bestFit="1" customWidth="1"/>
    <col min="7" max="9" width="9.7109375" style="22" customWidth="1"/>
    <col min="10" max="10" width="9.140625" style="22"/>
    <col min="11" max="11" width="6.28515625" style="22" bestFit="1" customWidth="1"/>
    <col min="12" max="12" width="6.140625" style="22" bestFit="1" customWidth="1"/>
    <col min="13" max="13" width="6.5703125" style="22" bestFit="1" customWidth="1"/>
    <col min="14" max="14" width="6.42578125" style="22" bestFit="1" customWidth="1"/>
    <col min="15" max="15" width="5.85546875" style="22" bestFit="1" customWidth="1"/>
    <col min="16" max="19" width="9.28515625" style="22" bestFit="1" customWidth="1"/>
    <col min="20" max="21" width="9.140625" style="22"/>
    <col min="22" max="22" width="9.28515625" style="22" bestFit="1" customWidth="1"/>
    <col min="23" max="23" width="9.140625" style="22"/>
    <col min="24" max="24" width="10.42578125" style="22" bestFit="1" customWidth="1"/>
    <col min="25" max="25" width="3" style="22" bestFit="1" customWidth="1"/>
    <col min="26" max="26" width="5.28515625" style="22" bestFit="1" customWidth="1"/>
    <col min="27" max="33" width="9.140625" style="22"/>
    <col min="34" max="34" width="9.140625" style="22" customWidth="1"/>
    <col min="35" max="37" width="9.140625" style="22"/>
    <col min="38" max="38" width="9.28515625" bestFit="1" customWidth="1"/>
    <col min="39" max="39" width="14" customWidth="1"/>
    <col min="40" max="40" width="12.28515625" customWidth="1"/>
    <col min="41" max="41" width="10.140625" bestFit="1" customWidth="1"/>
    <col min="42" max="42" width="10.140625" customWidth="1"/>
    <col min="43" max="45" width="9.28515625" customWidth="1"/>
    <col min="46" max="46" width="9.28515625" bestFit="1" customWidth="1"/>
    <col min="47" max="47" width="12.28515625" bestFit="1" customWidth="1"/>
    <col min="57" max="16384" width="9.140625" style="22"/>
  </cols>
  <sheetData>
    <row r="1" spans="1:61" customFormat="1" ht="17.25" thickBot="1" x14ac:dyDescent="0.35">
      <c r="A1" s="23" t="s">
        <v>4</v>
      </c>
      <c r="B1" s="195" t="s">
        <v>126</v>
      </c>
      <c r="C1" s="31" t="s">
        <v>19</v>
      </c>
      <c r="D1" s="31" t="s">
        <v>5</v>
      </c>
      <c r="E1" s="31" t="s">
        <v>45</v>
      </c>
      <c r="F1" s="1" t="s">
        <v>125</v>
      </c>
      <c r="G1" s="1" t="s">
        <v>3</v>
      </c>
      <c r="H1" s="1" t="s">
        <v>2</v>
      </c>
      <c r="I1" s="1" t="s">
        <v>124</v>
      </c>
      <c r="J1" s="1" t="s">
        <v>39</v>
      </c>
      <c r="K1" s="22" t="s">
        <v>44</v>
      </c>
      <c r="L1" s="22" t="s">
        <v>1</v>
      </c>
      <c r="M1" s="22" t="s">
        <v>42</v>
      </c>
      <c r="N1" s="22" t="s">
        <v>41</v>
      </c>
      <c r="O1" s="22" t="s">
        <v>8</v>
      </c>
      <c r="U1" s="22"/>
      <c r="V1" s="22"/>
      <c r="W1" s="22"/>
      <c r="X1" s="22" t="s">
        <v>27</v>
      </c>
      <c r="Y1" s="68" t="s">
        <v>61</v>
      </c>
      <c r="Z1" s="35">
        <v>4</v>
      </c>
      <c r="AA1" s="22"/>
    </row>
    <row r="2" spans="1:61" customFormat="1" ht="16.5" x14ac:dyDescent="0.3">
      <c r="A2" s="35">
        <v>0</v>
      </c>
      <c r="B2" s="22"/>
      <c r="C2" s="194">
        <f>INTERCEPT($B$3:$B$14,$A$3:$A$14)</f>
        <v>17.287878787878789</v>
      </c>
      <c r="D2" s="194">
        <f>SLOPE($B$3:$B$14,$A$3:$A$14)</f>
        <v>4.43006993006993</v>
      </c>
      <c r="E2" s="50"/>
      <c r="F2" s="31"/>
      <c r="G2" s="31"/>
      <c r="H2" s="31"/>
      <c r="I2" s="31"/>
      <c r="J2" s="31"/>
      <c r="K2" s="22"/>
      <c r="Q2" s="1" t="s">
        <v>123</v>
      </c>
      <c r="R2" s="1" t="s">
        <v>122</v>
      </c>
      <c r="S2" s="1" t="s">
        <v>121</v>
      </c>
      <c r="T2" s="1" t="s">
        <v>120</v>
      </c>
      <c r="U2" s="31" t="s">
        <v>119</v>
      </c>
      <c r="V2" s="31" t="s">
        <v>118</v>
      </c>
      <c r="W2" s="22"/>
      <c r="X2" s="22" t="s">
        <v>59</v>
      </c>
      <c r="Y2" s="69" t="s">
        <v>60</v>
      </c>
      <c r="Z2" s="67">
        <v>0.1</v>
      </c>
      <c r="AA2" s="22"/>
      <c r="AI2" s="22"/>
      <c r="AJ2" s="22"/>
      <c r="AK2" s="22"/>
      <c r="BE2" s="22"/>
      <c r="BF2" s="22"/>
      <c r="BG2" s="22"/>
      <c r="BH2" s="22"/>
      <c r="BI2" s="22"/>
    </row>
    <row r="3" spans="1:61" customFormat="1" ht="16.5" x14ac:dyDescent="0.3">
      <c r="A3" s="50">
        <v>1</v>
      </c>
      <c r="B3" s="64">
        <v>22</v>
      </c>
      <c r="C3" s="190">
        <f t="shared" ref="C3:C18" si="0">(1-$Z$2)*(C2+D2)+$Z$2*B3/E3</f>
        <v>22.196153846153845</v>
      </c>
      <c r="D3" s="190">
        <f>(1-$Z$3)*D2+$Z$3*(C3-C2)</f>
        <v>4.5257109557109558</v>
      </c>
      <c r="E3" s="193">
        <f>B3/AVERAGE($B$3:$B$6)</f>
        <v>0.83018867924528306</v>
      </c>
      <c r="F3" s="192">
        <f>(C2+D2)*E3</f>
        <v>18.029995162070634</v>
      </c>
      <c r="G3" s="48">
        <f t="shared" ref="G3:G14" si="1">B3-F3</f>
        <v>3.9700048379293662</v>
      </c>
      <c r="H3" s="48">
        <f t="shared" ref="H3:H14" si="2">ABS(G3)</f>
        <v>3.9700048379293662</v>
      </c>
      <c r="I3" s="48">
        <f t="shared" ref="I3:I14" si="3">H3/B3</f>
        <v>0.18045476536042573</v>
      </c>
      <c r="J3" s="48">
        <f t="shared" ref="J3:J14" si="4">G3^2</f>
        <v>15.760938413182574</v>
      </c>
      <c r="K3" s="191">
        <f>SUM($G3:G3)</f>
        <v>3.9700048379293662</v>
      </c>
      <c r="L3" s="47">
        <f>AVERAGE(H$3:H3)</f>
        <v>3.9700048379293662</v>
      </c>
      <c r="M3" s="47">
        <f>AVERAGE(I$3:I3)</f>
        <v>0.18045476536042573</v>
      </c>
      <c r="N3" s="47">
        <f>AVERAGE(J$3:J3)</f>
        <v>15.760938413182574</v>
      </c>
      <c r="O3" s="47">
        <f t="shared" ref="O3:O14" si="5">K3/L3</f>
        <v>1</v>
      </c>
      <c r="Q3" s="72">
        <f>(C2+D2)</f>
        <v>21.717948717948719</v>
      </c>
      <c r="R3" s="72">
        <f>B3/E3</f>
        <v>26.5</v>
      </c>
      <c r="S3" s="72">
        <f>D2</f>
        <v>4.43006993006993</v>
      </c>
      <c r="T3" s="72">
        <f>C3-C2</f>
        <v>4.9082750582750556</v>
      </c>
      <c r="U3" s="36">
        <f>E3</f>
        <v>0.83018867924528306</v>
      </c>
      <c r="V3" s="36">
        <f>C3/(C2+D2)</f>
        <v>1.0220188902007084</v>
      </c>
      <c r="W3" s="22"/>
      <c r="X3" s="22" t="s">
        <v>57</v>
      </c>
      <c r="Y3" s="69" t="s">
        <v>62</v>
      </c>
      <c r="Z3" s="70">
        <v>0.2</v>
      </c>
      <c r="AA3" s="22"/>
      <c r="AI3" s="22"/>
      <c r="AJ3" s="22"/>
      <c r="AK3" s="22"/>
      <c r="BE3" s="22"/>
      <c r="BF3" s="22"/>
      <c r="BG3" s="22"/>
      <c r="BH3" s="22"/>
      <c r="BI3" s="22"/>
    </row>
    <row r="4" spans="1:61" customFormat="1" ht="16.5" x14ac:dyDescent="0.3">
      <c r="A4" s="50">
        <v>2</v>
      </c>
      <c r="B4" s="64">
        <v>30</v>
      </c>
      <c r="C4" s="190">
        <f t="shared" si="0"/>
        <v>26.69967832167832</v>
      </c>
      <c r="D4" s="190">
        <f t="shared" ref="D4:D18" si="6">(1-$C$23)*D3+$C$23*(C4-C3)</f>
        <v>4.5212736596736596</v>
      </c>
      <c r="E4" s="193">
        <f>B4/AVERAGE($B$3:$B$6)</f>
        <v>1.1320754716981132</v>
      </c>
      <c r="F4" s="192">
        <f t="shared" ref="F4:F14" si="7">SUM(C3:D3)*E4</f>
        <v>30.2511677002243</v>
      </c>
      <c r="G4" s="48">
        <f t="shared" si="1"/>
        <v>-0.25116770022430046</v>
      </c>
      <c r="H4" s="48">
        <f t="shared" si="2"/>
        <v>0.25116770022430046</v>
      </c>
      <c r="I4" s="48">
        <f t="shared" si="3"/>
        <v>8.3722566741433486E-3</v>
      </c>
      <c r="J4" s="48">
        <f t="shared" si="4"/>
        <v>6.308521363596406E-2</v>
      </c>
      <c r="K4" s="191">
        <f>SUM($G4:G4)</f>
        <v>-0.25116770022430046</v>
      </c>
      <c r="L4" s="47">
        <f>AVERAGE(H$3:H4)</f>
        <v>2.1105862690768333</v>
      </c>
      <c r="M4" s="47">
        <f>AVERAGE(I$3:I4)</f>
        <v>9.441351101728454E-2</v>
      </c>
      <c r="N4" s="47">
        <f>AVERAGE(J$3:J4)</f>
        <v>7.9120118134092685</v>
      </c>
      <c r="O4" s="47">
        <f t="shared" si="5"/>
        <v>-0.11900375924181519</v>
      </c>
      <c r="Q4" s="72">
        <f>Q3*(1-Z2)</f>
        <v>19.546153846153846</v>
      </c>
      <c r="R4" s="72">
        <f>R3*Z2</f>
        <v>2.6500000000000004</v>
      </c>
      <c r="S4" s="72">
        <f>S3*(1-Z3)</f>
        <v>3.5440559440559443</v>
      </c>
      <c r="T4" s="72">
        <f>T3*Z3</f>
        <v>0.98165501165501112</v>
      </c>
      <c r="U4" s="72">
        <f>U3*(1-Z4)</f>
        <v>0.66415094339622649</v>
      </c>
      <c r="V4" s="72">
        <f>V3*Z4</f>
        <v>0.20440377804014168</v>
      </c>
      <c r="W4" s="22"/>
      <c r="X4" s="22" t="s">
        <v>58</v>
      </c>
      <c r="Y4" s="69" t="s">
        <v>63</v>
      </c>
      <c r="Z4" s="67">
        <v>0.2</v>
      </c>
      <c r="AA4" s="22"/>
      <c r="AI4" s="22"/>
      <c r="AJ4" s="22"/>
      <c r="AK4" s="22"/>
      <c r="BE4" s="22"/>
      <c r="BF4" s="22"/>
      <c r="BG4" s="22"/>
      <c r="BH4" s="22"/>
      <c r="BI4" s="22"/>
    </row>
    <row r="5" spans="1:61" customFormat="1" ht="16.5" x14ac:dyDescent="0.3">
      <c r="A5" s="50">
        <v>3</v>
      </c>
      <c r="B5" s="64">
        <v>28</v>
      </c>
      <c r="C5" s="190">
        <f t="shared" si="0"/>
        <v>30.74885678321678</v>
      </c>
      <c r="D5" s="190">
        <f t="shared" si="6"/>
        <v>4.4268546200466199</v>
      </c>
      <c r="E5" s="193">
        <f>B5/AVERAGE($B$3:$B$6)</f>
        <v>1.0566037735849056</v>
      </c>
      <c r="F5" s="192">
        <f t="shared" si="7"/>
        <v>32.98817567840964</v>
      </c>
      <c r="G5" s="48">
        <f t="shared" si="1"/>
        <v>-4.9881756784096396</v>
      </c>
      <c r="H5" s="48">
        <f t="shared" si="2"/>
        <v>4.9881756784096396</v>
      </c>
      <c r="I5" s="48">
        <f t="shared" si="3"/>
        <v>0.17814913137177285</v>
      </c>
      <c r="J5" s="48">
        <f t="shared" si="4"/>
        <v>24.881896598677468</v>
      </c>
      <c r="K5" s="191">
        <f>SUM($G5:G5)</f>
        <v>-4.9881756784096396</v>
      </c>
      <c r="L5" s="47">
        <f>AVERAGE(H$3:H5)</f>
        <v>3.0697827388544354</v>
      </c>
      <c r="M5" s="47">
        <f>AVERAGE(I$3:I5)</f>
        <v>0.12232538446878065</v>
      </c>
      <c r="N5" s="47">
        <f>AVERAGE(J$3:J5)</f>
        <v>13.568640075165334</v>
      </c>
      <c r="O5" s="47">
        <f t="shared" si="5"/>
        <v>-1.6249279192543442</v>
      </c>
      <c r="Q5" s="72"/>
      <c r="R5" s="72">
        <f>Q4+R4</f>
        <v>22.196153846153848</v>
      </c>
      <c r="S5" s="72"/>
      <c r="T5" s="72">
        <f>S4+T4</f>
        <v>4.5257109557109558</v>
      </c>
      <c r="U5" s="72"/>
      <c r="V5" s="72">
        <f>U4+V4</f>
        <v>0.86855472143636814</v>
      </c>
      <c r="AI5" s="22"/>
      <c r="AJ5" s="22"/>
      <c r="AK5" s="22"/>
      <c r="BE5" s="22"/>
      <c r="BF5" s="22"/>
      <c r="BG5" s="22"/>
      <c r="BH5" s="22"/>
      <c r="BI5" s="22"/>
    </row>
    <row r="6" spans="1:61" customFormat="1" ht="16.5" x14ac:dyDescent="0.3">
      <c r="A6" s="50">
        <v>4</v>
      </c>
      <c r="B6" s="64">
        <v>26</v>
      </c>
      <c r="C6" s="190">
        <f t="shared" si="0"/>
        <v>34.308140262937059</v>
      </c>
      <c r="D6" s="190">
        <f t="shared" si="6"/>
        <v>4.2533403919813519</v>
      </c>
      <c r="E6" s="193">
        <f>B6/AVERAGE($B$3:$B$6)</f>
        <v>0.98113207547169812</v>
      </c>
      <c r="F6" s="192">
        <f t="shared" si="7"/>
        <v>34.512018735277294</v>
      </c>
      <c r="G6" s="48">
        <f t="shared" si="1"/>
        <v>-8.5120187352772945</v>
      </c>
      <c r="H6" s="48">
        <f t="shared" si="2"/>
        <v>8.5120187352772945</v>
      </c>
      <c r="I6" s="48">
        <f t="shared" si="3"/>
        <v>0.32738533597220365</v>
      </c>
      <c r="J6" s="48">
        <f t="shared" si="4"/>
        <v>72.454462949711669</v>
      </c>
      <c r="K6" s="191">
        <f>SUM($G6:G6)</f>
        <v>-8.5120187352772945</v>
      </c>
      <c r="L6" s="47">
        <f>AVERAGE(H$3:H6)</f>
        <v>4.4303417379601502</v>
      </c>
      <c r="M6" s="47">
        <f>AVERAGE(I$3:I6)</f>
        <v>0.1735903723446364</v>
      </c>
      <c r="N6" s="47">
        <f>AVERAGE(J$3:J6)</f>
        <v>28.290095793801918</v>
      </c>
      <c r="O6" s="47">
        <f t="shared" si="5"/>
        <v>-1.921300711939314</v>
      </c>
      <c r="Q6" s="22"/>
      <c r="R6" s="22"/>
      <c r="S6" s="22"/>
      <c r="T6" s="22"/>
      <c r="U6" s="22"/>
      <c r="V6" s="22"/>
      <c r="AI6" s="22"/>
      <c r="AJ6" s="22"/>
      <c r="AK6" s="22"/>
      <c r="BE6" s="22"/>
      <c r="BF6" s="22"/>
      <c r="BG6" s="22"/>
      <c r="BH6" s="22"/>
      <c r="BI6" s="22"/>
    </row>
    <row r="7" spans="1:61" customFormat="1" ht="16.5" x14ac:dyDescent="0.3">
      <c r="A7" s="50">
        <v>5</v>
      </c>
      <c r="B7" s="64">
        <v>40</v>
      </c>
      <c r="C7" s="190">
        <f t="shared" si="0"/>
        <v>39.320282267137756</v>
      </c>
      <c r="D7" s="190">
        <f t="shared" si="6"/>
        <v>4.4051007144252212</v>
      </c>
      <c r="E7" s="190">
        <f t="shared" ref="E7:E18" si="8">(1-$Z$4)*E3+$Z$4*B3/(C2+D2)</f>
        <v>0.86674834599362915</v>
      </c>
      <c r="F7" s="192">
        <f t="shared" si="7"/>
        <v>33.423099576715863</v>
      </c>
      <c r="G7" s="48">
        <f t="shared" si="1"/>
        <v>6.5769004232841368</v>
      </c>
      <c r="H7" s="48">
        <f t="shared" si="2"/>
        <v>6.5769004232841368</v>
      </c>
      <c r="I7" s="48">
        <f t="shared" si="3"/>
        <v>0.16442251058210341</v>
      </c>
      <c r="J7" s="48">
        <f t="shared" si="4"/>
        <v>43.255619177795062</v>
      </c>
      <c r="K7" s="191">
        <f>SUM($G7:G7)</f>
        <v>6.5769004232841368</v>
      </c>
      <c r="L7" s="47">
        <f>AVERAGE(H$3:H7)</f>
        <v>4.8596534750249472</v>
      </c>
      <c r="M7" s="47">
        <f>AVERAGE(I$3:I7)</f>
        <v>0.17175679999212981</v>
      </c>
      <c r="N7" s="47">
        <f>AVERAGE(J$3:J7)</f>
        <v>31.283200470600548</v>
      </c>
      <c r="O7" s="47">
        <f t="shared" si="5"/>
        <v>1.3533681891280065</v>
      </c>
      <c r="Q7" s="22"/>
      <c r="R7" s="22"/>
      <c r="S7" s="22"/>
      <c r="T7" s="22"/>
      <c r="U7" s="22"/>
      <c r="V7" s="22"/>
      <c r="AI7" s="22"/>
      <c r="AJ7" s="22"/>
      <c r="AK7" s="22"/>
      <c r="BE7" s="22"/>
      <c r="BF7" s="22"/>
      <c r="BG7" s="22"/>
      <c r="BH7" s="22"/>
      <c r="BI7" s="22"/>
    </row>
    <row r="8" spans="1:61" customFormat="1" ht="16.5" x14ac:dyDescent="0.3">
      <c r="A8" s="50">
        <v>6</v>
      </c>
      <c r="B8" s="64">
        <v>55</v>
      </c>
      <c r="C8" s="190">
        <f t="shared" si="0"/>
        <v>44.219258935057205</v>
      </c>
      <c r="D8" s="190">
        <f t="shared" si="6"/>
        <v>4.5038759051240671</v>
      </c>
      <c r="E8" s="190">
        <f t="shared" si="8"/>
        <v>1.1301956051387496</v>
      </c>
      <c r="F8" s="192">
        <f t="shared" si="7"/>
        <v>49.418235678771154</v>
      </c>
      <c r="G8" s="48">
        <f t="shared" si="1"/>
        <v>5.5817643212288459</v>
      </c>
      <c r="H8" s="48">
        <f t="shared" si="2"/>
        <v>5.5817643212288459</v>
      </c>
      <c r="I8" s="48">
        <f t="shared" si="3"/>
        <v>0.10148662402234265</v>
      </c>
      <c r="J8" s="48">
        <f t="shared" si="4"/>
        <v>31.15609293774332</v>
      </c>
      <c r="K8" s="191">
        <f>SUM($G8:G8)</f>
        <v>5.5817643212288459</v>
      </c>
      <c r="L8" s="47">
        <f>AVERAGE(H$3:H8)</f>
        <v>4.9800052827255969</v>
      </c>
      <c r="M8" s="47">
        <f>AVERAGE(I$3:I8)</f>
        <v>0.16004510399716529</v>
      </c>
      <c r="N8" s="47">
        <f>AVERAGE(J$3:J8)</f>
        <v>31.262015881791012</v>
      </c>
      <c r="O8" s="47">
        <f t="shared" si="5"/>
        <v>1.1208350201134529</v>
      </c>
      <c r="Q8" s="22"/>
      <c r="R8" s="22"/>
      <c r="S8" s="22"/>
      <c r="T8" s="22"/>
      <c r="U8" s="22"/>
      <c r="V8" s="22"/>
      <c r="AI8" s="22"/>
      <c r="AJ8" s="22"/>
      <c r="AK8" s="22"/>
      <c r="BE8" s="22"/>
      <c r="BF8" s="22"/>
      <c r="BG8" s="22"/>
      <c r="BH8" s="22"/>
      <c r="BI8" s="22"/>
    </row>
    <row r="9" spans="1:61" customFormat="1" ht="16.5" x14ac:dyDescent="0.3">
      <c r="A9" s="50">
        <v>7</v>
      </c>
      <c r="B9" s="64">
        <v>49</v>
      </c>
      <c r="C9" s="190">
        <f t="shared" si="0"/>
        <v>48.632943261990135</v>
      </c>
      <c r="D9" s="190">
        <f t="shared" si="6"/>
        <v>4.4858375894858398</v>
      </c>
      <c r="E9" s="190">
        <f t="shared" si="8"/>
        <v>1.0246497468057798</v>
      </c>
      <c r="F9" s="192">
        <f t="shared" si="7"/>
        <v>49.924147777575612</v>
      </c>
      <c r="G9" s="48">
        <f t="shared" si="1"/>
        <v>-0.92414777757561239</v>
      </c>
      <c r="H9" s="48">
        <f t="shared" si="2"/>
        <v>0.92414777757561239</v>
      </c>
      <c r="I9" s="48">
        <f t="shared" si="3"/>
        <v>1.8860158726032906E-2</v>
      </c>
      <c r="J9" s="48">
        <f t="shared" si="4"/>
        <v>0.85404911479794354</v>
      </c>
      <c r="K9" s="191">
        <f>SUM($G9:G9)</f>
        <v>-0.92414777757561239</v>
      </c>
      <c r="L9" s="47">
        <f>AVERAGE(H$3:H9)</f>
        <v>4.4005970677041706</v>
      </c>
      <c r="M9" s="47">
        <f>AVERAGE(I$3:I9)</f>
        <v>0.13987582610128921</v>
      </c>
      <c r="N9" s="47">
        <f>AVERAGE(J$3:J9)</f>
        <v>26.918020629363429</v>
      </c>
      <c r="O9" s="47">
        <f t="shared" si="5"/>
        <v>-0.21000508870896201</v>
      </c>
      <c r="Q9" s="22"/>
      <c r="R9" s="22"/>
      <c r="S9" s="22"/>
      <c r="T9" s="22"/>
      <c r="U9" s="22"/>
      <c r="V9" s="22"/>
      <c r="AI9" s="22"/>
      <c r="AJ9" s="22"/>
      <c r="AK9" s="22"/>
      <c r="BE9" s="22"/>
      <c r="BF9" s="22"/>
      <c r="BG9" s="22"/>
      <c r="BH9" s="22"/>
      <c r="BI9" s="22"/>
    </row>
    <row r="10" spans="1:61" customFormat="1" ht="16.5" x14ac:dyDescent="0.3">
      <c r="A10" s="50">
        <v>8</v>
      </c>
      <c r="B10" s="64">
        <v>40</v>
      </c>
      <c r="C10" s="190">
        <f t="shared" si="0"/>
        <v>52.095366549385993</v>
      </c>
      <c r="D10" s="190">
        <f t="shared" si="6"/>
        <v>4.2811547290678433</v>
      </c>
      <c r="E10" s="190">
        <f t="shared" si="8"/>
        <v>0.9327349378121732</v>
      </c>
      <c r="F10" s="192">
        <f t="shared" si="7"/>
        <v>49.545742754159903</v>
      </c>
      <c r="G10" s="48">
        <f t="shared" si="1"/>
        <v>-9.5457427541599031</v>
      </c>
      <c r="H10" s="48">
        <f t="shared" si="2"/>
        <v>9.5457427541599031</v>
      </c>
      <c r="I10" s="48">
        <f t="shared" si="3"/>
        <v>0.23864356885399757</v>
      </c>
      <c r="J10" s="48">
        <f t="shared" si="4"/>
        <v>91.121204728596297</v>
      </c>
      <c r="K10" s="191">
        <f>SUM($G10:G10)</f>
        <v>-9.5457427541599031</v>
      </c>
      <c r="L10" s="47">
        <f>AVERAGE(H$3:H10)</f>
        <v>5.0437402785111374</v>
      </c>
      <c r="M10" s="47">
        <f>AVERAGE(I$3:I10)</f>
        <v>0.15222179394537777</v>
      </c>
      <c r="N10" s="47">
        <f>AVERAGE(J$3:J10)</f>
        <v>34.943418641767536</v>
      </c>
      <c r="O10" s="47">
        <f t="shared" si="5"/>
        <v>-1.8925920501556264</v>
      </c>
      <c r="AI10" s="22"/>
      <c r="AJ10" s="22"/>
      <c r="AK10" s="22"/>
      <c r="BE10" s="22"/>
      <c r="BF10" s="22"/>
      <c r="BG10" s="22"/>
      <c r="BH10" s="22"/>
      <c r="BI10" s="22"/>
    </row>
    <row r="11" spans="1:61" customFormat="1" ht="16.5" x14ac:dyDescent="0.3">
      <c r="A11" s="50">
        <v>9</v>
      </c>
      <c r="B11" s="64">
        <v>55</v>
      </c>
      <c r="C11" s="190">
        <f t="shared" si="0"/>
        <v>56.844149107286633</v>
      </c>
      <c r="D11" s="190">
        <f t="shared" si="6"/>
        <v>4.3746802948344028</v>
      </c>
      <c r="E11" s="190">
        <f t="shared" si="8"/>
        <v>0.90085959022794659</v>
      </c>
      <c r="F11" s="192">
        <f t="shared" si="7"/>
        <v>50.787329857385032</v>
      </c>
      <c r="G11" s="48">
        <f t="shared" si="1"/>
        <v>4.212670142614968</v>
      </c>
      <c r="H11" s="48">
        <f t="shared" si="2"/>
        <v>4.212670142614968</v>
      </c>
      <c r="I11" s="48">
        <f t="shared" si="3"/>
        <v>7.6594002592999422E-2</v>
      </c>
      <c r="J11" s="48">
        <f t="shared" si="4"/>
        <v>17.746589730479613</v>
      </c>
      <c r="K11" s="191">
        <f>SUM($G11:G11)</f>
        <v>4.212670142614968</v>
      </c>
      <c r="L11" s="47">
        <f>AVERAGE(H$3:H11)</f>
        <v>4.9513991523004517</v>
      </c>
      <c r="M11" s="47">
        <f>AVERAGE(I$3:I11)</f>
        <v>0.14381870601733573</v>
      </c>
      <c r="N11" s="47">
        <f>AVERAGE(J$3:J11)</f>
        <v>33.032659873846654</v>
      </c>
      <c r="O11" s="47">
        <f t="shared" si="5"/>
        <v>0.85080398752698705</v>
      </c>
      <c r="AI11" s="22"/>
      <c r="AJ11" s="22"/>
      <c r="AK11" s="22"/>
      <c r="BE11" s="22"/>
      <c r="BF11" s="22"/>
      <c r="BG11" s="22"/>
      <c r="BH11" s="22"/>
      <c r="BI11" s="22"/>
    </row>
    <row r="12" spans="1:61" customFormat="1" ht="16.5" x14ac:dyDescent="0.3">
      <c r="A12" s="50">
        <v>10</v>
      </c>
      <c r="B12" s="64">
        <v>79</v>
      </c>
      <c r="C12" s="190">
        <f t="shared" si="0"/>
        <v>61.932473088593632</v>
      </c>
      <c r="D12" s="190">
        <f t="shared" si="6"/>
        <v>4.5174090321289224</v>
      </c>
      <c r="E12" s="190">
        <f t="shared" si="8"/>
        <v>1.1557266076851764</v>
      </c>
      <c r="F12" s="192">
        <f t="shared" si="7"/>
        <v>70.752230031370885</v>
      </c>
      <c r="G12" s="48">
        <f t="shared" si="1"/>
        <v>8.2477699686291146</v>
      </c>
      <c r="H12" s="48">
        <f t="shared" si="2"/>
        <v>8.2477699686291146</v>
      </c>
      <c r="I12" s="48">
        <f t="shared" si="3"/>
        <v>0.10440215150163436</v>
      </c>
      <c r="J12" s="48">
        <f t="shared" si="4"/>
        <v>68.025709455420312</v>
      </c>
      <c r="K12" s="191">
        <f>SUM($G12:G12)</f>
        <v>8.2477699686291146</v>
      </c>
      <c r="L12" s="47">
        <f>AVERAGE(H$3:H12)</f>
        <v>5.2810362339333183</v>
      </c>
      <c r="M12" s="47">
        <f>AVERAGE(I$3:I12)</f>
        <v>0.1398770505657656</v>
      </c>
      <c r="N12" s="47">
        <f>AVERAGE(J$3:J12)</f>
        <v>36.531964832004022</v>
      </c>
      <c r="O12" s="47">
        <f t="shared" si="5"/>
        <v>1.5617711379507373</v>
      </c>
      <c r="AI12" s="22"/>
      <c r="AJ12" s="22"/>
      <c r="AK12" s="22"/>
      <c r="BE12" s="22"/>
      <c r="BF12" s="22"/>
      <c r="BG12" s="22"/>
      <c r="BH12" s="22"/>
      <c r="BI12" s="22"/>
    </row>
    <row r="13" spans="1:61" customFormat="1" ht="16.5" x14ac:dyDescent="0.3">
      <c r="A13" s="50">
        <v>11</v>
      </c>
      <c r="B13" s="64">
        <v>68</v>
      </c>
      <c r="C13" s="190">
        <f t="shared" si="0"/>
        <v>66.46596866311458</v>
      </c>
      <c r="D13" s="190">
        <f t="shared" si="6"/>
        <v>4.5206263406073282</v>
      </c>
      <c r="E13" s="190">
        <f t="shared" si="8"/>
        <v>1.0208562808040256</v>
      </c>
      <c r="F13" s="192">
        <f t="shared" si="7"/>
        <v>67.835779521626733</v>
      </c>
      <c r="G13" s="48">
        <f t="shared" si="1"/>
        <v>0.16422047837326659</v>
      </c>
      <c r="H13" s="48">
        <f t="shared" si="2"/>
        <v>0.16422047837326659</v>
      </c>
      <c r="I13" s="48">
        <f t="shared" si="3"/>
        <v>2.4150070349009791E-3</v>
      </c>
      <c r="J13" s="48">
        <f t="shared" si="4"/>
        <v>2.6968365517144519E-2</v>
      </c>
      <c r="K13" s="191">
        <f>SUM($G13:G13)</f>
        <v>0.16422047837326659</v>
      </c>
      <c r="L13" s="47">
        <f>AVERAGE(H$3:H13)</f>
        <v>4.8158711652460404</v>
      </c>
      <c r="M13" s="47">
        <f>AVERAGE(I$3:I13)</f>
        <v>0.12738050115386881</v>
      </c>
      <c r="N13" s="47">
        <f>AVERAGE(J$3:J13)</f>
        <v>33.213328789596126</v>
      </c>
      <c r="O13" s="47">
        <f t="shared" si="5"/>
        <v>3.4099848758075459E-2</v>
      </c>
      <c r="AI13" s="22"/>
      <c r="AJ13" s="22"/>
      <c r="AK13" s="22"/>
      <c r="BE13" s="22"/>
      <c r="BF13" s="22"/>
      <c r="BG13" s="22"/>
      <c r="BH13" s="22"/>
      <c r="BI13" s="22"/>
    </row>
    <row r="14" spans="1:61" customFormat="1" ht="16.5" x14ac:dyDescent="0.3">
      <c r="A14" s="50">
        <v>12</v>
      </c>
      <c r="B14" s="64">
        <v>61</v>
      </c>
      <c r="C14" s="190">
        <f t="shared" si="0"/>
        <v>70.689944937755655</v>
      </c>
      <c r="D14" s="190">
        <f t="shared" si="6"/>
        <v>4.4612963274140771</v>
      </c>
      <c r="E14" s="190">
        <f t="shared" si="8"/>
        <v>0.89679381641915601</v>
      </c>
      <c r="F14" s="192">
        <f t="shared" si="7"/>
        <v>63.660339447988754</v>
      </c>
      <c r="G14" s="48">
        <f t="shared" si="1"/>
        <v>-2.6603394479887541</v>
      </c>
      <c r="H14" s="48">
        <f t="shared" si="2"/>
        <v>2.6603394479887541</v>
      </c>
      <c r="I14" s="48">
        <f t="shared" si="3"/>
        <v>4.3612122098176297E-2</v>
      </c>
      <c r="J14" s="48">
        <f t="shared" si="4"/>
        <v>7.0774059785251087</v>
      </c>
      <c r="K14" s="191">
        <f>SUM($G14:G14)</f>
        <v>-2.6603394479887541</v>
      </c>
      <c r="L14" s="47">
        <f>AVERAGE(H$3:H14)</f>
        <v>4.6362435221412666</v>
      </c>
      <c r="M14" s="47">
        <f>AVERAGE(I$3:I14)</f>
        <v>0.12039980289922776</v>
      </c>
      <c r="N14" s="47">
        <f>AVERAGE(J$3:J14)</f>
        <v>31.035335222006875</v>
      </c>
      <c r="O14" s="47">
        <f t="shared" si="5"/>
        <v>-0.57381357025009472</v>
      </c>
      <c r="AI14" s="22"/>
      <c r="AJ14" s="22"/>
      <c r="AK14" s="22"/>
      <c r="BE14" s="22"/>
      <c r="BF14" s="22"/>
      <c r="BG14" s="22"/>
      <c r="BH14" s="22"/>
      <c r="BI14" s="22"/>
    </row>
    <row r="15" spans="1:61" ht="16.5" x14ac:dyDescent="0.3">
      <c r="A15" s="50">
        <v>13</v>
      </c>
      <c r="B15"/>
      <c r="C15" s="190">
        <f t="shared" si="0"/>
        <v>67.636117138652764</v>
      </c>
      <c r="D15" s="190">
        <f t="shared" si="6"/>
        <v>2.9582715021106836</v>
      </c>
      <c r="E15" s="190">
        <f t="shared" si="8"/>
        <v>0.91580435818128603</v>
      </c>
      <c r="F15" s="189">
        <f>($C$14+(A15-$A$14)*$D$14)*E15</f>
        <v>68.823834273375738</v>
      </c>
      <c r="G15" s="31"/>
      <c r="H15" s="48"/>
      <c r="I15" s="31"/>
      <c r="J15"/>
      <c r="K15"/>
      <c r="L15"/>
      <c r="M15"/>
      <c r="N15"/>
      <c r="BE15"/>
      <c r="BF15"/>
      <c r="BG15"/>
      <c r="BH15"/>
      <c r="BI15"/>
    </row>
    <row r="16" spans="1:61" ht="16.5" x14ac:dyDescent="0.3">
      <c r="A16" s="50">
        <v>14</v>
      </c>
      <c r="B16"/>
      <c r="C16" s="190">
        <f t="shared" si="0"/>
        <v>63.5349497766871</v>
      </c>
      <c r="D16" s="190">
        <f t="shared" si="6"/>
        <v>1.5463837292954139</v>
      </c>
      <c r="E16" s="190">
        <f t="shared" si="8"/>
        <v>1.1826718140838579</v>
      </c>
      <c r="F16" s="189">
        <f>($C$14+(A16-$A$14)*$D$14)*E16</f>
        <v>94.155504258440416</v>
      </c>
      <c r="H16" s="48"/>
      <c r="BE16"/>
      <c r="BF16"/>
      <c r="BG16"/>
      <c r="BH16"/>
      <c r="BI16"/>
    </row>
    <row r="17" spans="1:61" ht="16.5" x14ac:dyDescent="0.3">
      <c r="A17" s="50">
        <v>15</v>
      </c>
      <c r="C17" s="190">
        <f t="shared" si="0"/>
        <v>58.573200155384264</v>
      </c>
      <c r="D17" s="190">
        <f t="shared" si="6"/>
        <v>0.24475705917576407</v>
      </c>
      <c r="E17" s="190">
        <f t="shared" si="8"/>
        <v>1.0213505494863233</v>
      </c>
      <c r="F17" s="189">
        <f>($C$14+(A17-$A$14)*$D$14)*E17</f>
        <v>85.868856471611721</v>
      </c>
      <c r="H17" s="48"/>
      <c r="BE17"/>
      <c r="BF17"/>
      <c r="BG17"/>
      <c r="BH17"/>
      <c r="BI17"/>
    </row>
    <row r="18" spans="1:61" ht="16.5" x14ac:dyDescent="0.3">
      <c r="A18" s="50">
        <v>16</v>
      </c>
      <c r="C18" s="190">
        <f t="shared" si="0"/>
        <v>52.936161493104024</v>
      </c>
      <c r="D18" s="190">
        <f t="shared" si="6"/>
        <v>-0.93160208511543685</v>
      </c>
      <c r="E18" s="190">
        <f t="shared" si="8"/>
        <v>0.88929848734230921</v>
      </c>
      <c r="F18" s="189">
        <f>($C$14+(A18-$A$14)*$D$14)*E18</f>
        <v>78.734157405677777</v>
      </c>
      <c r="H18" s="48"/>
      <c r="BE18"/>
      <c r="BF18"/>
      <c r="BG18"/>
      <c r="BH18"/>
      <c r="BI18"/>
    </row>
    <row r="19" spans="1:61" x14ac:dyDescent="0.25">
      <c r="A19"/>
      <c r="BE19"/>
      <c r="BF19"/>
      <c r="BG19"/>
      <c r="BH19"/>
      <c r="BI19"/>
    </row>
    <row r="20" spans="1:61" x14ac:dyDescent="0.25">
      <c r="A20"/>
      <c r="BE20"/>
      <c r="BF20"/>
      <c r="BG20"/>
      <c r="BH20"/>
      <c r="BI20"/>
    </row>
    <row r="21" spans="1:61" x14ac:dyDescent="0.25">
      <c r="A21"/>
      <c r="B21" s="22" t="s">
        <v>27</v>
      </c>
      <c r="BE21"/>
      <c r="BF21"/>
      <c r="BG21"/>
      <c r="BH21"/>
      <c r="BI21"/>
    </row>
    <row r="22" spans="1:61" x14ac:dyDescent="0.25">
      <c r="A22"/>
      <c r="B22" s="22" t="s">
        <v>59</v>
      </c>
      <c r="C22" s="22">
        <v>0.1</v>
      </c>
      <c r="BE22"/>
      <c r="BF22"/>
      <c r="BG22"/>
      <c r="BH22"/>
      <c r="BI22"/>
    </row>
    <row r="23" spans="1:61" x14ac:dyDescent="0.25">
      <c r="A23"/>
      <c r="B23" s="22" t="s">
        <v>57</v>
      </c>
      <c r="C23" s="22">
        <v>0.2</v>
      </c>
      <c r="BE23"/>
      <c r="BF23"/>
      <c r="BG23"/>
      <c r="BH23"/>
      <c r="BI23"/>
    </row>
    <row r="24" spans="1:61" x14ac:dyDescent="0.25">
      <c r="A24"/>
      <c r="B24" s="22" t="s">
        <v>58</v>
      </c>
      <c r="C24" s="22">
        <v>0.2</v>
      </c>
      <c r="BE24"/>
      <c r="BF24"/>
      <c r="BG24"/>
      <c r="BH24"/>
      <c r="BI24"/>
    </row>
    <row r="25" spans="1:61" x14ac:dyDescent="0.25">
      <c r="A25"/>
      <c r="BE25"/>
      <c r="BF25"/>
      <c r="BG25"/>
      <c r="BH25"/>
      <c r="BI25"/>
    </row>
    <row r="26" spans="1:61" x14ac:dyDescent="0.25">
      <c r="A26"/>
      <c r="B26" s="22" t="s">
        <v>50</v>
      </c>
      <c r="C26"/>
      <c r="D26"/>
      <c r="E26"/>
      <c r="BE26"/>
      <c r="BF26"/>
      <c r="BG26"/>
      <c r="BH26"/>
      <c r="BI26"/>
    </row>
    <row r="27" spans="1:61" x14ac:dyDescent="0.25">
      <c r="A27"/>
      <c r="B27" s="22" t="s">
        <v>51</v>
      </c>
      <c r="C27" s="47"/>
      <c r="D27"/>
      <c r="E27"/>
      <c r="BE27"/>
      <c r="BF27"/>
      <c r="BG27"/>
      <c r="BH27"/>
      <c r="BI27"/>
    </row>
    <row r="28" spans="1:61" x14ac:dyDescent="0.25">
      <c r="A28"/>
      <c r="B28" s="22" t="s">
        <v>52</v>
      </c>
      <c r="C28"/>
      <c r="D28"/>
      <c r="E28"/>
      <c r="BE28"/>
      <c r="BF28"/>
      <c r="BG28"/>
      <c r="BH28"/>
      <c r="BI28"/>
    </row>
    <row r="29" spans="1:61" x14ac:dyDescent="0.25">
      <c r="A29"/>
      <c r="B29" s="57" t="s">
        <v>46</v>
      </c>
      <c r="C29"/>
      <c r="D29"/>
      <c r="E29"/>
      <c r="BE29"/>
      <c r="BF29"/>
      <c r="BG29"/>
      <c r="BH29"/>
      <c r="BI29"/>
    </row>
    <row r="30" spans="1:61" x14ac:dyDescent="0.25">
      <c r="A30"/>
      <c r="B30" t="s">
        <v>53</v>
      </c>
      <c r="C30"/>
      <c r="D30"/>
      <c r="E30"/>
      <c r="BE30"/>
      <c r="BF30"/>
      <c r="BG30"/>
      <c r="BH30"/>
      <c r="BI30"/>
    </row>
    <row r="31" spans="1:61" x14ac:dyDescent="0.25">
      <c r="A31"/>
      <c r="B31" t="s">
        <v>47</v>
      </c>
      <c r="C31"/>
      <c r="D31"/>
      <c r="E31"/>
      <c r="BE31"/>
      <c r="BF31"/>
      <c r="BG31"/>
      <c r="BH31"/>
      <c r="BI31"/>
    </row>
    <row r="32" spans="1:61" x14ac:dyDescent="0.25">
      <c r="A32"/>
      <c r="B32" t="s">
        <v>54</v>
      </c>
      <c r="C32"/>
      <c r="D32"/>
      <c r="E32"/>
      <c r="Z32"/>
      <c r="AA32"/>
      <c r="AB32"/>
      <c r="AC32"/>
      <c r="AD32"/>
      <c r="AE32"/>
      <c r="AF32"/>
      <c r="AG32"/>
      <c r="AH32"/>
      <c r="AI32"/>
      <c r="AJ32"/>
      <c r="AK32"/>
      <c r="BE32"/>
      <c r="BF32"/>
      <c r="BG32"/>
      <c r="BH32"/>
      <c r="BI32"/>
    </row>
    <row r="33" spans="1:61" x14ac:dyDescent="0.25">
      <c r="A33"/>
      <c r="B33" t="s">
        <v>55</v>
      </c>
      <c r="C33"/>
      <c r="D33"/>
      <c r="E33"/>
      <c r="Z33"/>
      <c r="AA33"/>
      <c r="AB33"/>
      <c r="AC33"/>
      <c r="AD33"/>
      <c r="AE33"/>
      <c r="AF33"/>
      <c r="AG33"/>
      <c r="AH33"/>
      <c r="AI33"/>
      <c r="AJ33"/>
      <c r="AK33"/>
      <c r="BE33"/>
      <c r="BF33"/>
      <c r="BG33"/>
      <c r="BH33"/>
      <c r="BI33"/>
    </row>
    <row r="34" spans="1:61" x14ac:dyDescent="0.25">
      <c r="A34"/>
      <c r="B34" t="s">
        <v>56</v>
      </c>
      <c r="C34"/>
      <c r="D34"/>
      <c r="E34"/>
      <c r="Z34"/>
      <c r="AA34"/>
      <c r="AB34"/>
      <c r="AC34"/>
      <c r="AD34"/>
      <c r="AE34"/>
      <c r="AF34"/>
      <c r="AG34"/>
      <c r="AH34"/>
      <c r="AI34"/>
      <c r="AJ34"/>
      <c r="AK34"/>
      <c r="BE34"/>
      <c r="BF34"/>
      <c r="BG34"/>
      <c r="BH34"/>
      <c r="BI34"/>
    </row>
    <row r="35" spans="1:61" x14ac:dyDescent="0.25">
      <c r="A35"/>
      <c r="B35"/>
      <c r="C35"/>
      <c r="D35"/>
      <c r="E35"/>
      <c r="Z35"/>
      <c r="AA35"/>
      <c r="AB35"/>
      <c r="AC35"/>
      <c r="AD35"/>
      <c r="AE35"/>
      <c r="AF35"/>
      <c r="AG35"/>
      <c r="AH35"/>
      <c r="AI35"/>
      <c r="AJ35"/>
      <c r="AK35"/>
      <c r="BE35"/>
      <c r="BF35"/>
      <c r="BG35"/>
      <c r="BH35"/>
      <c r="BI35"/>
    </row>
    <row r="36" spans="1:61" x14ac:dyDescent="0.25">
      <c r="A36"/>
      <c r="B36"/>
      <c r="C36"/>
      <c r="D36"/>
      <c r="E36"/>
      <c r="Z36"/>
      <c r="AA36"/>
      <c r="AB36"/>
      <c r="AC36"/>
      <c r="AD36"/>
      <c r="AE36"/>
      <c r="AF36"/>
      <c r="AG36"/>
      <c r="AH36"/>
      <c r="AI36"/>
      <c r="AJ36"/>
      <c r="AK36"/>
      <c r="BE36"/>
      <c r="BF36"/>
      <c r="BG36"/>
      <c r="BH36"/>
      <c r="BI36"/>
    </row>
    <row r="37" spans="1:61" x14ac:dyDescent="0.25">
      <c r="A37"/>
      <c r="B37"/>
      <c r="C37"/>
      <c r="D37"/>
      <c r="E37"/>
      <c r="Z37"/>
      <c r="AA37"/>
      <c r="AB37"/>
      <c r="AC37"/>
      <c r="AD37"/>
      <c r="AE37"/>
      <c r="AF37"/>
      <c r="AG37"/>
      <c r="AH37"/>
      <c r="AI37"/>
      <c r="AJ37"/>
      <c r="AK37"/>
      <c r="BE37"/>
      <c r="BF37"/>
      <c r="BG37"/>
      <c r="BH37"/>
      <c r="BI37"/>
    </row>
    <row r="38" spans="1:61" x14ac:dyDescent="0.25">
      <c r="A38"/>
      <c r="B38"/>
      <c r="C38"/>
      <c r="D38"/>
      <c r="E38"/>
      <c r="Z38"/>
      <c r="AA38"/>
      <c r="AB38"/>
      <c r="AC38"/>
      <c r="AD38"/>
      <c r="AE38"/>
      <c r="AF38"/>
      <c r="AG38"/>
      <c r="AH38"/>
      <c r="AI38"/>
      <c r="AJ38"/>
      <c r="AK38"/>
      <c r="BE38"/>
      <c r="BF38"/>
      <c r="BG38"/>
      <c r="BH38"/>
      <c r="BI38"/>
    </row>
    <row r="39" spans="1:61" x14ac:dyDescent="0.25">
      <c r="A39"/>
      <c r="B39"/>
      <c r="C39"/>
      <c r="D39"/>
      <c r="E39"/>
      <c r="Z39"/>
      <c r="AA39"/>
      <c r="AB39"/>
      <c r="AC39"/>
      <c r="AD39"/>
      <c r="AE39"/>
      <c r="AF39"/>
      <c r="AG39"/>
      <c r="AH39"/>
      <c r="AI39"/>
      <c r="AJ39"/>
      <c r="AK39"/>
      <c r="BE39"/>
      <c r="BF39"/>
      <c r="BG39"/>
      <c r="BH39"/>
      <c r="BI39"/>
    </row>
    <row r="40" spans="1:61" x14ac:dyDescent="0.25">
      <c r="A40"/>
      <c r="B40"/>
      <c r="C40"/>
      <c r="D40"/>
      <c r="E40"/>
      <c r="Z40"/>
      <c r="AA40"/>
      <c r="AB40"/>
      <c r="AC40"/>
      <c r="AD40"/>
      <c r="AE40"/>
      <c r="AF40"/>
      <c r="AG40"/>
      <c r="AH40"/>
      <c r="AI40"/>
      <c r="AJ40"/>
      <c r="AK40"/>
      <c r="BE40"/>
      <c r="BF40"/>
      <c r="BG40"/>
      <c r="BH40"/>
      <c r="BI40"/>
    </row>
    <row r="41" spans="1:61" x14ac:dyDescent="0.25">
      <c r="A41"/>
      <c r="B41"/>
      <c r="C41"/>
      <c r="D41"/>
      <c r="E41"/>
      <c r="Z41"/>
      <c r="AA41"/>
      <c r="AB41"/>
      <c r="AC41"/>
      <c r="AD41"/>
      <c r="AE41"/>
      <c r="AF41"/>
      <c r="AG41"/>
      <c r="AH41"/>
      <c r="AI41"/>
      <c r="AJ41"/>
      <c r="AK41"/>
      <c r="BE41"/>
      <c r="BF41"/>
      <c r="BG41"/>
      <c r="BH41"/>
      <c r="BI41"/>
    </row>
    <row r="42" spans="1:61" x14ac:dyDescent="0.25">
      <c r="A42"/>
      <c r="B42"/>
      <c r="C42"/>
      <c r="D42"/>
      <c r="E42"/>
      <c r="Z42"/>
      <c r="AA42"/>
      <c r="AB42"/>
      <c r="AC42"/>
      <c r="AD42"/>
      <c r="AE42"/>
      <c r="AF42"/>
      <c r="AG42"/>
      <c r="AH42"/>
      <c r="AI42"/>
      <c r="AJ42"/>
      <c r="AK42"/>
      <c r="BE42"/>
      <c r="BF42"/>
      <c r="BG42"/>
      <c r="BH42"/>
      <c r="BI42"/>
    </row>
    <row r="43" spans="1:61" x14ac:dyDescent="0.25">
      <c r="A43"/>
      <c r="B43"/>
      <c r="C43"/>
      <c r="D43"/>
      <c r="E43"/>
      <c r="Z43"/>
      <c r="AA43"/>
      <c r="AB43"/>
      <c r="AC43"/>
      <c r="AD43"/>
      <c r="AE43"/>
      <c r="AF43"/>
      <c r="AG43"/>
      <c r="AH43"/>
      <c r="AI43"/>
      <c r="AJ43"/>
      <c r="AK43"/>
      <c r="BE43"/>
      <c r="BF43"/>
      <c r="BG43"/>
      <c r="BH43"/>
      <c r="BI43"/>
    </row>
    <row r="44" spans="1:61" x14ac:dyDescent="0.25">
      <c r="A44"/>
      <c r="B44"/>
      <c r="C44"/>
      <c r="D44"/>
      <c r="E44"/>
      <c r="Z44"/>
      <c r="AA44"/>
      <c r="AB44"/>
      <c r="AC44"/>
      <c r="AD44"/>
      <c r="AE44"/>
      <c r="AF44"/>
      <c r="AG44"/>
      <c r="AH44"/>
      <c r="AI44"/>
      <c r="AJ44"/>
      <c r="AK44"/>
      <c r="BE44"/>
      <c r="BF44"/>
      <c r="BG44"/>
      <c r="BH44"/>
      <c r="BI44"/>
    </row>
    <row r="45" spans="1:61" x14ac:dyDescent="0.25">
      <c r="A45"/>
      <c r="B45"/>
      <c r="C45"/>
      <c r="D45"/>
      <c r="E45"/>
      <c r="Z45"/>
      <c r="AA45"/>
      <c r="AB45"/>
      <c r="AC45"/>
      <c r="AD45"/>
      <c r="AE45"/>
      <c r="AF45"/>
      <c r="AG45"/>
      <c r="AH45"/>
      <c r="AI45"/>
      <c r="AJ45"/>
      <c r="AK45"/>
      <c r="BE45"/>
      <c r="BF45"/>
      <c r="BG45"/>
      <c r="BH45"/>
      <c r="BI45"/>
    </row>
    <row r="46" spans="1:61" x14ac:dyDescent="0.25">
      <c r="A46"/>
      <c r="B46"/>
      <c r="C46"/>
      <c r="D46"/>
      <c r="E46"/>
      <c r="Z46"/>
      <c r="AA46"/>
      <c r="AB46"/>
      <c r="AC46"/>
      <c r="AD46"/>
      <c r="AE46"/>
      <c r="AF46"/>
      <c r="AG46"/>
      <c r="AH46"/>
      <c r="AI46"/>
      <c r="AJ46"/>
      <c r="AK46"/>
      <c r="BE46"/>
      <c r="BF46"/>
      <c r="BG46"/>
      <c r="BH46"/>
      <c r="BI46"/>
    </row>
    <row r="47" spans="1:61" x14ac:dyDescent="0.25">
      <c r="A47"/>
      <c r="B47"/>
      <c r="C47"/>
      <c r="D47"/>
      <c r="E47"/>
      <c r="Z47"/>
      <c r="AA47"/>
      <c r="AB47"/>
      <c r="AC47"/>
      <c r="AD47"/>
      <c r="AE47"/>
      <c r="AF47"/>
      <c r="AG47"/>
      <c r="AH47"/>
      <c r="AI47"/>
      <c r="AJ47"/>
      <c r="AK47"/>
      <c r="BE47"/>
      <c r="BF47"/>
      <c r="BG47"/>
      <c r="BH47"/>
      <c r="BI47"/>
    </row>
    <row r="48" spans="1:61" x14ac:dyDescent="0.25">
      <c r="A48"/>
      <c r="B48"/>
      <c r="C48"/>
      <c r="D48"/>
      <c r="E48"/>
      <c r="Z48"/>
      <c r="AA48"/>
      <c r="AB48"/>
      <c r="AC48"/>
      <c r="AD48"/>
      <c r="AE48"/>
      <c r="AF48"/>
      <c r="AG48"/>
      <c r="AH48"/>
      <c r="AI48"/>
      <c r="AJ48"/>
      <c r="AK48"/>
      <c r="BE48"/>
      <c r="BF48"/>
      <c r="BG48"/>
      <c r="BH48"/>
      <c r="BI48"/>
    </row>
    <row r="49" spans="1:61" x14ac:dyDescent="0.25">
      <c r="A49"/>
      <c r="B49"/>
      <c r="C49"/>
      <c r="D49"/>
      <c r="E49"/>
      <c r="Z49"/>
      <c r="AA49"/>
      <c r="AB49"/>
      <c r="AC49"/>
      <c r="AD49"/>
      <c r="AE49"/>
      <c r="AF49"/>
      <c r="AG49"/>
      <c r="AH49"/>
      <c r="AI49"/>
      <c r="AJ49"/>
      <c r="AK49"/>
      <c r="BE49"/>
      <c r="BF49"/>
      <c r="BG49"/>
      <c r="BH49"/>
      <c r="BI49"/>
    </row>
    <row r="50" spans="1:61" x14ac:dyDescent="0.25">
      <c r="A50"/>
      <c r="B50"/>
      <c r="C50"/>
      <c r="D50"/>
      <c r="E50"/>
      <c r="Z50"/>
      <c r="AA50"/>
      <c r="AB50"/>
      <c r="AC50"/>
      <c r="AD50"/>
      <c r="AE50"/>
      <c r="AF50"/>
      <c r="AG50"/>
      <c r="AH50"/>
      <c r="AI50"/>
      <c r="AJ50"/>
      <c r="AK50"/>
      <c r="BE50"/>
      <c r="BF50"/>
      <c r="BG50"/>
      <c r="BH50"/>
      <c r="BI50"/>
    </row>
    <row r="51" spans="1:61" x14ac:dyDescent="0.25">
      <c r="A51"/>
      <c r="B51"/>
      <c r="C51"/>
      <c r="D51"/>
      <c r="E51"/>
      <c r="Z51"/>
      <c r="AA51"/>
      <c r="AB51"/>
      <c r="AC51"/>
      <c r="AD51"/>
      <c r="AE51"/>
      <c r="AF51"/>
      <c r="AG51"/>
      <c r="AH51"/>
      <c r="AI51"/>
      <c r="AJ51"/>
      <c r="AK51"/>
      <c r="BE51"/>
      <c r="BF51"/>
      <c r="BG51"/>
      <c r="BH51"/>
      <c r="BI51"/>
    </row>
    <row r="52" spans="1:61" x14ac:dyDescent="0.25">
      <c r="A52"/>
      <c r="B52"/>
      <c r="C52"/>
      <c r="D52"/>
      <c r="E52"/>
      <c r="BE52"/>
      <c r="BF52"/>
      <c r="BG52"/>
      <c r="BH52"/>
      <c r="BI52"/>
    </row>
    <row r="53" spans="1:61" x14ac:dyDescent="0.25">
      <c r="A53"/>
      <c r="B53"/>
      <c r="C53"/>
      <c r="D53"/>
      <c r="E53"/>
      <c r="BE53"/>
      <c r="BF53"/>
      <c r="BG53"/>
      <c r="BH53"/>
      <c r="BI53"/>
    </row>
    <row r="54" spans="1:61" x14ac:dyDescent="0.25">
      <c r="A54"/>
      <c r="B54"/>
      <c r="C54"/>
      <c r="D54"/>
      <c r="E54"/>
      <c r="BE54"/>
      <c r="BF54"/>
      <c r="BG54"/>
      <c r="BH54"/>
      <c r="BI54"/>
    </row>
    <row r="55" spans="1:61" x14ac:dyDescent="0.25">
      <c r="A55"/>
      <c r="B55"/>
      <c r="C55"/>
      <c r="D55"/>
      <c r="E55"/>
      <c r="BE55"/>
      <c r="BF55"/>
      <c r="BG55"/>
      <c r="BH55"/>
      <c r="BI55"/>
    </row>
    <row r="56" spans="1:61" x14ac:dyDescent="0.25">
      <c r="A56"/>
      <c r="B56"/>
      <c r="C56"/>
      <c r="D56"/>
      <c r="E56"/>
      <c r="BE56"/>
      <c r="BF56"/>
      <c r="BG56"/>
      <c r="BH56"/>
      <c r="BI56"/>
    </row>
    <row r="57" spans="1:61" x14ac:dyDescent="0.25">
      <c r="A57"/>
      <c r="B57"/>
      <c r="C57"/>
      <c r="D57"/>
      <c r="E57"/>
      <c r="BE57"/>
      <c r="BF57"/>
      <c r="BG57"/>
      <c r="BH57"/>
      <c r="BI57"/>
    </row>
    <row r="58" spans="1:61" x14ac:dyDescent="0.25">
      <c r="A58"/>
      <c r="B58"/>
      <c r="C58"/>
      <c r="D58"/>
      <c r="E58"/>
      <c r="BE58"/>
      <c r="BF58"/>
      <c r="BG58"/>
      <c r="BH58"/>
      <c r="BI58"/>
    </row>
    <row r="59" spans="1:61" x14ac:dyDescent="0.25">
      <c r="A59"/>
      <c r="B59"/>
      <c r="C59"/>
      <c r="D59"/>
      <c r="E59"/>
      <c r="BE59"/>
      <c r="BF59"/>
      <c r="BG59"/>
      <c r="BH59"/>
      <c r="BI59"/>
    </row>
    <row r="60" spans="1:61" x14ac:dyDescent="0.25">
      <c r="A60"/>
      <c r="B60"/>
      <c r="C60"/>
      <c r="D60"/>
      <c r="E60"/>
      <c r="BE60"/>
      <c r="BF60"/>
      <c r="BG60"/>
      <c r="BH60"/>
      <c r="BI60"/>
    </row>
    <row r="61" spans="1:61" ht="16.5" x14ac:dyDescent="0.3">
      <c r="A61"/>
      <c r="B61"/>
      <c r="C61"/>
      <c r="D61"/>
      <c r="E6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BE61"/>
      <c r="BF61"/>
      <c r="BG61"/>
      <c r="BH61"/>
      <c r="BI61"/>
    </row>
    <row r="62" spans="1:61" ht="16.5" x14ac:dyDescent="0.3">
      <c r="A62"/>
      <c r="B62"/>
      <c r="C62"/>
      <c r="D62"/>
      <c r="E62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BE62"/>
      <c r="BF62"/>
      <c r="BG62"/>
      <c r="BH62"/>
      <c r="BI62"/>
    </row>
    <row r="63" spans="1:61" ht="16.5" x14ac:dyDescent="0.3">
      <c r="A63"/>
      <c r="B63"/>
      <c r="C63"/>
      <c r="D63"/>
      <c r="E63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BE63"/>
      <c r="BF63"/>
      <c r="BG63"/>
      <c r="BH63"/>
      <c r="BI63"/>
    </row>
    <row r="64" spans="1:61" ht="16.5" x14ac:dyDescent="0.3">
      <c r="A64"/>
      <c r="B64"/>
      <c r="C64"/>
      <c r="D64"/>
      <c r="E64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BE64"/>
      <c r="BF64"/>
      <c r="BG64"/>
      <c r="BH64"/>
      <c r="BI64"/>
    </row>
    <row r="65" spans="1:61" ht="16.5" x14ac:dyDescent="0.3">
      <c r="A65"/>
      <c r="B65"/>
      <c r="C65"/>
      <c r="D65"/>
      <c r="E65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BE65"/>
      <c r="BF65"/>
      <c r="BG65"/>
      <c r="BH65"/>
      <c r="BI65"/>
    </row>
    <row r="66" spans="1:61" ht="16.5" x14ac:dyDescent="0.3">
      <c r="A66"/>
      <c r="B66"/>
      <c r="C66"/>
      <c r="D66"/>
      <c r="E66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BE66"/>
      <c r="BF66"/>
      <c r="BG66"/>
      <c r="BH66"/>
      <c r="BI66"/>
    </row>
    <row r="67" spans="1:61" ht="16.5" x14ac:dyDescent="0.3">
      <c r="A67"/>
      <c r="B67"/>
      <c r="C67"/>
      <c r="D67"/>
      <c r="E67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BE67"/>
      <c r="BF67"/>
      <c r="BG67"/>
      <c r="BH67"/>
      <c r="BI67"/>
    </row>
    <row r="68" spans="1:61" ht="16.5" x14ac:dyDescent="0.3">
      <c r="A68"/>
      <c r="B68"/>
      <c r="C68"/>
      <c r="D68"/>
      <c r="E68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BE68"/>
      <c r="BF68"/>
      <c r="BG68"/>
      <c r="BH68"/>
      <c r="BI68"/>
    </row>
    <row r="69" spans="1:61" ht="16.5" x14ac:dyDescent="0.3">
      <c r="A69"/>
      <c r="B69"/>
      <c r="C69"/>
      <c r="D69"/>
      <c r="E69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BE69"/>
      <c r="BF69"/>
      <c r="BG69"/>
      <c r="BH69"/>
      <c r="BI69"/>
    </row>
    <row r="70" spans="1:61" ht="16.5" x14ac:dyDescent="0.3">
      <c r="A70"/>
      <c r="B70"/>
      <c r="C70"/>
      <c r="D70"/>
      <c r="E70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61" ht="16.5" x14ac:dyDescent="0.3">
      <c r="A71"/>
      <c r="B71"/>
      <c r="C71"/>
      <c r="D71"/>
      <c r="E7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61" ht="16.5" x14ac:dyDescent="0.3">
      <c r="A72"/>
      <c r="B72"/>
      <c r="C72"/>
      <c r="D72"/>
      <c r="E72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61" x14ac:dyDescent="0.25">
      <c r="A73"/>
      <c r="B73"/>
      <c r="C73"/>
      <c r="D73"/>
      <c r="E73"/>
    </row>
    <row r="74" spans="1:61" x14ac:dyDescent="0.25">
      <c r="A74"/>
      <c r="B74"/>
      <c r="C74"/>
      <c r="D74"/>
      <c r="E74"/>
    </row>
    <row r="75" spans="1:61" x14ac:dyDescent="0.25">
      <c r="A75"/>
      <c r="B75"/>
      <c r="C75"/>
      <c r="D75"/>
      <c r="E75"/>
    </row>
    <row r="76" spans="1:61" x14ac:dyDescent="0.25">
      <c r="A76"/>
      <c r="B76"/>
      <c r="C76"/>
      <c r="D76"/>
      <c r="E76"/>
    </row>
    <row r="77" spans="1:61" x14ac:dyDescent="0.25">
      <c r="A77"/>
      <c r="B77"/>
      <c r="C77"/>
      <c r="D77"/>
      <c r="E77"/>
    </row>
    <row r="78" spans="1:61" x14ac:dyDescent="0.25">
      <c r="A78"/>
      <c r="B78"/>
      <c r="C78"/>
      <c r="D78"/>
      <c r="E78"/>
    </row>
    <row r="79" spans="1:61" x14ac:dyDescent="0.25">
      <c r="A79"/>
      <c r="B79"/>
      <c r="C79"/>
      <c r="D79"/>
      <c r="E79"/>
    </row>
    <row r="80" spans="1:61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  <row r="87" spans="1:5" x14ac:dyDescent="0.25">
      <c r="A87"/>
      <c r="B87"/>
      <c r="C87"/>
      <c r="D87"/>
      <c r="E87"/>
    </row>
    <row r="88" spans="1:5" x14ac:dyDescent="0.25">
      <c r="A88"/>
      <c r="B88"/>
      <c r="C88"/>
      <c r="D88"/>
      <c r="E88"/>
    </row>
    <row r="89" spans="1:5" x14ac:dyDescent="0.25">
      <c r="A89"/>
      <c r="B89"/>
      <c r="C89"/>
      <c r="D89"/>
      <c r="E89"/>
    </row>
    <row r="90" spans="1:5" x14ac:dyDescent="0.25">
      <c r="A90"/>
      <c r="B90"/>
      <c r="C90"/>
      <c r="D90"/>
      <c r="E90"/>
    </row>
    <row r="91" spans="1:5" x14ac:dyDescent="0.25">
      <c r="A91"/>
      <c r="B91"/>
      <c r="C91"/>
      <c r="D91"/>
      <c r="E91"/>
    </row>
    <row r="92" spans="1:5" x14ac:dyDescent="0.25">
      <c r="A92"/>
      <c r="B92"/>
      <c r="C92"/>
      <c r="D92"/>
      <c r="E92"/>
    </row>
    <row r="93" spans="1:5" x14ac:dyDescent="0.25">
      <c r="A93"/>
      <c r="B93"/>
      <c r="C93"/>
      <c r="D93"/>
      <c r="E93"/>
    </row>
    <row r="94" spans="1:5" x14ac:dyDescent="0.25">
      <c r="A94"/>
      <c r="B94"/>
      <c r="C94"/>
      <c r="D94"/>
      <c r="E94"/>
    </row>
    <row r="95" spans="1:5" x14ac:dyDescent="0.25">
      <c r="A95"/>
      <c r="B95"/>
      <c r="C95"/>
      <c r="D95"/>
      <c r="E95"/>
    </row>
    <row r="96" spans="1:5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</sheetData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6D07-094D-4ED0-9B74-4402A7866F24}">
  <dimension ref="A1:BP298"/>
  <sheetViews>
    <sheetView tabSelected="1" zoomScale="75" zoomScaleNormal="75" workbookViewId="0">
      <selection sqref="A1:Z20"/>
    </sheetView>
  </sheetViews>
  <sheetFormatPr defaultColWidth="9.140625" defaultRowHeight="15" x14ac:dyDescent="0.25"/>
  <cols>
    <col min="1" max="1" width="4.5703125" style="22" bestFit="1" customWidth="1"/>
    <col min="2" max="2" width="17" style="22" customWidth="1"/>
    <col min="3" max="3" width="14.140625" style="22" bestFit="1" customWidth="1"/>
    <col min="4" max="4" width="11.7109375" style="22" bestFit="1" customWidth="1"/>
    <col min="5" max="5" width="9" style="22" bestFit="1" customWidth="1"/>
    <col min="6" max="6" width="5.140625" style="22" bestFit="1" customWidth="1"/>
    <col min="7" max="8" width="11.85546875" style="22" bestFit="1" customWidth="1"/>
    <col min="9" max="9" width="12.85546875" style="22" bestFit="1" customWidth="1"/>
    <col min="10" max="11" width="9.7109375" style="22" customWidth="1"/>
    <col min="12" max="12" width="11" style="22" bestFit="1" customWidth="1"/>
    <col min="13" max="13" width="20.5703125" style="22" bestFit="1" customWidth="1"/>
    <col min="14" max="16" width="9.7109375" style="22" customWidth="1"/>
    <col min="17" max="17" width="13.28515625" style="22" bestFit="1" customWidth="1"/>
    <col min="18" max="18" width="12.140625" style="22" bestFit="1" customWidth="1"/>
    <col min="19" max="19" width="13.85546875" style="22" bestFit="1" customWidth="1"/>
    <col min="20" max="20" width="12.42578125" style="22" bestFit="1" customWidth="1"/>
    <col min="21" max="21" width="12.42578125" style="22" customWidth="1"/>
    <col min="22" max="22" width="12.140625" style="22" bestFit="1" customWidth="1"/>
    <col min="23" max="26" width="9.28515625" style="22" bestFit="1" customWidth="1"/>
    <col min="27" max="28" width="9.140625" style="22"/>
    <col min="29" max="29" width="9.28515625" style="22" bestFit="1" customWidth="1"/>
    <col min="30" max="40" width="9.140625" style="22"/>
    <col min="41" max="41" width="9.140625" style="22" customWidth="1"/>
    <col min="42" max="44" width="9.140625" style="22"/>
    <col min="45" max="45" width="9.28515625" bestFit="1" customWidth="1"/>
    <col min="46" max="46" width="14" customWidth="1"/>
    <col min="47" max="47" width="12.28515625" customWidth="1"/>
    <col min="48" max="48" width="10.140625" bestFit="1" customWidth="1"/>
    <col min="49" max="49" width="10.140625" customWidth="1"/>
    <col min="50" max="52" width="9.28515625" customWidth="1"/>
    <col min="53" max="53" width="9.28515625" bestFit="1" customWidth="1"/>
    <col min="54" max="54" width="12.28515625" bestFit="1" customWidth="1"/>
    <col min="64" max="16384" width="9.140625" style="22"/>
  </cols>
  <sheetData>
    <row r="1" spans="1:68" customFormat="1" ht="17.25" thickBot="1" x14ac:dyDescent="0.35">
      <c r="A1" s="23" t="s">
        <v>4</v>
      </c>
      <c r="B1" s="195" t="s">
        <v>126</v>
      </c>
      <c r="C1" s="50" t="s">
        <v>132</v>
      </c>
      <c r="D1" s="50" t="s">
        <v>131</v>
      </c>
      <c r="E1" s="50" t="s">
        <v>130</v>
      </c>
      <c r="F1" s="50" t="s">
        <v>6</v>
      </c>
      <c r="G1" s="50" t="s">
        <v>129</v>
      </c>
      <c r="H1" s="50" t="s">
        <v>128</v>
      </c>
      <c r="I1" s="50" t="s">
        <v>127</v>
      </c>
      <c r="J1" s="31" t="s">
        <v>19</v>
      </c>
      <c r="K1" s="31" t="s">
        <v>5</v>
      </c>
      <c r="L1" s="31" t="s">
        <v>45</v>
      </c>
      <c r="M1" s="1" t="s">
        <v>125</v>
      </c>
      <c r="N1" s="1" t="s">
        <v>3</v>
      </c>
      <c r="O1" s="1" t="s">
        <v>2</v>
      </c>
      <c r="P1" s="1" t="s">
        <v>124</v>
      </c>
      <c r="Q1" s="1" t="s">
        <v>39</v>
      </c>
      <c r="R1" s="22" t="s">
        <v>44</v>
      </c>
      <c r="S1" s="22" t="s">
        <v>1</v>
      </c>
      <c r="T1" s="22" t="s">
        <v>42</v>
      </c>
      <c r="U1" s="22" t="s">
        <v>41</v>
      </c>
      <c r="V1" s="22" t="s">
        <v>8</v>
      </c>
    </row>
    <row r="2" spans="1:68" customFormat="1" ht="16.5" x14ac:dyDescent="0.3">
      <c r="A2" s="22">
        <v>0</v>
      </c>
      <c r="B2" s="22"/>
      <c r="C2" s="205">
        <f>INTERCEPT($C$5:$C$12,$A$5:$A$12)</f>
        <v>18438.988095238095</v>
      </c>
      <c r="D2" s="205">
        <f>SLOPE($C$5:$C$12,$A$5:$A$12)</f>
        <v>523.80952380952385</v>
      </c>
      <c r="E2" s="22"/>
      <c r="F2" s="22"/>
      <c r="G2" s="22"/>
      <c r="H2" s="22"/>
      <c r="I2" s="22"/>
      <c r="J2" s="194">
        <f>C2</f>
        <v>18438.988095238095</v>
      </c>
      <c r="K2" s="194">
        <f>D2</f>
        <v>523.80952380952385</v>
      </c>
      <c r="L2" s="50"/>
      <c r="M2" s="31"/>
      <c r="N2" s="31"/>
      <c r="O2" s="31"/>
      <c r="P2" s="31"/>
      <c r="Q2" s="31"/>
      <c r="R2" s="22"/>
      <c r="AP2" s="22"/>
      <c r="AQ2" s="22"/>
      <c r="AR2" s="22"/>
      <c r="BL2" s="22"/>
      <c r="BM2" s="22"/>
      <c r="BN2" s="22"/>
      <c r="BO2" s="22"/>
      <c r="BP2" s="22"/>
    </row>
    <row r="3" spans="1:68" customFormat="1" ht="16.5" x14ac:dyDescent="0.3">
      <c r="A3" s="50">
        <v>1</v>
      </c>
      <c r="B3" s="64">
        <v>8000</v>
      </c>
      <c r="C3" s="204"/>
      <c r="D3" s="200">
        <f t="shared" ref="D3:D14" si="0">$C$2+$D$2*A3</f>
        <v>18962.797619047618</v>
      </c>
      <c r="E3" s="199">
        <f t="shared" ref="E3:E14" si="1">B3/D3</f>
        <v>0.42187867849015148</v>
      </c>
      <c r="F3" s="198">
        <f t="shared" ref="F3:F14" si="2">IF(MOD(A3,$C$37)&gt;0,MOD(A3,$C$37),$C$37)</f>
        <v>1</v>
      </c>
      <c r="G3" s="203">
        <f>AVERAGEIF($F$3:$F$30,F3,$E$3:$E$30)</f>
        <v>0.47168067193938779</v>
      </c>
      <c r="H3" s="203">
        <f>G3/AVERAGE($G$3:$G$6)</f>
        <v>0.47283758187169111</v>
      </c>
      <c r="I3" s="197">
        <f t="shared" ref="I3:I14" si="3">D3*VLOOKUP(F3,$F$3:$H$6,3,0)</f>
        <v>8966.3233717127368</v>
      </c>
      <c r="J3" s="202">
        <f>(1-$C$38)*SUM(J2:K2)+$C$38*B3/L3</f>
        <v>18860.614183470476</v>
      </c>
      <c r="K3" s="202">
        <f t="shared" ref="K3:K14" si="4">(1-$C$39)*K2+$C$39*(J3-J2)</f>
        <v>513.59118025180953</v>
      </c>
      <c r="L3" s="193">
        <f>H3</f>
        <v>0.47283758187169111</v>
      </c>
      <c r="M3" s="192">
        <f>(J2+K2)*L3</f>
        <v>8966.3233717127368</v>
      </c>
      <c r="N3" s="48">
        <f t="shared" ref="N3:N14" si="5">B3-M3</f>
        <v>-966.32337171273684</v>
      </c>
      <c r="O3" s="48">
        <f t="shared" ref="O3:O14" si="6">ABS(N3)</f>
        <v>966.32337171273684</v>
      </c>
      <c r="P3" s="48">
        <f t="shared" ref="P3:P14" si="7">O3/B3</f>
        <v>0.12079042146409211</v>
      </c>
      <c r="Q3" s="48">
        <f t="shared" ref="Q3:Q14" si="8">N3^2</f>
        <v>933780.85871827218</v>
      </c>
      <c r="R3" s="191">
        <f>SUM($N3:N3)</f>
        <v>-966.32337171273684</v>
      </c>
      <c r="S3" s="47">
        <f>AVERAGE(O$3:O3)</f>
        <v>966.32337171273684</v>
      </c>
      <c r="T3" s="47">
        <f>AVERAGE(P$3:P3)</f>
        <v>0.12079042146409211</v>
      </c>
      <c r="U3" s="47">
        <f>AVERAGE(Q$3:Q3)</f>
        <v>933780.85871827218</v>
      </c>
      <c r="V3" s="47">
        <f t="shared" ref="V3:V14" si="9">R3/S3</f>
        <v>-1</v>
      </c>
      <c r="AP3" s="22"/>
      <c r="AQ3" s="22"/>
      <c r="AR3" s="22"/>
      <c r="BL3" s="22"/>
      <c r="BM3" s="22"/>
      <c r="BN3" s="22"/>
      <c r="BO3" s="22"/>
      <c r="BP3" s="22"/>
    </row>
    <row r="4" spans="1:68" customFormat="1" ht="16.5" x14ac:dyDescent="0.3">
      <c r="A4" s="50">
        <v>2</v>
      </c>
      <c r="B4" s="64">
        <v>13000</v>
      </c>
      <c r="C4" s="204"/>
      <c r="D4" s="200">
        <f t="shared" si="0"/>
        <v>19486.607142857145</v>
      </c>
      <c r="E4" s="199">
        <f t="shared" si="1"/>
        <v>0.66712485681557843</v>
      </c>
      <c r="F4" s="198">
        <f t="shared" si="2"/>
        <v>2</v>
      </c>
      <c r="G4" s="203">
        <f>AVERAGEIF($F$3:$F$30,F4,$E$3:$E$30)</f>
        <v>0.68340443601506251</v>
      </c>
      <c r="H4" s="203">
        <f>G4/AVERAGE($G$3:$G$6)</f>
        <v>0.68508064923905398</v>
      </c>
      <c r="I4" s="197">
        <f t="shared" si="3"/>
        <v>13349.89747289496</v>
      </c>
      <c r="J4" s="202">
        <f t="shared" ref="J4:J14" si="10">(1-$C$38)*(J3+K3)+$C$38*(B4/L4)</f>
        <v>19354.288497775717</v>
      </c>
      <c r="K4" s="202">
        <f t="shared" si="4"/>
        <v>511.59949365715272</v>
      </c>
      <c r="L4" s="193">
        <f>H4</f>
        <v>0.68508064923905398</v>
      </c>
      <c r="M4" s="192">
        <f t="shared" ref="M4:M14" si="11">(J4+K4)*L4</f>
        <v>13609.735442881156</v>
      </c>
      <c r="N4" s="48">
        <f t="shared" si="5"/>
        <v>-609.7354428811559</v>
      </c>
      <c r="O4" s="48">
        <f t="shared" si="6"/>
        <v>609.7354428811559</v>
      </c>
      <c r="P4" s="48">
        <f t="shared" si="7"/>
        <v>4.6902726375473533E-2</v>
      </c>
      <c r="Q4" s="48">
        <f t="shared" si="8"/>
        <v>371777.31030547933</v>
      </c>
      <c r="R4" s="191">
        <f>SUM($N4:N4)</f>
        <v>-609.7354428811559</v>
      </c>
      <c r="S4" s="47">
        <f>AVERAGE(O$3:O4)</f>
        <v>788.02940729694637</v>
      </c>
      <c r="T4" s="47">
        <f>AVERAGE(P$3:P4)</f>
        <v>8.3846573919782813E-2</v>
      </c>
      <c r="U4" s="47">
        <f>AVERAGE(Q$3:Q4)</f>
        <v>652779.08451187576</v>
      </c>
      <c r="V4" s="47">
        <f t="shared" si="9"/>
        <v>-0.77374706734947329</v>
      </c>
      <c r="AP4" s="22"/>
      <c r="AQ4" s="22"/>
      <c r="AR4" s="22"/>
      <c r="BL4" s="22"/>
      <c r="BM4" s="22"/>
      <c r="BN4" s="22"/>
      <c r="BO4" s="22"/>
      <c r="BP4" s="22"/>
    </row>
    <row r="5" spans="1:68" customFormat="1" ht="16.5" x14ac:dyDescent="0.3">
      <c r="A5" s="50">
        <v>3</v>
      </c>
      <c r="B5" s="64">
        <v>23000</v>
      </c>
      <c r="C5" s="65">
        <f t="shared" ref="C5:C12" si="12">AVERAGE(AVERAGE(B3:B6),AVERAGE(B4:B7))</f>
        <v>19750</v>
      </c>
      <c r="D5" s="200">
        <f t="shared" si="0"/>
        <v>20010.416666666668</v>
      </c>
      <c r="E5" s="199">
        <f t="shared" si="1"/>
        <v>1.1494013534617387</v>
      </c>
      <c r="F5" s="198">
        <f t="shared" si="2"/>
        <v>3</v>
      </c>
      <c r="G5" s="203">
        <f>AVERAGEIF($F$3:$F$30,F5,$E$3:$E$30)</f>
        <v>1.1707081255011917</v>
      </c>
      <c r="H5" s="203">
        <f>G5/AVERAGE($G$3:$G$6)</f>
        <v>1.173579567853603</v>
      </c>
      <c r="I5" s="197">
        <f t="shared" si="3"/>
        <v>23483.816144237204</v>
      </c>
      <c r="J5" s="202">
        <f t="shared" si="10"/>
        <v>19852.501585746351</v>
      </c>
      <c r="K5" s="202">
        <f t="shared" si="4"/>
        <v>510.26085308850094</v>
      </c>
      <c r="L5" s="193">
        <f>H5</f>
        <v>1.173579567853603</v>
      </c>
      <c r="M5" s="192">
        <f t="shared" si="11"/>
        <v>23897.321943273386</v>
      </c>
      <c r="N5" s="48">
        <f t="shared" si="5"/>
        <v>-897.32194327338584</v>
      </c>
      <c r="O5" s="48">
        <f t="shared" si="6"/>
        <v>897.32194327338584</v>
      </c>
      <c r="P5" s="48">
        <f t="shared" si="7"/>
        <v>3.9013997533625472E-2</v>
      </c>
      <c r="Q5" s="48">
        <f t="shared" si="8"/>
        <v>805186.66987992544</v>
      </c>
      <c r="R5" s="191">
        <f>SUM($N5:N5)</f>
        <v>-897.32194327338584</v>
      </c>
      <c r="S5" s="47">
        <f>AVERAGE(O$3:O5)</f>
        <v>824.4602526224262</v>
      </c>
      <c r="T5" s="47">
        <f>AVERAGE(P$3:P5)</f>
        <v>6.8902381791063699E-2</v>
      </c>
      <c r="U5" s="47">
        <f>AVERAGE(Q$3:Q5)</f>
        <v>703581.6129678922</v>
      </c>
      <c r="V5" s="47">
        <f t="shared" si="9"/>
        <v>-1.0883750191949251</v>
      </c>
      <c r="Z5">
        <f>INTERCEPT($B$3:$B$30,$A$3:$A$30)</f>
        <v>12015.151515151514</v>
      </c>
      <c r="AA5">
        <f>SLOPE($B$3:$B$30,$A$3:$A$30)</f>
        <v>1548.951048951049</v>
      </c>
      <c r="AP5" s="22"/>
      <c r="AQ5" s="22"/>
      <c r="AR5" s="22"/>
      <c r="BL5" s="22"/>
      <c r="BM5" s="22"/>
      <c r="BN5" s="22"/>
      <c r="BO5" s="22"/>
      <c r="BP5" s="22"/>
    </row>
    <row r="6" spans="1:68" customFormat="1" ht="16.5" x14ac:dyDescent="0.3">
      <c r="A6" s="50">
        <v>4</v>
      </c>
      <c r="B6" s="64">
        <v>34000</v>
      </c>
      <c r="C6" s="65">
        <f t="shared" si="12"/>
        <v>20625</v>
      </c>
      <c r="D6" s="200">
        <f t="shared" si="0"/>
        <v>20534.226190476191</v>
      </c>
      <c r="E6" s="199">
        <f t="shared" si="1"/>
        <v>1.6557721574027102</v>
      </c>
      <c r="F6" s="198">
        <f t="shared" si="2"/>
        <v>4</v>
      </c>
      <c r="G6" s="203">
        <f>AVERAGEIF($F$3:$F$30,F6,$E$3:$E$30)</f>
        <v>1.6644198124048513</v>
      </c>
      <c r="H6" s="203">
        <f>G6/AVERAGE($G$3:$G$6)</f>
        <v>1.6685022010356516</v>
      </c>
      <c r="I6" s="197">
        <f t="shared" si="3"/>
        <v>34261.401595373449</v>
      </c>
      <c r="J6" s="202">
        <f t="shared" si="10"/>
        <v>20363.502205663528</v>
      </c>
      <c r="K6" s="202">
        <f t="shared" si="4"/>
        <v>510.3348297713685</v>
      </c>
      <c r="L6" s="193">
        <f>H6</f>
        <v>1.6685022010356516</v>
      </c>
      <c r="M6" s="192">
        <f t="shared" si="11"/>
        <v>34828.043037682626</v>
      </c>
      <c r="N6" s="48">
        <f t="shared" si="5"/>
        <v>-828.04303768262616</v>
      </c>
      <c r="O6" s="48">
        <f t="shared" si="6"/>
        <v>828.04303768262616</v>
      </c>
      <c r="P6" s="48">
        <f t="shared" si="7"/>
        <v>2.4354206990665477E-2</v>
      </c>
      <c r="Q6" s="48">
        <f t="shared" si="8"/>
        <v>685655.27225467109</v>
      </c>
      <c r="R6" s="191">
        <f>SUM($N6:N6)</f>
        <v>-828.04303768262616</v>
      </c>
      <c r="S6" s="47">
        <f>AVERAGE(O$3:O6)</f>
        <v>825.35594888747619</v>
      </c>
      <c r="T6" s="47">
        <f>AVERAGE(P$3:P6)</f>
        <v>5.7765338090964145E-2</v>
      </c>
      <c r="U6" s="47">
        <f>AVERAGE(Q$3:Q6)</f>
        <v>699100.02778958692</v>
      </c>
      <c r="V6" s="47">
        <f t="shared" si="9"/>
        <v>-1.0032556726570785</v>
      </c>
      <c r="Z6">
        <f>Z5+4*AA5</f>
        <v>18210.95571095571</v>
      </c>
      <c r="AP6" s="22"/>
      <c r="AQ6" s="22"/>
      <c r="AR6" s="22"/>
      <c r="BL6" s="22"/>
      <c r="BM6" s="22"/>
      <c r="BN6" s="22"/>
      <c r="BO6" s="22"/>
      <c r="BP6" s="22"/>
    </row>
    <row r="7" spans="1:68" customFormat="1" ht="16.5" x14ac:dyDescent="0.3">
      <c r="A7" s="50">
        <v>5</v>
      </c>
      <c r="B7" s="64">
        <v>10000</v>
      </c>
      <c r="C7" s="65">
        <f t="shared" si="12"/>
        <v>21250</v>
      </c>
      <c r="D7" s="200">
        <f t="shared" si="0"/>
        <v>21058.035714285714</v>
      </c>
      <c r="E7" s="199">
        <f t="shared" si="1"/>
        <v>0.47487810048759804</v>
      </c>
      <c r="F7" s="198">
        <f t="shared" si="2"/>
        <v>1</v>
      </c>
      <c r="G7" s="201">
        <f>AVERAGE(G3:G6)</f>
        <v>0.99755326146512346</v>
      </c>
      <c r="H7" s="201">
        <f>AVERAGE(H3:H6)</f>
        <v>1</v>
      </c>
      <c r="I7" s="197">
        <f t="shared" si="3"/>
        <v>9957.0306861105673</v>
      </c>
      <c r="J7" s="190">
        <f t="shared" si="10"/>
        <v>20899.111258422705</v>
      </c>
      <c r="K7" s="190">
        <f t="shared" si="4"/>
        <v>512.86225207014934</v>
      </c>
      <c r="L7" s="190">
        <f t="shared" ref="L7:L18" si="13">(1-$C$40)*L3+$C$40*(B3/SUM(J2:K2))</f>
        <v>0.46774169153353717</v>
      </c>
      <c r="M7" s="192">
        <f t="shared" si="11"/>
        <v>10015.272708869217</v>
      </c>
      <c r="N7" s="48">
        <f t="shared" si="5"/>
        <v>-15.27270886921724</v>
      </c>
      <c r="O7" s="48">
        <f t="shared" si="6"/>
        <v>15.27270886921724</v>
      </c>
      <c r="P7" s="48">
        <f t="shared" si="7"/>
        <v>1.5272708869217241E-3</v>
      </c>
      <c r="Q7" s="48">
        <f t="shared" si="8"/>
        <v>233.25563620386694</v>
      </c>
      <c r="R7" s="191">
        <f>SUM($N7:N7)</f>
        <v>-15.27270886921724</v>
      </c>
      <c r="S7" s="47">
        <f>AVERAGE(O$3:O7)</f>
        <v>663.33930088382442</v>
      </c>
      <c r="T7" s="47">
        <f>AVERAGE(P$3:P7)</f>
        <v>4.6517724650155662E-2</v>
      </c>
      <c r="U7" s="47">
        <f>AVERAGE(Q$3:Q7)</f>
        <v>559326.67335891037</v>
      </c>
      <c r="V7" s="47">
        <f t="shared" si="9"/>
        <v>-2.3023977094178028E-2</v>
      </c>
      <c r="AP7" s="22"/>
      <c r="AQ7" s="22"/>
      <c r="AR7" s="22"/>
      <c r="BL7" s="22"/>
      <c r="BM7" s="22"/>
      <c r="BN7" s="22"/>
      <c r="BO7" s="22"/>
      <c r="BP7" s="22"/>
    </row>
    <row r="8" spans="1:68" customFormat="1" ht="16.5" x14ac:dyDescent="0.3">
      <c r="A8" s="50">
        <v>6</v>
      </c>
      <c r="B8" s="64">
        <v>18000</v>
      </c>
      <c r="C8" s="65">
        <f t="shared" si="12"/>
        <v>21750</v>
      </c>
      <c r="D8" s="200">
        <f t="shared" si="0"/>
        <v>21581.845238095237</v>
      </c>
      <c r="E8" s="199">
        <f t="shared" si="1"/>
        <v>0.83403433772322977</v>
      </c>
      <c r="F8" s="198">
        <f t="shared" si="2"/>
        <v>2</v>
      </c>
      <c r="G8" s="198"/>
      <c r="H8" s="198"/>
      <c r="I8" s="197">
        <f t="shared" si="3"/>
        <v>14785.30454749107</v>
      </c>
      <c r="J8" s="190">
        <f t="shared" si="10"/>
        <v>21657.795361980083</v>
      </c>
      <c r="K8" s="190">
        <f t="shared" si="4"/>
        <v>537.44443721887217</v>
      </c>
      <c r="L8" s="190">
        <f t="shared" si="13"/>
        <v>0.68367211049412768</v>
      </c>
      <c r="M8" s="192">
        <f t="shared" si="11"/>
        <v>15174.266436441609</v>
      </c>
      <c r="N8" s="48">
        <f t="shared" si="5"/>
        <v>2825.7335635583913</v>
      </c>
      <c r="O8" s="48">
        <f t="shared" si="6"/>
        <v>2825.7335635583913</v>
      </c>
      <c r="P8" s="48">
        <f t="shared" si="7"/>
        <v>0.15698519797546617</v>
      </c>
      <c r="Q8" s="48">
        <f t="shared" si="8"/>
        <v>7984770.1722204052</v>
      </c>
      <c r="R8" s="191">
        <f>SUM($N8:N8)</f>
        <v>2825.7335635583913</v>
      </c>
      <c r="S8" s="47">
        <f>AVERAGE(O$3:O8)</f>
        <v>1023.7383446629188</v>
      </c>
      <c r="T8" s="47">
        <f>AVERAGE(P$3:P8)</f>
        <v>6.492897020437409E-2</v>
      </c>
      <c r="U8" s="47">
        <f>AVERAGE(Q$3:Q8)</f>
        <v>1796900.5898358263</v>
      </c>
      <c r="V8" s="47">
        <f t="shared" si="9"/>
        <v>2.7602107299095127</v>
      </c>
      <c r="AP8" s="22"/>
      <c r="AQ8" s="22"/>
      <c r="AR8" s="22"/>
      <c r="BL8" s="22"/>
      <c r="BM8" s="22"/>
      <c r="BN8" s="22"/>
      <c r="BO8" s="22"/>
      <c r="BP8" s="22"/>
    </row>
    <row r="9" spans="1:68" customFormat="1" ht="16.5" x14ac:dyDescent="0.3">
      <c r="A9" s="50">
        <v>7</v>
      </c>
      <c r="B9" s="64">
        <v>23000</v>
      </c>
      <c r="C9" s="65">
        <f t="shared" si="12"/>
        <v>22500</v>
      </c>
      <c r="D9" s="200">
        <f t="shared" si="0"/>
        <v>22105.654761904763</v>
      </c>
      <c r="E9" s="199">
        <f t="shared" si="1"/>
        <v>1.0404577583305283</v>
      </c>
      <c r="F9" s="198">
        <f t="shared" si="2"/>
        <v>3</v>
      </c>
      <c r="G9" s="198"/>
      <c r="H9" s="198"/>
      <c r="I9" s="197">
        <f t="shared" si="3"/>
        <v>25942.744762597133</v>
      </c>
      <c r="J9" s="190">
        <f t="shared" si="10"/>
        <v>22066.70818527904</v>
      </c>
      <c r="K9" s="190">
        <f t="shared" si="4"/>
        <v>524.59127582688063</v>
      </c>
      <c r="L9" s="190">
        <f t="shared" si="13"/>
        <v>1.1719979610100058</v>
      </c>
      <c r="M9" s="192">
        <f t="shared" si="11"/>
        <v>26476.956904982584</v>
      </c>
      <c r="N9" s="48">
        <f t="shared" si="5"/>
        <v>-3476.9569049825841</v>
      </c>
      <c r="O9" s="48">
        <f t="shared" si="6"/>
        <v>3476.9569049825841</v>
      </c>
      <c r="P9" s="48">
        <f t="shared" si="7"/>
        <v>0.15117203934706888</v>
      </c>
      <c r="Q9" s="48">
        <f t="shared" si="8"/>
        <v>12089229.31910607</v>
      </c>
      <c r="R9" s="191">
        <f>SUM($N9:N9)</f>
        <v>-3476.9569049825841</v>
      </c>
      <c r="S9" s="47">
        <f>AVERAGE(O$3:O9)</f>
        <v>1374.1981389942996</v>
      </c>
      <c r="T9" s="47">
        <f>AVERAGE(P$3:P9)</f>
        <v>7.7249408653330492E-2</v>
      </c>
      <c r="U9" s="47">
        <f>AVERAGE(Q$3:Q9)</f>
        <v>3267233.2654458615</v>
      </c>
      <c r="V9" s="47">
        <f t="shared" si="9"/>
        <v>-2.5301714551346857</v>
      </c>
      <c r="AP9" s="22"/>
      <c r="AQ9" s="22"/>
      <c r="AR9" s="22"/>
      <c r="BL9" s="22"/>
      <c r="BM9" s="22"/>
      <c r="BN9" s="22"/>
      <c r="BO9" s="22"/>
      <c r="BP9" s="22"/>
    </row>
    <row r="10" spans="1:68" customFormat="1" ht="16.5" x14ac:dyDescent="0.3">
      <c r="A10" s="50">
        <v>8</v>
      </c>
      <c r="B10" s="64">
        <v>38000</v>
      </c>
      <c r="C10" s="65">
        <f t="shared" si="12"/>
        <v>22125</v>
      </c>
      <c r="D10" s="200">
        <f t="shared" si="0"/>
        <v>22629.464285714286</v>
      </c>
      <c r="E10" s="199">
        <f t="shared" si="1"/>
        <v>1.6792266719274018</v>
      </c>
      <c r="F10" s="198">
        <f t="shared" si="2"/>
        <v>4</v>
      </c>
      <c r="G10" s="198"/>
      <c r="H10" s="198"/>
      <c r="I10" s="197">
        <f t="shared" si="3"/>
        <v>37757.310968971957</v>
      </c>
      <c r="J10" s="190">
        <f t="shared" si="10"/>
        <v>22600.397629850366</v>
      </c>
      <c r="K10" s="190">
        <f t="shared" si="4"/>
        <v>525.50109270132521</v>
      </c>
      <c r="L10" s="190">
        <f t="shared" si="13"/>
        <v>1.6686234323848466</v>
      </c>
      <c r="M10" s="192">
        <f t="shared" si="11"/>
        <v>38588.416503408538</v>
      </c>
      <c r="N10" s="48">
        <f t="shared" si="5"/>
        <v>-588.41650340853812</v>
      </c>
      <c r="O10" s="48">
        <f t="shared" si="6"/>
        <v>588.41650340853812</v>
      </c>
      <c r="P10" s="48">
        <f t="shared" si="7"/>
        <v>1.5484644826540477E-2</v>
      </c>
      <c r="Q10" s="48">
        <f t="shared" si="8"/>
        <v>346233.98148353014</v>
      </c>
      <c r="R10" s="191">
        <f>SUM($N10:N10)</f>
        <v>-588.41650340853812</v>
      </c>
      <c r="S10" s="47">
        <f>AVERAGE(O$3:O10)</f>
        <v>1275.9754345460794</v>
      </c>
      <c r="T10" s="47">
        <f>AVERAGE(P$3:P10)</f>
        <v>6.9528813174981732E-2</v>
      </c>
      <c r="U10" s="47">
        <f>AVERAGE(Q$3:Q10)</f>
        <v>2902108.35495057</v>
      </c>
      <c r="V10" s="47">
        <f t="shared" si="9"/>
        <v>-0.46115033838238723</v>
      </c>
      <c r="AP10" s="22"/>
      <c r="AQ10" s="22"/>
      <c r="AR10" s="22"/>
      <c r="BL10" s="22"/>
      <c r="BM10" s="22"/>
      <c r="BN10" s="22"/>
      <c r="BO10" s="22"/>
      <c r="BP10" s="22"/>
    </row>
    <row r="11" spans="1:68" customFormat="1" ht="16.5" x14ac:dyDescent="0.3">
      <c r="A11" s="50">
        <v>9</v>
      </c>
      <c r="B11" s="64">
        <v>12000</v>
      </c>
      <c r="C11" s="65">
        <f t="shared" si="12"/>
        <v>22625</v>
      </c>
      <c r="D11" s="200">
        <f t="shared" si="0"/>
        <v>23153.273809523809</v>
      </c>
      <c r="E11" s="199">
        <f t="shared" si="1"/>
        <v>0.51828523684041394</v>
      </c>
      <c r="F11" s="198">
        <f t="shared" si="2"/>
        <v>1</v>
      </c>
      <c r="G11" s="198"/>
      <c r="H11" s="198"/>
      <c r="I11" s="197">
        <f t="shared" si="3"/>
        <v>10947.738000508396</v>
      </c>
      <c r="J11" s="190">
        <f t="shared" si="10"/>
        <v>23249.264228204611</v>
      </c>
      <c r="K11" s="190">
        <f t="shared" si="4"/>
        <v>537.83764326661719</v>
      </c>
      <c r="L11" s="190">
        <f t="shared" si="13"/>
        <v>0.46887438293018324</v>
      </c>
      <c r="M11" s="192">
        <f t="shared" si="11"/>
        <v>11153.162711683479</v>
      </c>
      <c r="N11" s="48">
        <f t="shared" si="5"/>
        <v>846.83728831652115</v>
      </c>
      <c r="O11" s="48">
        <f t="shared" si="6"/>
        <v>846.83728831652115</v>
      </c>
      <c r="P11" s="48">
        <f t="shared" si="7"/>
        <v>7.0569774026376764E-2</v>
      </c>
      <c r="Q11" s="48">
        <f t="shared" si="8"/>
        <v>717133.39288327878</v>
      </c>
      <c r="R11" s="191">
        <f>SUM($N11:N11)</f>
        <v>846.83728831652115</v>
      </c>
      <c r="S11" s="47">
        <f>AVERAGE(O$3:O11)</f>
        <v>1228.2934182983508</v>
      </c>
      <c r="T11" s="47">
        <f>AVERAGE(P$3:P11)</f>
        <v>6.9644475491803401E-2</v>
      </c>
      <c r="U11" s="47">
        <f>AVERAGE(Q$3:Q11)</f>
        <v>2659333.3591653155</v>
      </c>
      <c r="V11" s="47">
        <f t="shared" si="9"/>
        <v>0.68944217700825083</v>
      </c>
      <c r="AP11" s="22"/>
      <c r="AQ11" s="22"/>
      <c r="AR11" s="22"/>
      <c r="BL11" s="22"/>
      <c r="BM11" s="22"/>
      <c r="BN11" s="22"/>
      <c r="BO11" s="22"/>
      <c r="BP11" s="22"/>
    </row>
    <row r="12" spans="1:68" customFormat="1" ht="16.5" x14ac:dyDescent="0.3">
      <c r="A12" s="50">
        <v>10</v>
      </c>
      <c r="B12" s="64">
        <v>13000</v>
      </c>
      <c r="C12" s="65">
        <f t="shared" si="12"/>
        <v>24125</v>
      </c>
      <c r="D12" s="200">
        <f t="shared" si="0"/>
        <v>23677.083333333336</v>
      </c>
      <c r="E12" s="199">
        <f t="shared" si="1"/>
        <v>0.54905411350637923</v>
      </c>
      <c r="F12" s="198">
        <f t="shared" si="2"/>
        <v>2</v>
      </c>
      <c r="G12" s="198"/>
      <c r="H12" s="198"/>
      <c r="I12" s="197">
        <f t="shared" si="3"/>
        <v>16220.711622087187</v>
      </c>
      <c r="J12" s="190">
        <f t="shared" si="10"/>
        <v>23527.154655343576</v>
      </c>
      <c r="K12" s="190">
        <f t="shared" si="4"/>
        <v>511.84292165385204</v>
      </c>
      <c r="L12" s="190">
        <f t="shared" si="13"/>
        <v>0.69937001371911456</v>
      </c>
      <c r="M12" s="192">
        <f t="shared" si="11"/>
        <v>16812.154065218456</v>
      </c>
      <c r="N12" s="48">
        <f t="shared" si="5"/>
        <v>-3812.1540652184558</v>
      </c>
      <c r="O12" s="48">
        <f t="shared" si="6"/>
        <v>3812.1540652184558</v>
      </c>
      <c r="P12" s="48">
        <f t="shared" si="7"/>
        <v>0.29324262040141968</v>
      </c>
      <c r="Q12" s="48">
        <f t="shared" si="8"/>
        <v>14532518.616961598</v>
      </c>
      <c r="R12" s="191">
        <f>SUM($N12:N12)</f>
        <v>-3812.1540652184558</v>
      </c>
      <c r="S12" s="47">
        <f>AVERAGE(O$3:O12)</f>
        <v>1486.6794829903613</v>
      </c>
      <c r="T12" s="47">
        <f>AVERAGE(P$3:P12)</f>
        <v>9.2004289982765025E-2</v>
      </c>
      <c r="U12" s="47">
        <f>AVERAGE(Q$3:Q12)</f>
        <v>3846651.8849449442</v>
      </c>
      <c r="V12" s="47">
        <f t="shared" si="9"/>
        <v>-2.5642070862177704</v>
      </c>
      <c r="AP12" s="22"/>
      <c r="AQ12" s="22"/>
      <c r="AR12" s="22"/>
      <c r="BL12" s="22"/>
      <c r="BM12" s="22"/>
      <c r="BN12" s="22"/>
      <c r="BO12" s="22"/>
      <c r="BP12" s="22"/>
    </row>
    <row r="13" spans="1:68" customFormat="1" ht="16.5" x14ac:dyDescent="0.3">
      <c r="A13" s="50">
        <v>11</v>
      </c>
      <c r="B13" s="64">
        <v>32000</v>
      </c>
      <c r="C13" s="65"/>
      <c r="D13" s="200">
        <f t="shared" si="0"/>
        <v>24200.892857142859</v>
      </c>
      <c r="E13" s="199">
        <f t="shared" si="1"/>
        <v>1.3222652647113078</v>
      </c>
      <c r="F13" s="198">
        <f t="shared" si="2"/>
        <v>3</v>
      </c>
      <c r="G13" s="198"/>
      <c r="H13" s="198"/>
      <c r="I13" s="197">
        <f t="shared" si="3"/>
        <v>28401.673380957061</v>
      </c>
      <c r="J13" s="190">
        <f t="shared" si="10"/>
        <v>24218.234565936938</v>
      </c>
      <c r="K13" s="190">
        <f t="shared" si="4"/>
        <v>529.76662054780309</v>
      </c>
      <c r="L13" s="190">
        <f t="shared" si="13"/>
        <v>1.1584239883201588</v>
      </c>
      <c r="M13" s="192">
        <f t="shared" si="11"/>
        <v>28668.678237399676</v>
      </c>
      <c r="N13" s="48">
        <f t="shared" si="5"/>
        <v>3331.3217626003243</v>
      </c>
      <c r="O13" s="48">
        <f t="shared" si="6"/>
        <v>3331.3217626003243</v>
      </c>
      <c r="P13" s="48">
        <f t="shared" si="7"/>
        <v>0.10410380508126013</v>
      </c>
      <c r="Q13" s="48">
        <f t="shared" si="8"/>
        <v>11097704.685974531</v>
      </c>
      <c r="R13" s="191">
        <f>SUM($N13:N13)</f>
        <v>3331.3217626003243</v>
      </c>
      <c r="S13" s="47">
        <f>AVERAGE(O$3:O13)</f>
        <v>1654.3742356821763</v>
      </c>
      <c r="T13" s="47">
        <f>AVERAGE(P$3:P13)</f>
        <v>9.3104245900810026E-2</v>
      </c>
      <c r="U13" s="47">
        <f>AVERAGE(Q$3:Q13)</f>
        <v>4505838.5032203607</v>
      </c>
      <c r="V13" s="47">
        <f t="shared" si="9"/>
        <v>2.0136446099976064</v>
      </c>
      <c r="AP13" s="22"/>
      <c r="AQ13" s="22"/>
      <c r="AR13" s="22"/>
      <c r="BL13" s="22"/>
      <c r="BM13" s="22"/>
      <c r="BN13" s="22"/>
      <c r="BO13" s="22"/>
      <c r="BP13" s="22"/>
    </row>
    <row r="14" spans="1:68" customFormat="1" ht="16.5" x14ac:dyDescent="0.3">
      <c r="A14" s="50">
        <v>12</v>
      </c>
      <c r="B14" s="64">
        <v>41000</v>
      </c>
      <c r="C14" s="65"/>
      <c r="D14" s="200">
        <f t="shared" si="0"/>
        <v>24724.702380952382</v>
      </c>
      <c r="E14" s="199">
        <f t="shared" si="1"/>
        <v>1.6582606078844417</v>
      </c>
      <c r="F14" s="198">
        <f t="shared" si="2"/>
        <v>4</v>
      </c>
      <c r="G14" s="198"/>
      <c r="H14" s="198"/>
      <c r="I14" s="197">
        <f t="shared" si="3"/>
        <v>41253.220342570465</v>
      </c>
      <c r="J14" s="190">
        <f t="shared" si="10"/>
        <v>24738.169972669231</v>
      </c>
      <c r="K14" s="190">
        <f t="shared" si="4"/>
        <v>528.78349916625211</v>
      </c>
      <c r="L14" s="190">
        <f t="shared" si="13"/>
        <v>1.6699674380791549</v>
      </c>
      <c r="M14" s="192">
        <f t="shared" si="11"/>
        <v>42194.989557426314</v>
      </c>
      <c r="N14" s="48">
        <f t="shared" si="5"/>
        <v>-1194.9895574263137</v>
      </c>
      <c r="O14" s="48">
        <f t="shared" si="6"/>
        <v>1194.9895574263137</v>
      </c>
      <c r="P14" s="48">
        <f t="shared" si="7"/>
        <v>2.9146086766495456E-2</v>
      </c>
      <c r="Q14" s="48">
        <f t="shared" si="8"/>
        <v>1428000.042357937</v>
      </c>
      <c r="R14" s="191">
        <f>SUM($N14:N14)</f>
        <v>-1194.9895574263137</v>
      </c>
      <c r="S14" s="47">
        <f>AVERAGE(O$3:O14)</f>
        <v>1616.0921791608544</v>
      </c>
      <c r="T14" s="47">
        <f>AVERAGE(P$3:P14)</f>
        <v>8.7774399306283821E-2</v>
      </c>
      <c r="U14" s="47">
        <f>AVERAGE(Q$3:Q14)</f>
        <v>4249351.9648151593</v>
      </c>
      <c r="V14" s="47">
        <f t="shared" si="9"/>
        <v>-0.7394315577016185</v>
      </c>
      <c r="AP14" s="22"/>
      <c r="AQ14" s="22"/>
      <c r="AR14" s="22"/>
      <c r="BL14" s="22"/>
      <c r="BM14" s="22"/>
      <c r="BN14" s="22"/>
      <c r="BO14" s="22"/>
      <c r="BP14" s="22"/>
    </row>
    <row r="15" spans="1:68" customFormat="1" ht="16.5" x14ac:dyDescent="0.3">
      <c r="A15" s="50">
        <v>13</v>
      </c>
      <c r="L15" s="190">
        <f t="shared" si="13"/>
        <v>0.47387681989765784</v>
      </c>
      <c r="M15" s="192">
        <f>($J$14+$K$14*(A15-$A$14))*L15</f>
        <v>11973.423559735484</v>
      </c>
      <c r="AP15" s="22"/>
      <c r="AQ15" s="22"/>
      <c r="AR15" s="22"/>
      <c r="BL15" s="22"/>
      <c r="BM15" s="22"/>
      <c r="BN15" s="22"/>
      <c r="BO15" s="22"/>
      <c r="BP15" s="22"/>
    </row>
    <row r="16" spans="1:68" customFormat="1" ht="16.5" x14ac:dyDescent="0.3">
      <c r="A16" s="50">
        <v>14</v>
      </c>
      <c r="L16" s="190">
        <f t="shared" si="13"/>
        <v>0.6840844788026077</v>
      </c>
      <c r="M16" s="192">
        <f>($J$14+$K$14*(A16-$A$14))*L16</f>
        <v>17646.463281136883</v>
      </c>
      <c r="AP16" s="22"/>
      <c r="AQ16" s="22"/>
      <c r="AR16" s="22"/>
      <c r="BL16" s="22"/>
      <c r="BM16" s="22"/>
      <c r="BN16" s="22"/>
      <c r="BO16" s="22"/>
      <c r="BP16" s="22"/>
    </row>
    <row r="17" spans="1:68" ht="16.5" x14ac:dyDescent="0.3">
      <c r="A17" s="50">
        <v>15</v>
      </c>
      <c r="B17"/>
      <c r="C17"/>
      <c r="D17"/>
      <c r="E17"/>
      <c r="F17"/>
      <c r="G17"/>
      <c r="H17"/>
      <c r="I17"/>
      <c r="J17"/>
      <c r="K17"/>
      <c r="L17" s="190">
        <f t="shared" si="13"/>
        <v>1.1756986210844202</v>
      </c>
      <c r="M17" s="192">
        <f>($J$14+$K$14*(A17-$A$14))*L17</f>
        <v>30949.702417485096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68" ht="16.5" x14ac:dyDescent="0.3">
      <c r="A18" s="50">
        <v>16</v>
      </c>
      <c r="B18"/>
      <c r="C18"/>
      <c r="D18"/>
      <c r="E18"/>
      <c r="F18"/>
      <c r="G18"/>
      <c r="H18"/>
      <c r="I18"/>
      <c r="J18"/>
      <c r="K18"/>
      <c r="L18" s="190">
        <f t="shared" si="13"/>
        <v>1.6686406394561084</v>
      </c>
      <c r="M18" s="192">
        <f>($J$14+$K$14*(A18-$A$14))*L18</f>
        <v>44808.514306899138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68" ht="16.5" x14ac:dyDescent="0.3">
      <c r="A19" s="50">
        <v>17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68" ht="16.5" x14ac:dyDescent="0.3">
      <c r="A20" s="50">
        <v>18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68" ht="16.5" x14ac:dyDescent="0.3">
      <c r="A21" s="50">
        <v>19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68" ht="16.5" x14ac:dyDescent="0.3">
      <c r="A22" s="50">
        <v>20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68" ht="16.5" x14ac:dyDescent="0.3">
      <c r="A23" s="50">
        <v>21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68" ht="16.5" x14ac:dyDescent="0.3">
      <c r="A24" s="50">
        <v>22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68" ht="16.5" x14ac:dyDescent="0.3">
      <c r="A25" s="50">
        <v>23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68" ht="16.5" x14ac:dyDescent="0.3">
      <c r="A26" s="50">
        <v>24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68" ht="16.5" x14ac:dyDescent="0.3">
      <c r="A27" s="50">
        <v>25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68" ht="16.5" x14ac:dyDescent="0.3">
      <c r="A28" s="50">
        <v>26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68" ht="16.5" x14ac:dyDescent="0.3">
      <c r="A29" s="50">
        <v>27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68" ht="16.5" x14ac:dyDescent="0.3">
      <c r="A30" s="50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68" ht="16.5" x14ac:dyDescent="0.3">
      <c r="A31" s="50">
        <v>29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BL31"/>
      <c r="BM31"/>
      <c r="BN31"/>
      <c r="BO31"/>
      <c r="BP31"/>
    </row>
    <row r="32" spans="1:68" ht="16.5" x14ac:dyDescent="0.3">
      <c r="A32" s="50">
        <v>30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BL32"/>
      <c r="BM32"/>
      <c r="BN32"/>
      <c r="BO32"/>
      <c r="BP32"/>
    </row>
    <row r="33" spans="1:68" ht="16.5" x14ac:dyDescent="0.3">
      <c r="A33" s="50">
        <v>31</v>
      </c>
      <c r="D33"/>
      <c r="E33"/>
      <c r="F33"/>
      <c r="G33"/>
      <c r="H33"/>
      <c r="I33"/>
      <c r="L33"/>
      <c r="M33"/>
      <c r="N33"/>
      <c r="O33"/>
      <c r="P33"/>
      <c r="Q33"/>
      <c r="R33"/>
      <c r="S33"/>
      <c r="T33"/>
      <c r="U33"/>
      <c r="V33"/>
      <c r="W33"/>
      <c r="BL33"/>
      <c r="BM33"/>
      <c r="BN33"/>
      <c r="BO33"/>
      <c r="BP33"/>
    </row>
    <row r="34" spans="1:68" ht="16.5" x14ac:dyDescent="0.3">
      <c r="A34" s="50">
        <v>32</v>
      </c>
      <c r="D34"/>
      <c r="E34"/>
      <c r="F34"/>
      <c r="G34"/>
      <c r="H34"/>
      <c r="I34"/>
      <c r="L34"/>
      <c r="M34"/>
      <c r="N34"/>
      <c r="O34"/>
      <c r="P34"/>
      <c r="Q34"/>
      <c r="R34"/>
      <c r="S34"/>
      <c r="T34"/>
      <c r="U34"/>
      <c r="V34"/>
      <c r="W34"/>
      <c r="BL34"/>
      <c r="BM34"/>
      <c r="BN34"/>
      <c r="BO34"/>
      <c r="BP34"/>
    </row>
    <row r="35" spans="1:68" x14ac:dyDescent="0.25">
      <c r="A35"/>
      <c r="E35"/>
      <c r="F35"/>
      <c r="G35"/>
      <c r="H35"/>
      <c r="I35"/>
      <c r="L35"/>
      <c r="M35"/>
      <c r="N35"/>
      <c r="O35"/>
      <c r="P35"/>
      <c r="Q35"/>
      <c r="R35"/>
      <c r="S35"/>
      <c r="T35"/>
      <c r="U35"/>
      <c r="V35"/>
      <c r="W35"/>
      <c r="BL35"/>
      <c r="BM35"/>
      <c r="BN35"/>
      <c r="BO35"/>
      <c r="BP35"/>
    </row>
    <row r="36" spans="1:68" x14ac:dyDescent="0.25">
      <c r="A36"/>
      <c r="BL36"/>
      <c r="BM36"/>
      <c r="BN36"/>
      <c r="BO36"/>
      <c r="BP36"/>
    </row>
    <row r="37" spans="1:68" x14ac:dyDescent="0.25">
      <c r="A37"/>
      <c r="B37" s="22" t="s">
        <v>27</v>
      </c>
      <c r="C37" s="196">
        <v>4</v>
      </c>
      <c r="BL37"/>
      <c r="BM37"/>
      <c r="BN37"/>
      <c r="BO37"/>
      <c r="BP37"/>
    </row>
    <row r="38" spans="1:68" x14ac:dyDescent="0.25">
      <c r="A38"/>
      <c r="B38" s="22" t="s">
        <v>59</v>
      </c>
      <c r="C38" s="67">
        <v>0.05</v>
      </c>
      <c r="BL38"/>
      <c r="BM38"/>
      <c r="BN38"/>
      <c r="BO38"/>
      <c r="BP38"/>
    </row>
    <row r="39" spans="1:68" x14ac:dyDescent="0.25">
      <c r="A39"/>
      <c r="B39" s="22" t="s">
        <v>57</v>
      </c>
      <c r="C39" s="67">
        <v>0.1</v>
      </c>
      <c r="BL39"/>
      <c r="BM39"/>
      <c r="BN39"/>
      <c r="BO39"/>
      <c r="BP39"/>
    </row>
    <row r="40" spans="1:68" x14ac:dyDescent="0.25">
      <c r="A40"/>
      <c r="B40" s="22" t="s">
        <v>58</v>
      </c>
      <c r="C40" s="67">
        <v>0.1</v>
      </c>
      <c r="BL40"/>
      <c r="BM40"/>
      <c r="BN40"/>
      <c r="BO40"/>
      <c r="BP40"/>
    </row>
    <row r="41" spans="1:68" x14ac:dyDescent="0.25">
      <c r="A41"/>
      <c r="BL41"/>
      <c r="BM41"/>
      <c r="BN41"/>
      <c r="BO41"/>
      <c r="BP41"/>
    </row>
    <row r="42" spans="1:68" x14ac:dyDescent="0.25">
      <c r="A42"/>
      <c r="B42" s="22" t="s">
        <v>50</v>
      </c>
      <c r="J42"/>
      <c r="K42"/>
      <c r="L42"/>
      <c r="BL42"/>
      <c r="BM42"/>
      <c r="BN42"/>
      <c r="BO42"/>
      <c r="BP42"/>
    </row>
    <row r="43" spans="1:68" x14ac:dyDescent="0.25">
      <c r="A43"/>
      <c r="B43" s="22" t="s">
        <v>51</v>
      </c>
      <c r="J43" s="47"/>
      <c r="K43"/>
      <c r="L43"/>
      <c r="BL43"/>
      <c r="BM43"/>
      <c r="BN43"/>
      <c r="BO43"/>
      <c r="BP43"/>
    </row>
    <row r="44" spans="1:68" x14ac:dyDescent="0.25">
      <c r="A44"/>
      <c r="B44" s="22" t="s">
        <v>52</v>
      </c>
      <c r="J44"/>
      <c r="K44"/>
      <c r="L44"/>
      <c r="BL44"/>
      <c r="BM44"/>
      <c r="BN44"/>
      <c r="BO44"/>
      <c r="BP44"/>
    </row>
    <row r="45" spans="1:68" x14ac:dyDescent="0.25">
      <c r="A45"/>
      <c r="B45" s="57" t="s">
        <v>46</v>
      </c>
      <c r="C45" s="57"/>
      <c r="D45" s="57"/>
      <c r="E45" s="57"/>
      <c r="F45" s="57"/>
      <c r="G45" s="57"/>
      <c r="H45" s="57"/>
      <c r="I45" s="57"/>
      <c r="J45"/>
      <c r="K45"/>
      <c r="L45"/>
      <c r="BL45"/>
      <c r="BM45"/>
      <c r="BN45"/>
      <c r="BO45"/>
      <c r="BP45"/>
    </row>
    <row r="46" spans="1:68" x14ac:dyDescent="0.25">
      <c r="A46"/>
      <c r="B46" t="s">
        <v>53</v>
      </c>
      <c r="C46"/>
      <c r="D46"/>
      <c r="E46"/>
      <c r="F46"/>
      <c r="G46"/>
      <c r="H46"/>
      <c r="I46"/>
      <c r="J46"/>
      <c r="K46"/>
      <c r="L46"/>
      <c r="BL46"/>
      <c r="BM46"/>
      <c r="BN46"/>
      <c r="BO46"/>
      <c r="BP46"/>
    </row>
    <row r="47" spans="1:68" x14ac:dyDescent="0.25">
      <c r="A47"/>
      <c r="B47" t="s">
        <v>47</v>
      </c>
      <c r="C47"/>
      <c r="D47"/>
      <c r="E47"/>
      <c r="F47"/>
      <c r="G47"/>
      <c r="H47"/>
      <c r="I47"/>
      <c r="J47"/>
      <c r="K47"/>
      <c r="L47"/>
      <c r="BL47"/>
      <c r="BM47"/>
      <c r="BN47"/>
      <c r="BO47"/>
      <c r="BP47"/>
    </row>
    <row r="48" spans="1:68" x14ac:dyDescent="0.25">
      <c r="A48"/>
      <c r="B48" t="s">
        <v>54</v>
      </c>
      <c r="C48"/>
      <c r="D48"/>
      <c r="E48"/>
      <c r="F48"/>
      <c r="G48"/>
      <c r="H48"/>
      <c r="I48"/>
      <c r="J48"/>
      <c r="K48"/>
      <c r="L48"/>
      <c r="BL48"/>
      <c r="BM48"/>
      <c r="BN48"/>
      <c r="BO48"/>
      <c r="BP48"/>
    </row>
    <row r="49" spans="1:68" x14ac:dyDescent="0.25">
      <c r="A49"/>
      <c r="B49" t="s">
        <v>55</v>
      </c>
      <c r="C49"/>
      <c r="D49"/>
      <c r="E49"/>
      <c r="F49"/>
      <c r="G49"/>
      <c r="H49"/>
      <c r="I49"/>
      <c r="J49"/>
      <c r="K49"/>
      <c r="L49"/>
      <c r="BL49"/>
      <c r="BM49"/>
      <c r="BN49"/>
      <c r="BO49"/>
      <c r="BP49"/>
    </row>
    <row r="50" spans="1:68" x14ac:dyDescent="0.25">
      <c r="A50"/>
      <c r="B50" t="s">
        <v>56</v>
      </c>
      <c r="C50"/>
      <c r="D50"/>
      <c r="E50"/>
      <c r="F50"/>
      <c r="G50"/>
      <c r="H50"/>
      <c r="I50"/>
      <c r="J50"/>
      <c r="K50"/>
      <c r="L50"/>
      <c r="BL50"/>
      <c r="BM50"/>
      <c r="BN50"/>
      <c r="BO50"/>
      <c r="BP50"/>
    </row>
    <row r="51" spans="1:68" x14ac:dyDescent="0.25">
      <c r="A51"/>
      <c r="B51"/>
      <c r="C51"/>
      <c r="D51"/>
      <c r="E51"/>
      <c r="F51"/>
      <c r="G51"/>
      <c r="H51"/>
      <c r="I51"/>
      <c r="J51"/>
      <c r="K51"/>
      <c r="L51"/>
      <c r="BL51"/>
      <c r="BM51"/>
      <c r="BN51"/>
      <c r="BO51"/>
      <c r="BP51"/>
    </row>
    <row r="52" spans="1:68" x14ac:dyDescent="0.25">
      <c r="A52"/>
      <c r="B52"/>
      <c r="C52"/>
      <c r="D52"/>
      <c r="E52"/>
      <c r="F52"/>
      <c r="G52"/>
      <c r="H52"/>
      <c r="I52"/>
      <c r="J52"/>
      <c r="K52"/>
      <c r="L52"/>
      <c r="BL52"/>
      <c r="BM52"/>
      <c r="BN52"/>
      <c r="BO52"/>
      <c r="BP52"/>
    </row>
    <row r="53" spans="1:68" x14ac:dyDescent="0.25">
      <c r="A53"/>
      <c r="B53"/>
      <c r="C53"/>
      <c r="D53"/>
      <c r="E53"/>
      <c r="F53"/>
      <c r="G53"/>
      <c r="H53"/>
      <c r="I53"/>
      <c r="J53"/>
      <c r="K53"/>
      <c r="L53"/>
      <c r="BL53"/>
      <c r="BM53"/>
      <c r="BN53"/>
      <c r="BO53"/>
      <c r="BP53"/>
    </row>
    <row r="54" spans="1:68" x14ac:dyDescent="0.25">
      <c r="A54"/>
      <c r="B54"/>
      <c r="C54"/>
      <c r="D54"/>
      <c r="E54"/>
      <c r="F54"/>
      <c r="G54"/>
      <c r="H54"/>
      <c r="I54"/>
      <c r="J54"/>
      <c r="K54"/>
      <c r="L54"/>
      <c r="BL54"/>
      <c r="BM54"/>
      <c r="BN54"/>
      <c r="BO54"/>
      <c r="BP54"/>
    </row>
    <row r="55" spans="1:68" x14ac:dyDescent="0.25">
      <c r="A55"/>
      <c r="B55"/>
      <c r="C55"/>
      <c r="D55"/>
      <c r="E55"/>
      <c r="F55"/>
      <c r="G55"/>
      <c r="H55"/>
      <c r="I55"/>
      <c r="J55"/>
      <c r="K55"/>
      <c r="L55"/>
      <c r="BL55"/>
      <c r="BM55"/>
      <c r="BN55"/>
      <c r="BO55"/>
      <c r="BP55"/>
    </row>
    <row r="56" spans="1:68" x14ac:dyDescent="0.25">
      <c r="A56"/>
      <c r="B56"/>
      <c r="C56"/>
      <c r="D56"/>
      <c r="E56"/>
      <c r="F56"/>
      <c r="G56"/>
      <c r="H56"/>
      <c r="I56"/>
      <c r="J56"/>
      <c r="K56"/>
      <c r="L56"/>
      <c r="BL56"/>
      <c r="BM56"/>
      <c r="BN56"/>
      <c r="BO56"/>
      <c r="BP56"/>
    </row>
    <row r="57" spans="1:68" x14ac:dyDescent="0.25">
      <c r="A57"/>
      <c r="B57"/>
      <c r="C57"/>
      <c r="D57"/>
      <c r="E57"/>
      <c r="F57"/>
      <c r="G57"/>
      <c r="H57"/>
      <c r="I57"/>
      <c r="J57"/>
      <c r="K57"/>
      <c r="L57"/>
      <c r="BL57"/>
      <c r="BM57"/>
      <c r="BN57"/>
      <c r="BO57"/>
      <c r="BP57"/>
    </row>
    <row r="58" spans="1:68" x14ac:dyDescent="0.25">
      <c r="A58"/>
      <c r="B58"/>
      <c r="C58"/>
      <c r="D58"/>
      <c r="E58"/>
      <c r="F58"/>
      <c r="G58"/>
      <c r="H58"/>
      <c r="I58"/>
      <c r="J58"/>
      <c r="K58"/>
      <c r="L58"/>
      <c r="BL58"/>
      <c r="BM58"/>
      <c r="BN58"/>
      <c r="BO58"/>
      <c r="BP58"/>
    </row>
    <row r="59" spans="1:68" x14ac:dyDescent="0.25">
      <c r="A59"/>
      <c r="B59"/>
      <c r="C59"/>
      <c r="D59"/>
      <c r="E59"/>
      <c r="F59"/>
      <c r="G59"/>
      <c r="H59"/>
      <c r="I59"/>
      <c r="J59"/>
      <c r="K59"/>
      <c r="L59"/>
      <c r="BL59"/>
      <c r="BM59"/>
      <c r="BN59"/>
      <c r="BO59"/>
      <c r="BP59"/>
    </row>
    <row r="60" spans="1:68" x14ac:dyDescent="0.25">
      <c r="A60"/>
      <c r="B60"/>
      <c r="C60"/>
      <c r="D60"/>
      <c r="E60"/>
      <c r="F60"/>
      <c r="G60"/>
      <c r="H60"/>
      <c r="I60"/>
      <c r="J60"/>
      <c r="K60"/>
      <c r="L60"/>
      <c r="BL60"/>
      <c r="BM60"/>
      <c r="BN60"/>
      <c r="BO60"/>
      <c r="BP60"/>
    </row>
    <row r="61" spans="1:68" x14ac:dyDescent="0.25">
      <c r="A61"/>
      <c r="B61"/>
      <c r="C61"/>
      <c r="D61"/>
      <c r="E61"/>
      <c r="F61"/>
      <c r="G61"/>
      <c r="H61"/>
      <c r="I61"/>
      <c r="J61"/>
      <c r="K61"/>
      <c r="L61"/>
      <c r="BL61"/>
      <c r="BM61"/>
      <c r="BN61"/>
      <c r="BO61"/>
      <c r="BP61"/>
    </row>
    <row r="62" spans="1:68" x14ac:dyDescent="0.25">
      <c r="A62"/>
      <c r="B62"/>
      <c r="C62"/>
      <c r="D62"/>
      <c r="E62"/>
      <c r="F62"/>
      <c r="G62"/>
      <c r="H62"/>
      <c r="I62"/>
      <c r="J62"/>
      <c r="K62"/>
      <c r="L62"/>
      <c r="BL62"/>
      <c r="BM62"/>
      <c r="BN62"/>
      <c r="BO62"/>
      <c r="BP62"/>
    </row>
    <row r="63" spans="1:68" x14ac:dyDescent="0.25">
      <c r="A63"/>
      <c r="B63"/>
      <c r="C63"/>
      <c r="D63"/>
      <c r="E63"/>
      <c r="F63"/>
      <c r="G63"/>
      <c r="H63"/>
      <c r="I63"/>
      <c r="J63"/>
      <c r="K63"/>
      <c r="L63"/>
      <c r="BL63"/>
      <c r="BM63"/>
      <c r="BN63"/>
      <c r="BO63"/>
      <c r="BP63"/>
    </row>
    <row r="64" spans="1:68" x14ac:dyDescent="0.25">
      <c r="A64"/>
      <c r="B64"/>
      <c r="C64"/>
      <c r="D64"/>
      <c r="E64"/>
      <c r="F64"/>
      <c r="G64"/>
      <c r="H64"/>
      <c r="I64"/>
      <c r="J64"/>
      <c r="K64"/>
      <c r="L64"/>
      <c r="BL64"/>
      <c r="BM64"/>
      <c r="BN64"/>
      <c r="BO64"/>
      <c r="BP64"/>
    </row>
    <row r="65" spans="1:68" x14ac:dyDescent="0.25">
      <c r="A65"/>
      <c r="B65"/>
      <c r="C65"/>
      <c r="D65"/>
      <c r="E65"/>
      <c r="F65"/>
      <c r="G65"/>
      <c r="H65"/>
      <c r="I65"/>
      <c r="J65"/>
      <c r="K65"/>
      <c r="L65"/>
      <c r="BL65"/>
      <c r="BM65"/>
      <c r="BN65"/>
      <c r="BO65"/>
      <c r="BP65"/>
    </row>
    <row r="66" spans="1:68" x14ac:dyDescent="0.25">
      <c r="A66"/>
      <c r="B66"/>
      <c r="C66"/>
      <c r="D66"/>
      <c r="E66"/>
      <c r="F66"/>
      <c r="G66"/>
      <c r="H66"/>
      <c r="I66"/>
      <c r="J66"/>
      <c r="K66"/>
      <c r="L66"/>
      <c r="BL66"/>
      <c r="BM66"/>
      <c r="BN66"/>
      <c r="BO66"/>
      <c r="BP66"/>
    </row>
    <row r="67" spans="1:68" x14ac:dyDescent="0.25">
      <c r="A67"/>
      <c r="B67"/>
      <c r="C67"/>
      <c r="D67"/>
      <c r="E67"/>
      <c r="F67"/>
      <c r="G67"/>
      <c r="H67"/>
      <c r="I67"/>
      <c r="J67"/>
      <c r="K67"/>
      <c r="L67"/>
      <c r="BL67"/>
      <c r="BM67"/>
      <c r="BN67"/>
      <c r="BO67"/>
      <c r="BP67"/>
    </row>
    <row r="68" spans="1:68" x14ac:dyDescent="0.25">
      <c r="A68"/>
      <c r="B68"/>
      <c r="C68"/>
      <c r="D68"/>
      <c r="E68"/>
      <c r="F68"/>
      <c r="G68"/>
      <c r="H68"/>
      <c r="I68"/>
      <c r="J68"/>
      <c r="K68"/>
      <c r="L68"/>
      <c r="BL68"/>
      <c r="BM68"/>
      <c r="BN68"/>
      <c r="BO68"/>
      <c r="BP68"/>
    </row>
    <row r="69" spans="1:68" x14ac:dyDescent="0.25">
      <c r="A69"/>
      <c r="B69"/>
      <c r="C69"/>
      <c r="D69"/>
      <c r="E69"/>
      <c r="F69"/>
      <c r="G69"/>
      <c r="H69"/>
      <c r="I69"/>
      <c r="J69"/>
      <c r="K69"/>
      <c r="L69"/>
      <c r="BL69"/>
      <c r="BM69"/>
      <c r="BN69"/>
      <c r="BO69"/>
      <c r="BP69"/>
    </row>
    <row r="70" spans="1:68" x14ac:dyDescent="0.25">
      <c r="A70"/>
      <c r="B70"/>
      <c r="C70"/>
      <c r="D70"/>
      <c r="E70"/>
      <c r="F70"/>
      <c r="G70"/>
      <c r="H70"/>
      <c r="I70"/>
      <c r="J70"/>
      <c r="K70"/>
      <c r="L70"/>
      <c r="BL70"/>
      <c r="BM70"/>
      <c r="BN70"/>
      <c r="BO70"/>
      <c r="BP70"/>
    </row>
    <row r="71" spans="1:68" x14ac:dyDescent="0.25">
      <c r="A71"/>
      <c r="B71"/>
      <c r="C71"/>
      <c r="D71"/>
      <c r="E71"/>
      <c r="F71"/>
      <c r="G71"/>
      <c r="H71"/>
      <c r="I71"/>
      <c r="J71"/>
      <c r="K71"/>
      <c r="L71"/>
      <c r="BL71"/>
      <c r="BM71"/>
      <c r="BN71"/>
      <c r="BO71"/>
      <c r="BP71"/>
    </row>
    <row r="72" spans="1:68" x14ac:dyDescent="0.25">
      <c r="A72"/>
      <c r="B72"/>
      <c r="C72"/>
      <c r="D72"/>
      <c r="E72"/>
      <c r="F72"/>
      <c r="G72"/>
      <c r="H72"/>
      <c r="I72"/>
      <c r="J72"/>
      <c r="K72"/>
      <c r="L72"/>
      <c r="BL72"/>
      <c r="BM72"/>
      <c r="BN72"/>
      <c r="BO72"/>
      <c r="BP72"/>
    </row>
    <row r="73" spans="1:68" x14ac:dyDescent="0.25">
      <c r="A73"/>
      <c r="B73"/>
      <c r="C73"/>
      <c r="D73"/>
      <c r="E73"/>
      <c r="F73"/>
      <c r="G73"/>
      <c r="H73"/>
      <c r="I73"/>
      <c r="J73"/>
      <c r="K73"/>
      <c r="L73"/>
      <c r="BL73"/>
      <c r="BM73"/>
      <c r="BN73"/>
      <c r="BO73"/>
      <c r="BP73"/>
    </row>
    <row r="74" spans="1:68" x14ac:dyDescent="0.25">
      <c r="A74"/>
      <c r="B74"/>
      <c r="C74"/>
      <c r="D74"/>
      <c r="E74"/>
      <c r="F74"/>
      <c r="G74"/>
      <c r="H74"/>
      <c r="I74"/>
      <c r="J74"/>
      <c r="K74"/>
      <c r="L74"/>
      <c r="BL74"/>
      <c r="BM74"/>
      <c r="BN74"/>
      <c r="BO74"/>
      <c r="BP74"/>
    </row>
    <row r="75" spans="1:68" x14ac:dyDescent="0.25">
      <c r="A75"/>
      <c r="B75"/>
      <c r="C75"/>
      <c r="D75"/>
      <c r="E75"/>
      <c r="F75"/>
      <c r="G75"/>
      <c r="H75"/>
      <c r="I75"/>
      <c r="J75"/>
      <c r="K75"/>
      <c r="L75"/>
      <c r="BL75"/>
      <c r="BM75"/>
      <c r="BN75"/>
      <c r="BO75"/>
      <c r="BP75"/>
    </row>
    <row r="76" spans="1:68" x14ac:dyDescent="0.25">
      <c r="A76"/>
      <c r="B76"/>
      <c r="C76"/>
      <c r="D76"/>
      <c r="E76"/>
      <c r="F76"/>
      <c r="G76"/>
      <c r="H76"/>
      <c r="I76"/>
      <c r="J76"/>
      <c r="K76"/>
      <c r="L76"/>
      <c r="BL76"/>
      <c r="BM76"/>
      <c r="BN76"/>
      <c r="BO76"/>
      <c r="BP76"/>
    </row>
    <row r="77" spans="1:68" ht="16.5" x14ac:dyDescent="0.3">
      <c r="A77"/>
      <c r="B77"/>
      <c r="C77"/>
      <c r="D77"/>
      <c r="E77"/>
      <c r="F77"/>
      <c r="G77"/>
      <c r="H77"/>
      <c r="I77"/>
      <c r="J77"/>
      <c r="K77"/>
      <c r="L77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BL77"/>
      <c r="BM77"/>
      <c r="BN77"/>
      <c r="BO77"/>
      <c r="BP77"/>
    </row>
    <row r="78" spans="1:68" ht="16.5" x14ac:dyDescent="0.3">
      <c r="A78"/>
      <c r="B78"/>
      <c r="C78"/>
      <c r="D78"/>
      <c r="E78"/>
      <c r="F78"/>
      <c r="G78"/>
      <c r="H78"/>
      <c r="I78"/>
      <c r="J78"/>
      <c r="K78"/>
      <c r="L78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BL78"/>
      <c r="BM78"/>
      <c r="BN78"/>
      <c r="BO78"/>
      <c r="BP78"/>
    </row>
    <row r="79" spans="1:68" ht="16.5" x14ac:dyDescent="0.3">
      <c r="A79"/>
      <c r="B79"/>
      <c r="C79"/>
      <c r="D79"/>
      <c r="E79"/>
      <c r="F79"/>
      <c r="G79"/>
      <c r="H79"/>
      <c r="I79"/>
      <c r="J79"/>
      <c r="K79"/>
      <c r="L79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BL79"/>
      <c r="BM79"/>
      <c r="BN79"/>
      <c r="BO79"/>
      <c r="BP79"/>
    </row>
    <row r="80" spans="1:68" ht="16.5" x14ac:dyDescent="0.3">
      <c r="A80"/>
      <c r="B80"/>
      <c r="C80"/>
      <c r="D80"/>
      <c r="E80"/>
      <c r="F80"/>
      <c r="G80"/>
      <c r="H80"/>
      <c r="I80"/>
      <c r="J80"/>
      <c r="K80"/>
      <c r="L80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BL80"/>
      <c r="BM80"/>
      <c r="BN80"/>
      <c r="BO80"/>
      <c r="BP80"/>
    </row>
    <row r="81" spans="1:68" ht="16.5" x14ac:dyDescent="0.3">
      <c r="A81"/>
      <c r="B81"/>
      <c r="C81"/>
      <c r="D81"/>
      <c r="E81"/>
      <c r="F81"/>
      <c r="G81"/>
      <c r="H81"/>
      <c r="I81"/>
      <c r="J81"/>
      <c r="K81"/>
      <c r="L8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BL81"/>
      <c r="BM81"/>
      <c r="BN81"/>
      <c r="BO81"/>
      <c r="BP81"/>
    </row>
    <row r="82" spans="1:68" ht="16.5" x14ac:dyDescent="0.3">
      <c r="A82"/>
      <c r="B82"/>
      <c r="C82"/>
      <c r="D82"/>
      <c r="E82"/>
      <c r="F82"/>
      <c r="G82"/>
      <c r="H82"/>
      <c r="I82"/>
      <c r="J82"/>
      <c r="K82"/>
      <c r="L82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BL82"/>
      <c r="BM82"/>
      <c r="BN82"/>
      <c r="BO82"/>
      <c r="BP82"/>
    </row>
    <row r="83" spans="1:68" ht="16.5" x14ac:dyDescent="0.3">
      <c r="A83"/>
      <c r="B83"/>
      <c r="C83"/>
      <c r="D83"/>
      <c r="E83"/>
      <c r="F83"/>
      <c r="G83"/>
      <c r="H83"/>
      <c r="I83"/>
      <c r="J83"/>
      <c r="K83"/>
      <c r="L83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BL83"/>
      <c r="BM83"/>
      <c r="BN83"/>
      <c r="BO83"/>
      <c r="BP83"/>
    </row>
    <row r="84" spans="1:68" ht="16.5" x14ac:dyDescent="0.3">
      <c r="A84"/>
      <c r="B84"/>
      <c r="C84"/>
      <c r="D84"/>
      <c r="E84"/>
      <c r="F84"/>
      <c r="G84"/>
      <c r="H84"/>
      <c r="I84"/>
      <c r="J84"/>
      <c r="K84"/>
      <c r="L84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BL84"/>
      <c r="BM84"/>
      <c r="BN84"/>
      <c r="BO84"/>
      <c r="BP84"/>
    </row>
    <row r="85" spans="1:68" ht="16.5" x14ac:dyDescent="0.3">
      <c r="A85"/>
      <c r="B85"/>
      <c r="C85"/>
      <c r="D85"/>
      <c r="E85"/>
      <c r="F85"/>
      <c r="G85"/>
      <c r="H85"/>
      <c r="I85"/>
      <c r="J85"/>
      <c r="K85"/>
      <c r="L85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BL85"/>
      <c r="BM85"/>
      <c r="BN85"/>
      <c r="BO85"/>
      <c r="BP85"/>
    </row>
    <row r="86" spans="1:68" ht="16.5" x14ac:dyDescent="0.3">
      <c r="A86"/>
      <c r="B86"/>
      <c r="C86"/>
      <c r="D86"/>
      <c r="E86"/>
      <c r="F86"/>
      <c r="G86"/>
      <c r="H86"/>
      <c r="I86"/>
      <c r="J86"/>
      <c r="K86"/>
      <c r="L86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</row>
    <row r="87" spans="1:68" ht="16.5" x14ac:dyDescent="0.3">
      <c r="A87"/>
      <c r="B87"/>
      <c r="C87"/>
      <c r="D87"/>
      <c r="E87"/>
      <c r="F87"/>
      <c r="G87"/>
      <c r="H87"/>
      <c r="I87"/>
      <c r="J87"/>
      <c r="K87"/>
      <c r="L87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</row>
    <row r="88" spans="1:68" ht="16.5" x14ac:dyDescent="0.3">
      <c r="A88"/>
      <c r="B88"/>
      <c r="C88"/>
      <c r="D88"/>
      <c r="E88"/>
      <c r="F88"/>
      <c r="G88"/>
      <c r="H88"/>
      <c r="I88"/>
      <c r="J88"/>
      <c r="K88"/>
      <c r="L88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</row>
    <row r="89" spans="1:68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68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68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68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68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68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68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68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5">
      <c r="A298"/>
      <c r="B298"/>
      <c r="C298"/>
      <c r="D298"/>
      <c r="E298"/>
      <c r="F298"/>
      <c r="G298"/>
      <c r="H298"/>
      <c r="I298"/>
      <c r="J298"/>
      <c r="K298"/>
      <c r="L298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4.OPT.AlphaBeta6ways</vt:lpstr>
      <vt:lpstr>1.ES-Simp</vt:lpstr>
      <vt:lpstr>2.ES.Simp.Trend</vt:lpstr>
      <vt:lpstr>2.ExpoSmoo</vt:lpstr>
      <vt:lpstr>3.TrendAdj</vt:lpstr>
      <vt:lpstr>3b.ESLag</vt:lpstr>
      <vt:lpstr>3.TrenAdExpoSmoo</vt:lpstr>
      <vt:lpstr>3c.TrAdES</vt:lpstr>
      <vt:lpstr>3b.OPT.AlphaBeta6ways</vt:lpstr>
      <vt:lpstr>Prac1.TreAdj.ES</vt:lpstr>
      <vt:lpstr>Prac2.TreAdj.ES</vt:lpstr>
      <vt:lpstr>Prac3.TreAdj.ES</vt:lpstr>
      <vt:lpstr>4.Trend&amp;SeasIravaniMine</vt:lpstr>
      <vt:lpstr>4b.Trend&amp;SeasonPractice</vt:lpstr>
      <vt:lpstr>1.Trend&amp;Season</vt:lpstr>
      <vt:lpstr>TrendAndSeasSocic</vt:lpstr>
      <vt:lpstr>TrendAndSeasChopraBook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2022-01-18T12:14:58Z</dcterms:modified>
</cp:coreProperties>
</file>