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2020\"/>
    </mc:Choice>
  </mc:AlternateContent>
  <xr:revisionPtr revIDLastSave="0" documentId="13_ncr:1_{93F4C303-527F-4614-B9D9-3C1BD148F7B1}" xr6:coauthVersionLast="46" xr6:coauthVersionMax="46" xr10:uidLastSave="{00000000-0000-0000-0000-000000000000}"/>
  <bookViews>
    <workbookView xWindow="5580" yWindow="435" windowWidth="28800" windowHeight="15600" firstSheet="4" activeTab="12" xr2:uid="{00000000-000D-0000-FFFF-FFFF00000000}"/>
  </bookViews>
  <sheets>
    <sheet name="1.Expo" sheetId="26" r:id="rId1"/>
    <sheet name="2.ES-MAD-TS" sheetId="16" r:id="rId2"/>
    <sheet name="3.ES-OptDataTab" sheetId="27" r:id="rId3"/>
    <sheet name="4.ES-OptSolver" sheetId="20" r:id="rId4"/>
    <sheet name="5.DatTabSolver" sheetId="19" r:id="rId5"/>
    <sheet name="6.1.25MAD&amp;MSE" sheetId="13" r:id="rId6"/>
    <sheet name="7.Game" sheetId="23" r:id="rId7"/>
    <sheet name="8a.Ga42ForcES-MAD.TS" sheetId="28" r:id="rId8"/>
    <sheet name="8b.Ga42ForcES-MSE" sheetId="29" r:id="rId9"/>
    <sheet name="8c.Ga42ForcReg" sheetId="30" r:id="rId10"/>
    <sheet name="0.ArdiData&amp;FixedData" sheetId="12" r:id="rId11"/>
    <sheet name="2.OPT.Alpha6ways" sheetId="31" r:id="rId12"/>
    <sheet name="TableLP(Good)" sheetId="32" r:id="rId13"/>
    <sheet name="TableLP(Bad)" sheetId="33" r:id="rId14"/>
    <sheet name="00.BookData" sheetId="6" r:id="rId15"/>
  </sheets>
  <externalReferences>
    <externalReference r:id="rId16"/>
    <externalReference r:id="rId17"/>
    <externalReference r:id="rId18"/>
    <externalReference r:id="rId19"/>
  </externalReferences>
  <definedNames>
    <definedName name="Page1">#REF!</definedName>
    <definedName name="Page2" localSheetId="8">'8b.Ga42ForcES-MSE'!$I$16</definedName>
    <definedName name="Page2">'8a.Ga42ForcES-MAD.TS'!$I$18</definedName>
    <definedName name="Page2b">'8c.Ga42ForcReg'!$I$2</definedName>
    <definedName name="solver_adj" localSheetId="1" hidden="1">'2.ES-MAD-TS'!#REF!</definedName>
    <definedName name="solver_adj" localSheetId="11" hidden="1">'2.OPT.Alpha6ways'!$J$1</definedName>
    <definedName name="solver_adj" localSheetId="3" hidden="1">'4.ES-OptSolver'!$G$3</definedName>
    <definedName name="solver_adj" localSheetId="4" hidden="1">'5.DatTabSolver'!$H$1</definedName>
    <definedName name="solver_adj" localSheetId="5" hidden="1">'6.1.25MAD&amp;MSE'!$N$1</definedName>
    <definedName name="solver_adj" localSheetId="6" hidden="1">'7.Game'!$G$3</definedName>
    <definedName name="solver_adj" localSheetId="7" hidden="1">'8a.Ga42ForcES-MAD.TS'!#REF!</definedName>
    <definedName name="solver_adj" localSheetId="8" hidden="1">'8b.Ga42ForcES-MSE'!#REF!</definedName>
    <definedName name="solver_adj" localSheetId="9" hidden="1">'8c.Ga42ForcReg'!#REF!</definedName>
    <definedName name="solver_adj" localSheetId="13" hidden="1">'TableLP(Bad)'!$D$4</definedName>
    <definedName name="solver_adj" localSheetId="12" hidden="1">'TableLP(Good)'!$D$4</definedName>
    <definedName name="solver_cvg" localSheetId="1" hidden="1">0.0001</definedName>
    <definedName name="solver_cvg" localSheetId="11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8" hidden="1">0.0001</definedName>
    <definedName name="solver_cvg" localSheetId="9" hidden="1">0.0001</definedName>
    <definedName name="solver_cvg" localSheetId="13" hidden="1">0.0001</definedName>
    <definedName name="solver_cvg" localSheetId="12" hidden="1">0.0001</definedName>
    <definedName name="solver_drv" localSheetId="1" hidden="1">2</definedName>
    <definedName name="solver_drv" localSheetId="11" hidden="1">2</definedName>
    <definedName name="solver_drv" localSheetId="3" hidden="1">2</definedName>
    <definedName name="solver_drv" localSheetId="4" hidden="1">2</definedName>
    <definedName name="solver_drv" localSheetId="5" hidden="1">1</definedName>
    <definedName name="solver_drv" localSheetId="6" hidden="1">2</definedName>
    <definedName name="solver_drv" localSheetId="7" hidden="1">2</definedName>
    <definedName name="solver_drv" localSheetId="8" hidden="1">2</definedName>
    <definedName name="solver_drv" localSheetId="9" hidden="1">2</definedName>
    <definedName name="solver_drv" localSheetId="13" hidden="1">1</definedName>
    <definedName name="solver_drv" localSheetId="12" hidden="1">1</definedName>
    <definedName name="solver_eng" localSheetId="1" hidden="1">1</definedName>
    <definedName name="solver_eng" localSheetId="11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ng" localSheetId="7" hidden="1">1</definedName>
    <definedName name="solver_eng" localSheetId="8" hidden="1">1</definedName>
    <definedName name="solver_eng" localSheetId="9" hidden="1">1</definedName>
    <definedName name="solver_est" localSheetId="1" hidden="1">1</definedName>
    <definedName name="solver_est" localSheetId="11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8" hidden="1">1</definedName>
    <definedName name="solver_est" localSheetId="9" hidden="1">1</definedName>
    <definedName name="solver_est" localSheetId="13" hidden="1">1</definedName>
    <definedName name="solver_est" localSheetId="12" hidden="1">1</definedName>
    <definedName name="solver_itr" localSheetId="1" hidden="1">2147483647</definedName>
    <definedName name="solver_itr" localSheetId="11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8" hidden="1">2147483647</definedName>
    <definedName name="solver_itr" localSheetId="9" hidden="1">2147483647</definedName>
    <definedName name="solver_itr" localSheetId="13" hidden="1">100</definedName>
    <definedName name="solver_itr" localSheetId="12" hidden="1">100</definedName>
    <definedName name="solver_lhs1" localSheetId="5" hidden="1">'6.1.25MAD&amp;MSE'!$N$1</definedName>
    <definedName name="solver_lhs1" localSheetId="6" hidden="1">'7.Game'!$G$3</definedName>
    <definedName name="solver_lhs1" localSheetId="7" hidden="1">'8a.Ga42ForcES-MAD.TS'!#REF!</definedName>
    <definedName name="solver_lhs1" localSheetId="8" hidden="1">'8b.Ga42ForcES-MSE'!#REF!</definedName>
    <definedName name="solver_lhs2" localSheetId="5" hidden="1">'6.1.25MAD&amp;MSE'!$N$1</definedName>
    <definedName name="solver_lin" localSheetId="13" hidden="1">2</definedName>
    <definedName name="solver_lin" localSheetId="12" hidden="1">2</definedName>
    <definedName name="solver_mip" localSheetId="1" hidden="1">2147483647</definedName>
    <definedName name="solver_mip" localSheetId="11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8" hidden="1">2147483647</definedName>
    <definedName name="solver_mip" localSheetId="9" hidden="1">2147483647</definedName>
    <definedName name="solver_mni" localSheetId="1" hidden="1">30</definedName>
    <definedName name="solver_mni" localSheetId="11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8" hidden="1">30</definedName>
    <definedName name="solver_mni" localSheetId="9" hidden="1">30</definedName>
    <definedName name="solver_mrt" localSheetId="1" hidden="1">0.075</definedName>
    <definedName name="solver_mrt" localSheetId="11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8" hidden="1">0.075</definedName>
    <definedName name="solver_mrt" localSheetId="9" hidden="1">0.075</definedName>
    <definedName name="solver_msl" localSheetId="1" hidden="1">2</definedName>
    <definedName name="solver_msl" localSheetId="11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8" hidden="1">2</definedName>
    <definedName name="solver_msl" localSheetId="9" hidden="1">2</definedName>
    <definedName name="solver_neg" localSheetId="1" hidden="1">1</definedName>
    <definedName name="solver_neg" localSheetId="11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8" hidden="1">1</definedName>
    <definedName name="solver_neg" localSheetId="9" hidden="1">1</definedName>
    <definedName name="solver_neg" localSheetId="13" hidden="1">2</definedName>
    <definedName name="solver_neg" localSheetId="12" hidden="1">2</definedName>
    <definedName name="solver_nod" localSheetId="1" hidden="1">2147483647</definedName>
    <definedName name="solver_nod" localSheetId="11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8" hidden="1">2147483647</definedName>
    <definedName name="solver_nod" localSheetId="9" hidden="1">2147483647</definedName>
    <definedName name="solver_num" localSheetId="1" hidden="1">0</definedName>
    <definedName name="solver_num" localSheetId="11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8" hidden="1">0</definedName>
    <definedName name="solver_num" localSheetId="9" hidden="1">0</definedName>
    <definedName name="solver_num" localSheetId="13" hidden="1">0</definedName>
    <definedName name="solver_num" localSheetId="12" hidden="1">0</definedName>
    <definedName name="solver_nwt" localSheetId="1" hidden="1">1</definedName>
    <definedName name="solver_nwt" localSheetId="11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8" hidden="1">1</definedName>
    <definedName name="solver_nwt" localSheetId="9" hidden="1">1</definedName>
    <definedName name="solver_nwt" localSheetId="13" hidden="1">1</definedName>
    <definedName name="solver_nwt" localSheetId="12" hidden="1">1</definedName>
    <definedName name="solver_opt" localSheetId="1" hidden="1">'2.ES-MAD-TS'!#REF!</definedName>
    <definedName name="solver_opt" localSheetId="11" hidden="1">'2.OPT.Alpha6ways'!$I$6</definedName>
    <definedName name="solver_opt" localSheetId="3" hidden="1">'4.ES-OptSolver'!$H$4</definedName>
    <definedName name="solver_opt" localSheetId="4" hidden="1">'5.DatTabSolver'!$F$51</definedName>
    <definedName name="solver_opt" localSheetId="5" hidden="1">'6.1.25MAD&amp;MSE'!$R$4</definedName>
    <definedName name="solver_opt" localSheetId="6" hidden="1">'7.Game'!$J$4</definedName>
    <definedName name="solver_opt" localSheetId="7" hidden="1">'8a.Ga42ForcES-MAD.TS'!#REF!</definedName>
    <definedName name="solver_opt" localSheetId="8" hidden="1">'8b.Ga42ForcES-MSE'!#REF!</definedName>
    <definedName name="solver_opt" localSheetId="9" hidden="1">'8c.Ga42ForcReg'!#REF!</definedName>
    <definedName name="solver_opt" localSheetId="13" hidden="1">'TableLP(Bad)'!$H$4</definedName>
    <definedName name="solver_opt" localSheetId="12" hidden="1">'TableLP(Good)'!$G$4</definedName>
    <definedName name="solver_pre" localSheetId="1" hidden="1">0.000001</definedName>
    <definedName name="solver_pre" localSheetId="11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8" hidden="1">0.000001</definedName>
    <definedName name="solver_pre" localSheetId="9" hidden="1">0.000001</definedName>
    <definedName name="solver_pre" localSheetId="13" hidden="1">0.000001</definedName>
    <definedName name="solver_pre" localSheetId="12" hidden="1">0.000001</definedName>
    <definedName name="solver_rbv" localSheetId="1" hidden="1">2</definedName>
    <definedName name="solver_rbv" localSheetId="11" hidden="1">2</definedName>
    <definedName name="solver_rbv" localSheetId="3" hidden="1">2</definedName>
    <definedName name="solver_rbv" localSheetId="4" hidden="1">2</definedName>
    <definedName name="solver_rbv" localSheetId="5" hidden="1">1</definedName>
    <definedName name="solver_rbv" localSheetId="6" hidden="1">2</definedName>
    <definedName name="solver_rbv" localSheetId="7" hidden="1">2</definedName>
    <definedName name="solver_rbv" localSheetId="8" hidden="1">2</definedName>
    <definedName name="solver_rbv" localSheetId="9" hidden="1">2</definedName>
    <definedName name="solver_rel1" localSheetId="5" hidden="1">1</definedName>
    <definedName name="solver_rel1" localSheetId="6" hidden="1">1</definedName>
    <definedName name="solver_rel1" localSheetId="7" hidden="1">1</definedName>
    <definedName name="solver_rel1" localSheetId="8" hidden="1">1</definedName>
    <definedName name="solver_rel2" localSheetId="5" hidden="1">3</definedName>
    <definedName name="solver_rhs1" localSheetId="5" hidden="1">1</definedName>
    <definedName name="solver_rhs1" localSheetId="6" hidden="1">1</definedName>
    <definedName name="solver_rhs1" localSheetId="7" hidden="1">1</definedName>
    <definedName name="solver_rhs1" localSheetId="8" hidden="1">1</definedName>
    <definedName name="solver_rhs2" localSheetId="5" hidden="1">0</definedName>
    <definedName name="solver_rlx" localSheetId="1" hidden="1">2</definedName>
    <definedName name="solver_rlx" localSheetId="11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8" hidden="1">2</definedName>
    <definedName name="solver_rlx" localSheetId="9" hidden="1">2</definedName>
    <definedName name="solver_rsd" localSheetId="1" hidden="1">0</definedName>
    <definedName name="solver_rsd" localSheetId="11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8" hidden="1">0</definedName>
    <definedName name="solver_rsd" localSheetId="9" hidden="1">0</definedName>
    <definedName name="solver_scl" localSheetId="1" hidden="1">2</definedName>
    <definedName name="solver_scl" localSheetId="11" hidden="1">2</definedName>
    <definedName name="solver_scl" localSheetId="3" hidden="1">2</definedName>
    <definedName name="solver_scl" localSheetId="4" hidden="1">2</definedName>
    <definedName name="solver_scl" localSheetId="5" hidden="1">1</definedName>
    <definedName name="solver_scl" localSheetId="6" hidden="1">2</definedName>
    <definedName name="solver_scl" localSheetId="7" hidden="1">2</definedName>
    <definedName name="solver_scl" localSheetId="8" hidden="1">2</definedName>
    <definedName name="solver_scl" localSheetId="9" hidden="1">2</definedName>
    <definedName name="solver_scl" localSheetId="13" hidden="1">2</definedName>
    <definedName name="solver_scl" localSheetId="12" hidden="1">2</definedName>
    <definedName name="solver_sho" localSheetId="1" hidden="1">2</definedName>
    <definedName name="solver_sho" localSheetId="11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8" hidden="1">2</definedName>
    <definedName name="solver_sho" localSheetId="9" hidden="1">2</definedName>
    <definedName name="solver_sho" localSheetId="13" hidden="1">2</definedName>
    <definedName name="solver_sho" localSheetId="12" hidden="1">2</definedName>
    <definedName name="solver_ssz" localSheetId="1" hidden="1">100</definedName>
    <definedName name="solver_ssz" localSheetId="11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8" hidden="1">100</definedName>
    <definedName name="solver_ssz" localSheetId="9" hidden="1">100</definedName>
    <definedName name="solver_tim" localSheetId="1" hidden="1">2147483647</definedName>
    <definedName name="solver_tim" localSheetId="11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8" hidden="1">2147483647</definedName>
    <definedName name="solver_tim" localSheetId="9" hidden="1">2147483647</definedName>
    <definedName name="solver_tim" localSheetId="13" hidden="1">100</definedName>
    <definedName name="solver_tim" localSheetId="12" hidden="1">100</definedName>
    <definedName name="solver_tol" localSheetId="1" hidden="1">0.01</definedName>
    <definedName name="solver_tol" localSheetId="11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8" hidden="1">0.01</definedName>
    <definedName name="solver_tol" localSheetId="9" hidden="1">0.01</definedName>
    <definedName name="solver_tol" localSheetId="13" hidden="1">0.05</definedName>
    <definedName name="solver_tol" localSheetId="12" hidden="1">0.05</definedName>
    <definedName name="solver_typ" localSheetId="1" hidden="1">2</definedName>
    <definedName name="solver_typ" localSheetId="11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8" hidden="1">2</definedName>
    <definedName name="solver_typ" localSheetId="9" hidden="1">2</definedName>
    <definedName name="solver_typ" localSheetId="13" hidden="1">2</definedName>
    <definedName name="solver_typ" localSheetId="12" hidden="1">2</definedName>
    <definedName name="solver_val" localSheetId="1" hidden="1">0</definedName>
    <definedName name="solver_val" localSheetId="11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8" hidden="1">0</definedName>
    <definedName name="solver_val" localSheetId="9" hidden="1">0</definedName>
    <definedName name="solver_val" localSheetId="13" hidden="1">0</definedName>
    <definedName name="solver_val" localSheetId="12" hidden="1">0</definedName>
    <definedName name="solver_ver" localSheetId="1" hidden="1">3</definedName>
    <definedName name="solver_ver" localSheetId="11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8" hidden="1">3</definedName>
    <definedName name="solver_ver" localSheetId="9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3" l="1"/>
  <c r="E6" i="33" s="1"/>
  <c r="F6" i="33"/>
  <c r="G6" i="33" s="1"/>
  <c r="H6" i="33" s="1"/>
  <c r="J6" i="33"/>
  <c r="C7" i="33"/>
  <c r="D7" i="33" s="1"/>
  <c r="E7" i="33" s="1"/>
  <c r="O29" i="33"/>
  <c r="D6" i="32"/>
  <c r="E6" i="32"/>
  <c r="F6" i="32"/>
  <c r="G6" i="32"/>
  <c r="H6" i="32" s="1"/>
  <c r="C7" i="32"/>
  <c r="D7" i="32" s="1"/>
  <c r="L29" i="32"/>
  <c r="J1" i="31"/>
  <c r="M1" i="31"/>
  <c r="L7" i="31"/>
  <c r="C8" i="31"/>
  <c r="D8" i="31" s="1"/>
  <c r="L8" i="31"/>
  <c r="L9" i="31"/>
  <c r="L10" i="31"/>
  <c r="L11" i="31"/>
  <c r="L12" i="31"/>
  <c r="L13" i="31"/>
  <c r="L14" i="31"/>
  <c r="L15" i="31"/>
  <c r="L16" i="31"/>
  <c r="L17" i="31"/>
  <c r="M18" i="31"/>
  <c r="E7" i="32" l="1"/>
  <c r="G7" i="32"/>
  <c r="I6" i="33"/>
  <c r="K6" i="33" s="1"/>
  <c r="C8" i="32"/>
  <c r="F7" i="32"/>
  <c r="F7" i="33"/>
  <c r="G7" i="33" s="1"/>
  <c r="H7" i="33" s="1"/>
  <c r="C8" i="33"/>
  <c r="E8" i="31"/>
  <c r="F8" i="31"/>
  <c r="G8" i="31"/>
  <c r="C9" i="31"/>
  <c r="F4" i="30"/>
  <c r="B7" i="30"/>
  <c r="B8" i="30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I5" i="29"/>
  <c r="B11" i="29"/>
  <c r="C11" i="29" s="1"/>
  <c r="C12" i="29" s="1"/>
  <c r="C13" i="29" s="1"/>
  <c r="C14" i="29" s="1"/>
  <c r="C15" i="29" s="1"/>
  <c r="B12" i="29"/>
  <c r="J12" i="29"/>
  <c r="J13" i="29" s="1"/>
  <c r="J14" i="29" s="1"/>
  <c r="J15" i="29" s="1"/>
  <c r="J16" i="29" s="1"/>
  <c r="J17" i="29" s="1"/>
  <c r="J18" i="29" s="1"/>
  <c r="J19" i="29" s="1"/>
  <c r="J20" i="29" s="1"/>
  <c r="J21" i="29" s="1"/>
  <c r="J22" i="29" s="1"/>
  <c r="B13" i="29"/>
  <c r="B14" i="29"/>
  <c r="B15" i="29"/>
  <c r="B16" i="29"/>
  <c r="B17" i="29"/>
  <c r="B18" i="29"/>
  <c r="B19" i="29"/>
  <c r="B20" i="29"/>
  <c r="B21" i="29"/>
  <c r="B22" i="29"/>
  <c r="B23" i="29"/>
  <c r="B24" i="29"/>
  <c r="K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W47" i="29" s="1"/>
  <c r="B48" i="29"/>
  <c r="B49" i="29"/>
  <c r="W49" i="29"/>
  <c r="B50" i="29"/>
  <c r="W50" i="29" s="1"/>
  <c r="B51" i="29"/>
  <c r="W51" i="29" s="1"/>
  <c r="B52" i="29"/>
  <c r="B13" i="28"/>
  <c r="C13" i="28" s="1"/>
  <c r="B14" i="28"/>
  <c r="J14" i="28"/>
  <c r="B15" i="28"/>
  <c r="J15" i="28"/>
  <c r="B16" i="28"/>
  <c r="J16" i="28"/>
  <c r="J17" i="28" s="1"/>
  <c r="J18" i="28" s="1"/>
  <c r="J19" i="28" s="1"/>
  <c r="J20" i="28" s="1"/>
  <c r="J21" i="28" s="1"/>
  <c r="J22" i="28" s="1"/>
  <c r="J23" i="28" s="1"/>
  <c r="J24" i="28" s="1"/>
  <c r="B17" i="28"/>
  <c r="B18" i="28"/>
  <c r="B19" i="28"/>
  <c r="B20" i="28"/>
  <c r="B21" i="28"/>
  <c r="B22" i="28"/>
  <c r="B23" i="28"/>
  <c r="B24" i="28"/>
  <c r="B25" i="28"/>
  <c r="B26" i="28"/>
  <c r="K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I7" i="33" l="1"/>
  <c r="D8" i="32"/>
  <c r="C9" i="32"/>
  <c r="H7" i="32"/>
  <c r="D8" i="33"/>
  <c r="E8" i="33" s="1"/>
  <c r="C9" i="33"/>
  <c r="F8" i="33"/>
  <c r="G8" i="33" s="1"/>
  <c r="H8" i="33" s="1"/>
  <c r="J7" i="33"/>
  <c r="H8" i="31"/>
  <c r="D9" i="31"/>
  <c r="C10" i="31"/>
  <c r="I8" i="31"/>
  <c r="C14" i="28"/>
  <c r="C15" i="28" s="1"/>
  <c r="C16" i="28" s="1"/>
  <c r="D13" i="28"/>
  <c r="D12" i="29"/>
  <c r="D11" i="29"/>
  <c r="D13" i="29"/>
  <c r="D15" i="28"/>
  <c r="E15" i="28" s="1"/>
  <c r="C16" i="29"/>
  <c r="C17" i="29" s="1"/>
  <c r="D15" i="29"/>
  <c r="E11" i="29"/>
  <c r="E13" i="29"/>
  <c r="E12" i="29"/>
  <c r="E13" i="28"/>
  <c r="G13" i="28"/>
  <c r="D14" i="29"/>
  <c r="J17" i="30"/>
  <c r="M5" i="30"/>
  <c r="J18" i="30"/>
  <c r="W53" i="28"/>
  <c r="W51" i="28"/>
  <c r="W49" i="28"/>
  <c r="W52" i="28"/>
  <c r="W50" i="28"/>
  <c r="W48" i="29"/>
  <c r="I8" i="33" l="1"/>
  <c r="K7" i="33"/>
  <c r="J8" i="33"/>
  <c r="C10" i="32"/>
  <c r="D9" i="32"/>
  <c r="E9" i="32" s="1"/>
  <c r="E8" i="32"/>
  <c r="G8" i="32"/>
  <c r="F9" i="33"/>
  <c r="G9" i="33" s="1"/>
  <c r="H9" i="33" s="1"/>
  <c r="D9" i="33"/>
  <c r="E9" i="33" s="1"/>
  <c r="C10" i="33"/>
  <c r="D10" i="31"/>
  <c r="C11" i="31"/>
  <c r="E9" i="31"/>
  <c r="F9" i="31"/>
  <c r="G9" i="31"/>
  <c r="G10" i="31"/>
  <c r="D14" i="28"/>
  <c r="C17" i="28"/>
  <c r="D16" i="28"/>
  <c r="F13" i="28"/>
  <c r="H13" i="28" s="1"/>
  <c r="E14" i="29"/>
  <c r="D16" i="29"/>
  <c r="F2" i="30"/>
  <c r="M6" i="30"/>
  <c r="E15" i="29"/>
  <c r="C18" i="29"/>
  <c r="D17" i="29"/>
  <c r="C8" i="30"/>
  <c r="C12" i="30"/>
  <c r="C16" i="30"/>
  <c r="C19" i="30"/>
  <c r="C23" i="30"/>
  <c r="C27" i="30"/>
  <c r="C31" i="30"/>
  <c r="C35" i="30"/>
  <c r="C39" i="30"/>
  <c r="C43" i="30"/>
  <c r="C47" i="30"/>
  <c r="C9" i="30"/>
  <c r="C13" i="30"/>
  <c r="C17" i="30"/>
  <c r="C20" i="30"/>
  <c r="C24" i="30"/>
  <c r="C28" i="30"/>
  <c r="C32" i="30"/>
  <c r="C36" i="30"/>
  <c r="C40" i="30"/>
  <c r="C44" i="30"/>
  <c r="C48" i="30"/>
  <c r="C49" i="30"/>
  <c r="F3" i="30" s="1"/>
  <c r="C10" i="30"/>
  <c r="C14" i="30"/>
  <c r="C21" i="30"/>
  <c r="C25" i="30"/>
  <c r="C29" i="30"/>
  <c r="C33" i="30"/>
  <c r="C37" i="30"/>
  <c r="C41" i="30"/>
  <c r="C45" i="30"/>
  <c r="C18" i="30"/>
  <c r="C7" i="30"/>
  <c r="C11" i="30"/>
  <c r="C15" i="30"/>
  <c r="C22" i="30"/>
  <c r="C26" i="30"/>
  <c r="C30" i="30"/>
  <c r="C34" i="30"/>
  <c r="C38" i="30"/>
  <c r="C42" i="30"/>
  <c r="C46" i="30"/>
  <c r="I9" i="33" l="1"/>
  <c r="D10" i="33"/>
  <c r="E10" i="33" s="1"/>
  <c r="C11" i="33"/>
  <c r="F10" i="33"/>
  <c r="G10" i="33" s="1"/>
  <c r="H10" i="33" s="1"/>
  <c r="F9" i="32"/>
  <c r="F8" i="32"/>
  <c r="H8" i="32" s="1"/>
  <c r="C11" i="32"/>
  <c r="D10" i="32"/>
  <c r="G9" i="32"/>
  <c r="K8" i="33"/>
  <c r="J9" i="33"/>
  <c r="I9" i="31"/>
  <c r="H9" i="31"/>
  <c r="D11" i="31"/>
  <c r="C12" i="31"/>
  <c r="E10" i="31"/>
  <c r="H10" i="31" s="1"/>
  <c r="F10" i="31"/>
  <c r="E17" i="29"/>
  <c r="E14" i="28"/>
  <c r="G15" i="28"/>
  <c r="G14" i="28"/>
  <c r="E16" i="29"/>
  <c r="E16" i="28"/>
  <c r="G16" i="28"/>
  <c r="D17" i="28"/>
  <c r="E17" i="28" s="1"/>
  <c r="C18" i="28"/>
  <c r="D18" i="29"/>
  <c r="C19" i="29"/>
  <c r="I10" i="33" l="1"/>
  <c r="E10" i="32"/>
  <c r="G10" i="32"/>
  <c r="D11" i="32"/>
  <c r="C12" i="32"/>
  <c r="K9" i="33"/>
  <c r="J10" i="33"/>
  <c r="F11" i="33"/>
  <c r="G11" i="33" s="1"/>
  <c r="H11" i="33" s="1"/>
  <c r="C12" i="33"/>
  <c r="D11" i="33"/>
  <c r="E11" i="33" s="1"/>
  <c r="H9" i="32"/>
  <c r="E11" i="31"/>
  <c r="F11" i="31"/>
  <c r="G11" i="31"/>
  <c r="D12" i="31"/>
  <c r="G12" i="31" s="1"/>
  <c r="C13" i="31"/>
  <c r="I10" i="31"/>
  <c r="I11" i="31"/>
  <c r="F14" i="28"/>
  <c r="H14" i="28" s="1"/>
  <c r="F15" i="28"/>
  <c r="H15" i="28" s="1"/>
  <c r="F16" i="28"/>
  <c r="F17" i="28"/>
  <c r="C19" i="28"/>
  <c r="D18" i="28"/>
  <c r="H16" i="28"/>
  <c r="G17" i="28"/>
  <c r="H17" i="28" s="1"/>
  <c r="C20" i="29"/>
  <c r="D19" i="29"/>
  <c r="E19" i="29"/>
  <c r="E18" i="29"/>
  <c r="I11" i="33" l="1"/>
  <c r="K10" i="33"/>
  <c r="J11" i="33"/>
  <c r="F10" i="32"/>
  <c r="H10" i="32" s="1"/>
  <c r="F12" i="33"/>
  <c r="G12" i="33" s="1"/>
  <c r="H12" i="33" s="1"/>
  <c r="D12" i="33"/>
  <c r="E12" i="33" s="1"/>
  <c r="C13" i="33"/>
  <c r="D12" i="32"/>
  <c r="C13" i="32"/>
  <c r="E11" i="32"/>
  <c r="G11" i="32"/>
  <c r="H11" i="31"/>
  <c r="D13" i="31"/>
  <c r="C14" i="31"/>
  <c r="E12" i="31"/>
  <c r="H12" i="31" s="1"/>
  <c r="F12" i="31"/>
  <c r="E18" i="28"/>
  <c r="G18" i="28"/>
  <c r="D19" i="28"/>
  <c r="C20" i="28"/>
  <c r="C21" i="29"/>
  <c r="D20" i="29"/>
  <c r="I12" i="33" l="1"/>
  <c r="K11" i="33"/>
  <c r="J12" i="33"/>
  <c r="D13" i="32"/>
  <c r="E13" i="32" s="1"/>
  <c r="C14" i="32"/>
  <c r="D13" i="33"/>
  <c r="E13" i="33" s="1"/>
  <c r="C14" i="33"/>
  <c r="F13" i="33"/>
  <c r="G13" i="33" s="1"/>
  <c r="H13" i="33" s="1"/>
  <c r="E12" i="32"/>
  <c r="G12" i="32"/>
  <c r="G13" i="32"/>
  <c r="F11" i="32"/>
  <c r="H11" i="32" s="1"/>
  <c r="G13" i="31"/>
  <c r="I12" i="31"/>
  <c r="D14" i="31"/>
  <c r="C15" i="31"/>
  <c r="E13" i="31"/>
  <c r="F13" i="31"/>
  <c r="E19" i="28"/>
  <c r="F19" i="28" s="1"/>
  <c r="G19" i="28"/>
  <c r="C21" i="28"/>
  <c r="D20" i="28"/>
  <c r="E20" i="28" s="1"/>
  <c r="F18" i="28"/>
  <c r="H18" i="28" s="1"/>
  <c r="E20" i="29"/>
  <c r="C22" i="29"/>
  <c r="D21" i="29"/>
  <c r="I13" i="33" l="1"/>
  <c r="J13" i="33"/>
  <c r="K12" i="33"/>
  <c r="D14" i="33"/>
  <c r="E14" i="33" s="1"/>
  <c r="C15" i="33"/>
  <c r="F14" i="33"/>
  <c r="G14" i="33" s="1"/>
  <c r="H14" i="33" s="1"/>
  <c r="C15" i="32"/>
  <c r="D14" i="32"/>
  <c r="F12" i="32"/>
  <c r="H12" i="32" s="1"/>
  <c r="F13" i="32"/>
  <c r="H13" i="32" s="1"/>
  <c r="G14" i="31"/>
  <c r="D15" i="31"/>
  <c r="C16" i="31"/>
  <c r="E14" i="31"/>
  <c r="F14" i="31"/>
  <c r="G15" i="31"/>
  <c r="I13" i="31"/>
  <c r="H13" i="31"/>
  <c r="D21" i="28"/>
  <c r="G21" i="28" s="1"/>
  <c r="C22" i="28"/>
  <c r="G20" i="28"/>
  <c r="F20" i="28"/>
  <c r="H19" i="28"/>
  <c r="C23" i="29"/>
  <c r="D22" i="29"/>
  <c r="E22" i="29" s="1"/>
  <c r="E21" i="29"/>
  <c r="I14" i="33" l="1"/>
  <c r="H15" i="33"/>
  <c r="K13" i="33"/>
  <c r="J14" i="33"/>
  <c r="D15" i="32"/>
  <c r="C16" i="32"/>
  <c r="D15" i="33"/>
  <c r="E15" i="33" s="1"/>
  <c r="C16" i="33"/>
  <c r="F15" i="33"/>
  <c r="G15" i="33" s="1"/>
  <c r="E14" i="32"/>
  <c r="G14" i="32"/>
  <c r="I14" i="31"/>
  <c r="D16" i="31"/>
  <c r="C17" i="31"/>
  <c r="E15" i="31"/>
  <c r="F15" i="31"/>
  <c r="I15" i="31" s="1"/>
  <c r="H14" i="31"/>
  <c r="H20" i="28"/>
  <c r="E21" i="28"/>
  <c r="C23" i="28"/>
  <c r="D22" i="28"/>
  <c r="D23" i="29"/>
  <c r="E23" i="29" s="1"/>
  <c r="C24" i="29"/>
  <c r="D16" i="33" l="1"/>
  <c r="E16" i="33" s="1"/>
  <c r="C17" i="33"/>
  <c r="F16" i="33"/>
  <c r="G16" i="33" s="1"/>
  <c r="K14" i="33"/>
  <c r="J15" i="33"/>
  <c r="I15" i="33"/>
  <c r="H16" i="33"/>
  <c r="D16" i="32"/>
  <c r="C17" i="32"/>
  <c r="E15" i="32"/>
  <c r="F15" i="32" s="1"/>
  <c r="G15" i="32"/>
  <c r="H14" i="32"/>
  <c r="F14" i="32"/>
  <c r="D17" i="31"/>
  <c r="C18" i="31"/>
  <c r="E16" i="31"/>
  <c r="H16" i="31" s="1"/>
  <c r="F16" i="31"/>
  <c r="I16" i="31" s="1"/>
  <c r="G16" i="31"/>
  <c r="H15" i="31"/>
  <c r="D23" i="28"/>
  <c r="E23" i="28" s="1"/>
  <c r="C24" i="28"/>
  <c r="E22" i="28"/>
  <c r="G22" i="28"/>
  <c r="F21" i="28"/>
  <c r="H21" i="28" s="1"/>
  <c r="C25" i="29"/>
  <c r="D24" i="29"/>
  <c r="E24" i="29" s="1"/>
  <c r="K15" i="33" l="1"/>
  <c r="J16" i="33"/>
  <c r="I16" i="33"/>
  <c r="F17" i="33"/>
  <c r="G17" i="33" s="1"/>
  <c r="H17" i="33" s="1"/>
  <c r="D17" i="33"/>
  <c r="E17" i="33" s="1"/>
  <c r="C18" i="33"/>
  <c r="E16" i="32"/>
  <c r="F16" i="32" s="1"/>
  <c r="G16" i="32"/>
  <c r="H15" i="32"/>
  <c r="C18" i="32"/>
  <c r="D17" i="32"/>
  <c r="D18" i="31"/>
  <c r="C19" i="31"/>
  <c r="E17" i="31"/>
  <c r="H17" i="31" s="1"/>
  <c r="F17" i="31"/>
  <c r="I17" i="31" s="1"/>
  <c r="G17" i="31"/>
  <c r="C25" i="28"/>
  <c r="D24" i="28"/>
  <c r="F23" i="28"/>
  <c r="F22" i="28"/>
  <c r="H22" i="28" s="1"/>
  <c r="G23" i="28"/>
  <c r="C26" i="29"/>
  <c r="D25" i="29"/>
  <c r="E25" i="29" s="1"/>
  <c r="I17" i="33" l="1"/>
  <c r="D18" i="33"/>
  <c r="E18" i="33" s="1"/>
  <c r="C19" i="33"/>
  <c r="F18" i="33"/>
  <c r="G18" i="33" s="1"/>
  <c r="H18" i="33" s="1"/>
  <c r="E17" i="32"/>
  <c r="F17" i="32" s="1"/>
  <c r="G17" i="32"/>
  <c r="K16" i="33"/>
  <c r="J17" i="33"/>
  <c r="C19" i="32"/>
  <c r="D18" i="32"/>
  <c r="H16" i="32"/>
  <c r="D19" i="31"/>
  <c r="C20" i="31"/>
  <c r="E18" i="31"/>
  <c r="H18" i="31" s="1"/>
  <c r="F18" i="31"/>
  <c r="I18" i="31" s="1"/>
  <c r="G18" i="31"/>
  <c r="E24" i="28"/>
  <c r="G24" i="28"/>
  <c r="H23" i="28"/>
  <c r="C26" i="28"/>
  <c r="D25" i="28"/>
  <c r="C27" i="29"/>
  <c r="D26" i="29"/>
  <c r="E26" i="29" s="1"/>
  <c r="I18" i="33" l="1"/>
  <c r="F19" i="33"/>
  <c r="G19" i="33" s="1"/>
  <c r="H19" i="33" s="1"/>
  <c r="D19" i="33"/>
  <c r="E19" i="33" s="1"/>
  <c r="C20" i="33"/>
  <c r="H17" i="32"/>
  <c r="E18" i="32"/>
  <c r="F18" i="32" s="1"/>
  <c r="G18" i="32"/>
  <c r="H18" i="32" s="1"/>
  <c r="C20" i="32"/>
  <c r="D19" i="32"/>
  <c r="K17" i="33"/>
  <c r="J18" i="33"/>
  <c r="D20" i="31"/>
  <c r="C21" i="31"/>
  <c r="E19" i="31"/>
  <c r="H19" i="31" s="1"/>
  <c r="F19" i="31"/>
  <c r="I19" i="31" s="1"/>
  <c r="G19" i="31"/>
  <c r="E25" i="28"/>
  <c r="F25" i="28" s="1"/>
  <c r="G25" i="28"/>
  <c r="D26" i="28"/>
  <c r="C27" i="28"/>
  <c r="F24" i="28"/>
  <c r="H24" i="28" s="1"/>
  <c r="C28" i="29"/>
  <c r="D27" i="29"/>
  <c r="E27" i="29" s="1"/>
  <c r="I19" i="33" l="1"/>
  <c r="D20" i="33"/>
  <c r="E20" i="33" s="1"/>
  <c r="C21" i="33"/>
  <c r="F20" i="33"/>
  <c r="G20" i="33" s="1"/>
  <c r="H20" i="33" s="1"/>
  <c r="K18" i="33"/>
  <c r="J19" i="33"/>
  <c r="E19" i="32"/>
  <c r="F19" i="32" s="1"/>
  <c r="G19" i="32"/>
  <c r="C21" i="32"/>
  <c r="D20" i="32"/>
  <c r="C22" i="31"/>
  <c r="D21" i="31"/>
  <c r="E20" i="31"/>
  <c r="H20" i="31" s="1"/>
  <c r="F20" i="31"/>
  <c r="I20" i="31" s="1"/>
  <c r="G20" i="31"/>
  <c r="H25" i="28"/>
  <c r="C28" i="28"/>
  <c r="D27" i="28"/>
  <c r="E26" i="28"/>
  <c r="G26" i="28"/>
  <c r="C29" i="29"/>
  <c r="D28" i="29"/>
  <c r="E28" i="29" s="1"/>
  <c r="I20" i="33" l="1"/>
  <c r="J20" i="33"/>
  <c r="K19" i="33"/>
  <c r="D21" i="33"/>
  <c r="E21" i="33" s="1"/>
  <c r="C22" i="33"/>
  <c r="F21" i="33"/>
  <c r="G21" i="33" s="1"/>
  <c r="H21" i="33" s="1"/>
  <c r="E20" i="32"/>
  <c r="F20" i="32" s="1"/>
  <c r="G20" i="32"/>
  <c r="C22" i="32"/>
  <c r="D21" i="32"/>
  <c r="H19" i="32"/>
  <c r="F21" i="31"/>
  <c r="I21" i="31" s="1"/>
  <c r="E21" i="31"/>
  <c r="H21" i="31" s="1"/>
  <c r="G21" i="31"/>
  <c r="C23" i="31"/>
  <c r="D22" i="31"/>
  <c r="E27" i="28"/>
  <c r="G27" i="28"/>
  <c r="F27" i="28"/>
  <c r="F26" i="28"/>
  <c r="H26" i="28" s="1"/>
  <c r="C29" i="28"/>
  <c r="D28" i="28"/>
  <c r="C30" i="29"/>
  <c r="D29" i="29"/>
  <c r="E29" i="29" s="1"/>
  <c r="I21" i="33" l="1"/>
  <c r="E21" i="32"/>
  <c r="F21" i="32" s="1"/>
  <c r="G21" i="32"/>
  <c r="H21" i="32" s="1"/>
  <c r="D22" i="33"/>
  <c r="E22" i="33" s="1"/>
  <c r="C23" i="33"/>
  <c r="F22" i="33"/>
  <c r="G22" i="33" s="1"/>
  <c r="H22" i="33" s="1"/>
  <c r="K20" i="33"/>
  <c r="J21" i="33"/>
  <c r="C23" i="32"/>
  <c r="D22" i="32"/>
  <c r="H20" i="32"/>
  <c r="C24" i="31"/>
  <c r="D23" i="31"/>
  <c r="F22" i="31"/>
  <c r="I22" i="31" s="1"/>
  <c r="E22" i="31"/>
  <c r="H22" i="31" s="1"/>
  <c r="G22" i="31"/>
  <c r="E28" i="28"/>
  <c r="G28" i="28"/>
  <c r="C30" i="28"/>
  <c r="D29" i="28"/>
  <c r="H27" i="28"/>
  <c r="C31" i="29"/>
  <c r="D30" i="29"/>
  <c r="E30" i="29" s="1"/>
  <c r="I22" i="33" l="1"/>
  <c r="E22" i="32"/>
  <c r="F22" i="32" s="1"/>
  <c r="G22" i="32"/>
  <c r="D23" i="33"/>
  <c r="E23" i="33" s="1"/>
  <c r="C24" i="33"/>
  <c r="F23" i="33"/>
  <c r="G23" i="33" s="1"/>
  <c r="H23" i="33" s="1"/>
  <c r="C24" i="32"/>
  <c r="D23" i="32"/>
  <c r="K21" i="33"/>
  <c r="J22" i="33"/>
  <c r="E23" i="31"/>
  <c r="H23" i="31" s="1"/>
  <c r="F23" i="31"/>
  <c r="I23" i="31" s="1"/>
  <c r="G23" i="31"/>
  <c r="C25" i="31"/>
  <c r="D24" i="31"/>
  <c r="C31" i="28"/>
  <c r="D30" i="28"/>
  <c r="F28" i="28"/>
  <c r="H28" i="28" s="1"/>
  <c r="E29" i="28"/>
  <c r="G29" i="28"/>
  <c r="C32" i="29"/>
  <c r="D31" i="29"/>
  <c r="E31" i="29" s="1"/>
  <c r="I23" i="33" l="1"/>
  <c r="D24" i="32"/>
  <c r="C25" i="32"/>
  <c r="F24" i="33"/>
  <c r="G24" i="33" s="1"/>
  <c r="H24" i="33" s="1"/>
  <c r="D24" i="33"/>
  <c r="E24" i="33" s="1"/>
  <c r="C25" i="33"/>
  <c r="H22" i="32"/>
  <c r="K22" i="33"/>
  <c r="J23" i="33"/>
  <c r="E23" i="32"/>
  <c r="F23" i="32" s="1"/>
  <c r="G23" i="32"/>
  <c r="H23" i="32" s="1"/>
  <c r="C26" i="31"/>
  <c r="D25" i="31"/>
  <c r="E24" i="31"/>
  <c r="H24" i="31" s="1"/>
  <c r="F24" i="31"/>
  <c r="I24" i="31" s="1"/>
  <c r="G24" i="31"/>
  <c r="E30" i="28"/>
  <c r="G30" i="28"/>
  <c r="C32" i="28"/>
  <c r="D31" i="28"/>
  <c r="F29" i="28"/>
  <c r="H29" i="28" s="1"/>
  <c r="C33" i="29"/>
  <c r="D32" i="29"/>
  <c r="E32" i="29" s="1"/>
  <c r="I24" i="33" l="1"/>
  <c r="H25" i="33"/>
  <c r="E24" i="32"/>
  <c r="F24" i="32" s="1"/>
  <c r="G24" i="32"/>
  <c r="H24" i="32" s="1"/>
  <c r="C26" i="32"/>
  <c r="D25" i="32"/>
  <c r="D25" i="33"/>
  <c r="E25" i="33" s="1"/>
  <c r="C26" i="33"/>
  <c r="F25" i="33"/>
  <c r="G25" i="33" s="1"/>
  <c r="K23" i="33"/>
  <c r="J24" i="33"/>
  <c r="E25" i="31"/>
  <c r="H25" i="31" s="1"/>
  <c r="F25" i="31"/>
  <c r="I25" i="31" s="1"/>
  <c r="G25" i="31"/>
  <c r="D26" i="31"/>
  <c r="C27" i="31"/>
  <c r="C33" i="28"/>
  <c r="D32" i="28"/>
  <c r="E31" i="28"/>
  <c r="G31" i="28"/>
  <c r="F30" i="28"/>
  <c r="H30" i="28" s="1"/>
  <c r="F31" i="28"/>
  <c r="C34" i="29"/>
  <c r="D33" i="29"/>
  <c r="E33" i="29" s="1"/>
  <c r="F26" i="33" l="1"/>
  <c r="G26" i="33" s="1"/>
  <c r="D26" i="33"/>
  <c r="E26" i="33" s="1"/>
  <c r="C27" i="33"/>
  <c r="E25" i="32"/>
  <c r="F25" i="32" s="1"/>
  <c r="G25" i="32"/>
  <c r="H25" i="32" s="1"/>
  <c r="C27" i="32"/>
  <c r="D26" i="32"/>
  <c r="I25" i="33"/>
  <c r="H26" i="33"/>
  <c r="K24" i="33"/>
  <c r="J25" i="33"/>
  <c r="E26" i="31"/>
  <c r="H26" i="31" s="1"/>
  <c r="F26" i="31"/>
  <c r="I26" i="31" s="1"/>
  <c r="G26" i="31"/>
  <c r="D27" i="31"/>
  <c r="C28" i="31"/>
  <c r="H31" i="28"/>
  <c r="E32" i="28"/>
  <c r="F32" i="28" s="1"/>
  <c r="G32" i="28"/>
  <c r="C34" i="28"/>
  <c r="D33" i="28"/>
  <c r="C35" i="29"/>
  <c r="D34" i="29"/>
  <c r="E34" i="29" s="1"/>
  <c r="E26" i="32" l="1"/>
  <c r="F26" i="32" s="1"/>
  <c r="G26" i="32"/>
  <c r="H26" i="32" s="1"/>
  <c r="K25" i="33"/>
  <c r="J26" i="33"/>
  <c r="F27" i="33"/>
  <c r="G27" i="33" s="1"/>
  <c r="H27" i="33" s="1"/>
  <c r="D27" i="33"/>
  <c r="E27" i="33" s="1"/>
  <c r="C28" i="33"/>
  <c r="C28" i="32"/>
  <c r="D27" i="32"/>
  <c r="I26" i="33"/>
  <c r="C29" i="31"/>
  <c r="D28" i="31"/>
  <c r="E27" i="31"/>
  <c r="H27" i="31" s="1"/>
  <c r="F27" i="31"/>
  <c r="I27" i="31" s="1"/>
  <c r="G27" i="31"/>
  <c r="H32" i="28"/>
  <c r="E33" i="28"/>
  <c r="F33" i="28" s="1"/>
  <c r="G33" i="28"/>
  <c r="C35" i="28"/>
  <c r="D34" i="28"/>
  <c r="C36" i="29"/>
  <c r="D35" i="29"/>
  <c r="E35" i="29" s="1"/>
  <c r="I27" i="33" l="1"/>
  <c r="D28" i="33"/>
  <c r="E28" i="33" s="1"/>
  <c r="C29" i="33"/>
  <c r="F28" i="33"/>
  <c r="G28" i="33" s="1"/>
  <c r="H28" i="33" s="1"/>
  <c r="K26" i="33"/>
  <c r="J27" i="33"/>
  <c r="D28" i="32"/>
  <c r="C29" i="32"/>
  <c r="D29" i="32" s="1"/>
  <c r="E27" i="32"/>
  <c r="F27" i="32" s="1"/>
  <c r="G27" i="32"/>
  <c r="E28" i="31"/>
  <c r="H28" i="31" s="1"/>
  <c r="F28" i="31"/>
  <c r="I28" i="31" s="1"/>
  <c r="G28" i="31"/>
  <c r="C30" i="31"/>
  <c r="D29" i="31"/>
  <c r="H33" i="28"/>
  <c r="E34" i="28"/>
  <c r="F34" i="28" s="1"/>
  <c r="G34" i="28"/>
  <c r="C36" i="28"/>
  <c r="D35" i="28"/>
  <c r="C37" i="29"/>
  <c r="D36" i="29"/>
  <c r="E36" i="29" s="1"/>
  <c r="I28" i="33" l="1"/>
  <c r="E28" i="32"/>
  <c r="F28" i="32" s="1"/>
  <c r="G28" i="32"/>
  <c r="H28" i="32" s="1"/>
  <c r="J28" i="33"/>
  <c r="K27" i="33"/>
  <c r="D29" i="33"/>
  <c r="E29" i="33" s="1"/>
  <c r="F29" i="33"/>
  <c r="G29" i="33" s="1"/>
  <c r="H29" i="33" s="1"/>
  <c r="I29" i="33" s="1"/>
  <c r="H27" i="32"/>
  <c r="E29" i="32"/>
  <c r="F29" i="32" s="1"/>
  <c r="G29" i="32"/>
  <c r="H29" i="32" s="1"/>
  <c r="F29" i="31"/>
  <c r="I29" i="31" s="1"/>
  <c r="E29" i="31"/>
  <c r="H29" i="31" s="1"/>
  <c r="G29" i="31"/>
  <c r="C31" i="31"/>
  <c r="D30" i="31"/>
  <c r="H34" i="28"/>
  <c r="E35" i="28"/>
  <c r="F35" i="28" s="1"/>
  <c r="G35" i="28"/>
  <c r="C37" i="28"/>
  <c r="D36" i="28"/>
  <c r="C38" i="29"/>
  <c r="D37" i="29"/>
  <c r="E37" i="29" s="1"/>
  <c r="H4" i="33" l="1"/>
  <c r="N19" i="33"/>
  <c r="K28" i="33"/>
  <c r="J29" i="33"/>
  <c r="K29" i="33" s="1"/>
  <c r="G4" i="32"/>
  <c r="K19" i="32" s="1"/>
  <c r="K5" i="32"/>
  <c r="C32" i="31"/>
  <c r="D31" i="31"/>
  <c r="F30" i="31"/>
  <c r="I30" i="31" s="1"/>
  <c r="E30" i="31"/>
  <c r="H30" i="31" s="1"/>
  <c r="G30" i="31"/>
  <c r="H35" i="28"/>
  <c r="E36" i="28"/>
  <c r="F36" i="28" s="1"/>
  <c r="G36" i="28"/>
  <c r="C38" i="28"/>
  <c r="D37" i="28"/>
  <c r="C39" i="29"/>
  <c r="D38" i="29"/>
  <c r="E38" i="29" s="1"/>
  <c r="E31" i="31" l="1"/>
  <c r="H31" i="31" s="1"/>
  <c r="F31" i="31"/>
  <c r="I31" i="31" s="1"/>
  <c r="G31" i="31"/>
  <c r="C33" i="31"/>
  <c r="D32" i="31"/>
  <c r="H36" i="28"/>
  <c r="C39" i="28"/>
  <c r="D38" i="28"/>
  <c r="E37" i="28"/>
  <c r="F37" i="28" s="1"/>
  <c r="G37" i="28"/>
  <c r="C40" i="29"/>
  <c r="D39" i="29"/>
  <c r="E39" i="29" s="1"/>
  <c r="C34" i="31" l="1"/>
  <c r="D33" i="31"/>
  <c r="E32" i="31"/>
  <c r="H32" i="31" s="1"/>
  <c r="F32" i="31"/>
  <c r="I32" i="31" s="1"/>
  <c r="G32" i="31"/>
  <c r="H37" i="28"/>
  <c r="E38" i="28"/>
  <c r="F38" i="28" s="1"/>
  <c r="G38" i="28"/>
  <c r="C40" i="28"/>
  <c r="D39" i="28"/>
  <c r="C41" i="29"/>
  <c r="D40" i="29"/>
  <c r="E40" i="29" s="1"/>
  <c r="E33" i="31" l="1"/>
  <c r="H33" i="31" s="1"/>
  <c r="F33" i="31"/>
  <c r="I33" i="31" s="1"/>
  <c r="G33" i="31"/>
  <c r="C35" i="31"/>
  <c r="D34" i="31"/>
  <c r="H38" i="28"/>
  <c r="E39" i="28"/>
  <c r="F39" i="28" s="1"/>
  <c r="G39" i="28"/>
  <c r="D40" i="28"/>
  <c r="G40" i="28" s="1"/>
  <c r="C41" i="28"/>
  <c r="C42" i="29"/>
  <c r="D41" i="29"/>
  <c r="E41" i="29" s="1"/>
  <c r="E34" i="31" l="1"/>
  <c r="H34" i="31" s="1"/>
  <c r="F34" i="31"/>
  <c r="I34" i="31" s="1"/>
  <c r="G34" i="31"/>
  <c r="D35" i="31"/>
  <c r="C36" i="31"/>
  <c r="H39" i="28"/>
  <c r="C42" i="28"/>
  <c r="D41" i="28"/>
  <c r="E40" i="28"/>
  <c r="F40" i="28" s="1"/>
  <c r="H40" i="28" s="1"/>
  <c r="C43" i="29"/>
  <c r="D42" i="29"/>
  <c r="E42" i="29" s="1"/>
  <c r="E35" i="31" l="1"/>
  <c r="H35" i="31" s="1"/>
  <c r="F35" i="31"/>
  <c r="I35" i="31" s="1"/>
  <c r="G35" i="31"/>
  <c r="D36" i="31"/>
  <c r="C37" i="31"/>
  <c r="D42" i="28"/>
  <c r="G42" i="28" s="1"/>
  <c r="C43" i="28"/>
  <c r="E41" i="28"/>
  <c r="F41" i="28" s="1"/>
  <c r="G41" i="28"/>
  <c r="H41" i="28" s="1"/>
  <c r="C44" i="29"/>
  <c r="D43" i="29"/>
  <c r="E43" i="29" s="1"/>
  <c r="C38" i="31" l="1"/>
  <c r="D37" i="31"/>
  <c r="E36" i="31"/>
  <c r="H36" i="31" s="1"/>
  <c r="F36" i="31"/>
  <c r="I36" i="31" s="1"/>
  <c r="G36" i="31"/>
  <c r="C44" i="28"/>
  <c r="D43" i="28"/>
  <c r="E42" i="28"/>
  <c r="F42" i="28" s="1"/>
  <c r="H42" i="28" s="1"/>
  <c r="C45" i="29"/>
  <c r="D44" i="29"/>
  <c r="E44" i="29" s="1"/>
  <c r="F37" i="31" l="1"/>
  <c r="I37" i="31" s="1"/>
  <c r="E37" i="31"/>
  <c r="H37" i="31" s="1"/>
  <c r="G37" i="31"/>
  <c r="C39" i="31"/>
  <c r="D38" i="31"/>
  <c r="E43" i="28"/>
  <c r="F43" i="28" s="1"/>
  <c r="G43" i="28"/>
  <c r="C45" i="28"/>
  <c r="D44" i="28"/>
  <c r="C46" i="29"/>
  <c r="D45" i="29"/>
  <c r="E45" i="29" s="1"/>
  <c r="C40" i="31" l="1"/>
  <c r="D39" i="31"/>
  <c r="F38" i="31"/>
  <c r="I38" i="31" s="1"/>
  <c r="E38" i="31"/>
  <c r="H38" i="31" s="1"/>
  <c r="G38" i="31"/>
  <c r="D45" i="28"/>
  <c r="C46" i="28"/>
  <c r="G44" i="28"/>
  <c r="E44" i="28"/>
  <c r="F44" i="28" s="1"/>
  <c r="H43" i="28"/>
  <c r="C47" i="29"/>
  <c r="D46" i="29"/>
  <c r="E46" i="29" s="1"/>
  <c r="E39" i="31" l="1"/>
  <c r="H39" i="31" s="1"/>
  <c r="F39" i="31"/>
  <c r="I39" i="31" s="1"/>
  <c r="G39" i="31"/>
  <c r="C41" i="31"/>
  <c r="D40" i="31"/>
  <c r="H44" i="28"/>
  <c r="C47" i="28"/>
  <c r="D46" i="28"/>
  <c r="E45" i="28"/>
  <c r="F45" i="28" s="1"/>
  <c r="G45" i="28"/>
  <c r="C48" i="29"/>
  <c r="D47" i="29"/>
  <c r="E47" i="29" s="1"/>
  <c r="E40" i="31" l="1"/>
  <c r="H40" i="31" s="1"/>
  <c r="F40" i="31"/>
  <c r="I40" i="31" s="1"/>
  <c r="G40" i="31"/>
  <c r="C42" i="31"/>
  <c r="D41" i="31"/>
  <c r="H45" i="28"/>
  <c r="E46" i="28"/>
  <c r="F46" i="28" s="1"/>
  <c r="G46" i="28"/>
  <c r="C48" i="28"/>
  <c r="D47" i="28"/>
  <c r="E47" i="28" s="1"/>
  <c r="F47" i="28" s="1"/>
  <c r="C49" i="29"/>
  <c r="D48" i="29"/>
  <c r="E48" i="29" s="1"/>
  <c r="F41" i="31" l="1"/>
  <c r="I41" i="31" s="1"/>
  <c r="E41" i="31"/>
  <c r="H41" i="31" s="1"/>
  <c r="G41" i="31"/>
  <c r="D42" i="31"/>
  <c r="C43" i="31"/>
  <c r="G47" i="28"/>
  <c r="H47" i="28" s="1"/>
  <c r="H46" i="28"/>
  <c r="C49" i="28"/>
  <c r="D48" i="28"/>
  <c r="C50" i="29"/>
  <c r="D49" i="29"/>
  <c r="E49" i="29" s="1"/>
  <c r="D43" i="31" l="1"/>
  <c r="C44" i="31"/>
  <c r="E42" i="31"/>
  <c r="H42" i="31" s="1"/>
  <c r="F42" i="31"/>
  <c r="I42" i="31" s="1"/>
  <c r="G42" i="31"/>
  <c r="E48" i="28"/>
  <c r="F48" i="28" s="1"/>
  <c r="G48" i="28"/>
  <c r="C50" i="28"/>
  <c r="D49" i="28"/>
  <c r="G49" i="28" s="1"/>
  <c r="C51" i="29"/>
  <c r="D50" i="29"/>
  <c r="E50" i="29" s="1"/>
  <c r="E43" i="31" l="1"/>
  <c r="H43" i="31" s="1"/>
  <c r="F43" i="31"/>
  <c r="I43" i="31" s="1"/>
  <c r="G43" i="31"/>
  <c r="D44" i="31"/>
  <c r="C45" i="31"/>
  <c r="C51" i="28"/>
  <c r="D50" i="28"/>
  <c r="H48" i="28"/>
  <c r="E49" i="28"/>
  <c r="F49" i="28" s="1"/>
  <c r="H49" i="28" s="1"/>
  <c r="C52" i="29"/>
  <c r="D51" i="29"/>
  <c r="E51" i="29" s="1"/>
  <c r="C46" i="31" l="1"/>
  <c r="D45" i="31"/>
  <c r="E44" i="31"/>
  <c r="H44" i="31" s="1"/>
  <c r="F44" i="31"/>
  <c r="I44" i="31" s="1"/>
  <c r="G44" i="31"/>
  <c r="D51" i="28"/>
  <c r="C52" i="28"/>
  <c r="E50" i="28"/>
  <c r="F50" i="28" s="1"/>
  <c r="G50" i="28"/>
  <c r="H50" i="28" s="1"/>
  <c r="C53" i="29"/>
  <c r="I4" i="29" s="1"/>
  <c r="D52" i="29"/>
  <c r="E52" i="29" s="1"/>
  <c r="C47" i="31" l="1"/>
  <c r="D46" i="31"/>
  <c r="F45" i="31"/>
  <c r="I45" i="31" s="1"/>
  <c r="E45" i="31"/>
  <c r="H45" i="31" s="1"/>
  <c r="G45" i="31"/>
  <c r="E51" i="28"/>
  <c r="F51" i="28" s="1"/>
  <c r="G51" i="28"/>
  <c r="C53" i="28"/>
  <c r="D52" i="28"/>
  <c r="E53" i="29"/>
  <c r="K11" i="29"/>
  <c r="E54" i="29"/>
  <c r="D47" i="31" l="1"/>
  <c r="C48" i="31"/>
  <c r="F46" i="31"/>
  <c r="I46" i="31" s="1"/>
  <c r="E46" i="31"/>
  <c r="H46" i="31" s="1"/>
  <c r="G46" i="31"/>
  <c r="C54" i="28"/>
  <c r="D53" i="28"/>
  <c r="H51" i="28"/>
  <c r="E52" i="28"/>
  <c r="F52" i="28" s="1"/>
  <c r="G52" i="28"/>
  <c r="C49" i="31" l="1"/>
  <c r="D48" i="31"/>
  <c r="E47" i="31"/>
  <c r="H47" i="31" s="1"/>
  <c r="F47" i="31"/>
  <c r="I47" i="31" s="1"/>
  <c r="G47" i="31"/>
  <c r="H52" i="28"/>
  <c r="E53" i="28"/>
  <c r="F53" i="28" s="1"/>
  <c r="G53" i="28"/>
  <c r="C55" i="28"/>
  <c r="I4" i="28" s="1"/>
  <c r="D54" i="28"/>
  <c r="E48" i="31" l="1"/>
  <c r="H48" i="31" s="1"/>
  <c r="F48" i="31"/>
  <c r="I48" i="31" s="1"/>
  <c r="G48" i="31"/>
  <c r="C50" i="31"/>
  <c r="D49" i="31"/>
  <c r="H53" i="28"/>
  <c r="E54" i="28"/>
  <c r="F54" i="28" s="1"/>
  <c r="G54" i="28"/>
  <c r="F49" i="31" l="1"/>
  <c r="I49" i="31" s="1"/>
  <c r="E49" i="31"/>
  <c r="H49" i="31" s="1"/>
  <c r="G49" i="31"/>
  <c r="D50" i="31"/>
  <c r="C51" i="31"/>
  <c r="H54" i="28"/>
  <c r="K13" i="28"/>
  <c r="F55" i="28"/>
  <c r="I5" i="28"/>
  <c r="D51" i="31" l="1"/>
  <c r="C52" i="31"/>
  <c r="E50" i="31"/>
  <c r="H50" i="31" s="1"/>
  <c r="F50" i="31"/>
  <c r="I50" i="31" s="1"/>
  <c r="G50" i="31"/>
  <c r="K19" i="27"/>
  <c r="G3" i="27" s="1"/>
  <c r="J8" i="27"/>
  <c r="J9" i="27" s="1"/>
  <c r="J10" i="27" s="1"/>
  <c r="J11" i="27" s="1"/>
  <c r="J12" i="27" s="1"/>
  <c r="J13" i="27" s="1"/>
  <c r="J14" i="27" s="1"/>
  <c r="J15" i="27" s="1"/>
  <c r="J16" i="27" s="1"/>
  <c r="J17" i="27" s="1"/>
  <c r="J18" i="27" s="1"/>
  <c r="C6" i="27"/>
  <c r="E6" i="27" s="1"/>
  <c r="P1" i="27"/>
  <c r="P1" i="26"/>
  <c r="D7" i="27"/>
  <c r="D10" i="27"/>
  <c r="D12" i="27"/>
  <c r="H13" i="27"/>
  <c r="F20" i="27"/>
  <c r="H7" i="27"/>
  <c r="M12" i="27"/>
  <c r="F14" i="27"/>
  <c r="D17" i="27"/>
  <c r="D16" i="27"/>
  <c r="H6" i="27"/>
  <c r="H14" i="27"/>
  <c r="M14" i="27"/>
  <c r="M15" i="27"/>
  <c r="M17" i="27"/>
  <c r="F11" i="27"/>
  <c r="H20" i="27"/>
  <c r="D11" i="27"/>
  <c r="M11" i="27"/>
  <c r="D15" i="27"/>
  <c r="F16" i="27"/>
  <c r="H17" i="27"/>
  <c r="H11" i="27"/>
  <c r="F9" i="27"/>
  <c r="H12" i="27"/>
  <c r="D6" i="27"/>
  <c r="H8" i="27"/>
  <c r="M13" i="27"/>
  <c r="F17" i="27"/>
  <c r="F15" i="27"/>
  <c r="M8" i="27"/>
  <c r="H16" i="27"/>
  <c r="F13" i="27"/>
  <c r="D9" i="27"/>
  <c r="F10" i="27"/>
  <c r="M10" i="27"/>
  <c r="M16" i="27"/>
  <c r="F6" i="27"/>
  <c r="M9" i="27"/>
  <c r="H9" i="27"/>
  <c r="D8" i="27"/>
  <c r="H15" i="27"/>
  <c r="F8" i="27"/>
  <c r="D18" i="27"/>
  <c r="D14" i="27"/>
  <c r="F12" i="27"/>
  <c r="F7" i="27"/>
  <c r="H10" i="27"/>
  <c r="D13" i="27"/>
  <c r="M18" i="27"/>
  <c r="D52" i="31" l="1"/>
  <c r="C53" i="31"/>
  <c r="E51" i="31"/>
  <c r="H51" i="31" s="1"/>
  <c r="F51" i="31"/>
  <c r="I51" i="31" s="1"/>
  <c r="G51" i="31"/>
  <c r="C7" i="27"/>
  <c r="E7" i="27" s="1"/>
  <c r="G7" i="27" s="1"/>
  <c r="G6" i="27"/>
  <c r="C54" i="31" l="1"/>
  <c r="D53" i="31"/>
  <c r="E52" i="31"/>
  <c r="H52" i="31" s="1"/>
  <c r="F52" i="31"/>
  <c r="I52" i="31" s="1"/>
  <c r="G52" i="31"/>
  <c r="C8" i="27"/>
  <c r="C9" i="27" s="1"/>
  <c r="F53" i="31" l="1"/>
  <c r="I53" i="31" s="1"/>
  <c r="E53" i="31"/>
  <c r="H53" i="31" s="1"/>
  <c r="G53" i="31"/>
  <c r="C55" i="31"/>
  <c r="D54" i="31"/>
  <c r="E8" i="27"/>
  <c r="G8" i="27" s="1"/>
  <c r="C10" i="27"/>
  <c r="E9" i="27"/>
  <c r="F54" i="31" l="1"/>
  <c r="I54" i="31" s="1"/>
  <c r="E54" i="31"/>
  <c r="H54" i="31" s="1"/>
  <c r="G54" i="31"/>
  <c r="D55" i="31"/>
  <c r="C56" i="31"/>
  <c r="G9" i="27"/>
  <c r="C11" i="27"/>
  <c r="E10" i="27"/>
  <c r="C57" i="31" l="1"/>
  <c r="D56" i="31"/>
  <c r="E55" i="31"/>
  <c r="H55" i="31" s="1"/>
  <c r="F55" i="31"/>
  <c r="I55" i="31" s="1"/>
  <c r="G55" i="31"/>
  <c r="G10" i="27"/>
  <c r="E11" i="27"/>
  <c r="G11" i="27" s="1"/>
  <c r="C12" i="27"/>
  <c r="E56" i="31" l="1"/>
  <c r="H56" i="31" s="1"/>
  <c r="F56" i="31"/>
  <c r="I56" i="31" s="1"/>
  <c r="G56" i="31"/>
  <c r="C58" i="31"/>
  <c r="D57" i="31"/>
  <c r="E12" i="27"/>
  <c r="G12" i="27" s="1"/>
  <c r="C13" i="27"/>
  <c r="E57" i="31" l="1"/>
  <c r="H57" i="31" s="1"/>
  <c r="H6" i="31" s="1"/>
  <c r="M6" i="31" s="1"/>
  <c r="F57" i="31"/>
  <c r="I57" i="31" s="1"/>
  <c r="I6" i="31" s="1"/>
  <c r="G57" i="31"/>
  <c r="G6" i="31" s="1"/>
  <c r="C14" i="27"/>
  <c r="E13" i="27"/>
  <c r="G13" i="27" l="1"/>
  <c r="C15" i="27"/>
  <c r="E14" i="27"/>
  <c r="G14" i="27" s="1"/>
  <c r="C16" i="27" l="1"/>
  <c r="E15" i="27"/>
  <c r="G15" i="27" s="1"/>
  <c r="C17" i="27" l="1"/>
  <c r="E16" i="27"/>
  <c r="G16" i="27" s="1"/>
  <c r="C18" i="27" l="1"/>
  <c r="E17" i="27"/>
  <c r="G17" i="27" s="1"/>
  <c r="K7" i="27" l="1"/>
  <c r="H19" i="27"/>
  <c r="F19" i="27"/>
  <c r="H21" i="27" l="1"/>
  <c r="I16" i="19" l="1"/>
  <c r="J16" i="19" s="1"/>
  <c r="H4" i="19"/>
  <c r="H5" i="19" s="1"/>
  <c r="H6" i="19" s="1"/>
  <c r="H7" i="19" s="1"/>
  <c r="H8" i="19" s="1"/>
  <c r="H9" i="19" s="1"/>
  <c r="H10" i="19" s="1"/>
  <c r="H11" i="19" s="1"/>
  <c r="H12" i="19" s="1"/>
  <c r="H13" i="19" s="1"/>
  <c r="H14" i="19" s="1"/>
  <c r="J14" i="19" s="1"/>
  <c r="D14" i="26"/>
  <c r="D18" i="26"/>
  <c r="H9" i="26"/>
  <c r="D9" i="26"/>
  <c r="F16" i="26"/>
  <c r="D15" i="26"/>
  <c r="H20" i="26"/>
  <c r="F17" i="26"/>
  <c r="D20" i="26"/>
  <c r="D17" i="26"/>
  <c r="H15" i="26"/>
  <c r="F19" i="26"/>
  <c r="F9" i="26"/>
  <c r="D16" i="26"/>
  <c r="H23" i="26"/>
  <c r="D10" i="26"/>
  <c r="F20" i="26"/>
  <c r="H16" i="26"/>
  <c r="H10" i="26"/>
  <c r="H18" i="26"/>
  <c r="D12" i="26"/>
  <c r="H19" i="26"/>
  <c r="D11" i="26"/>
  <c r="F11" i="26"/>
  <c r="H12" i="26"/>
  <c r="F18" i="26"/>
  <c r="F13" i="26"/>
  <c r="D13" i="26"/>
  <c r="F15" i="26"/>
  <c r="H11" i="26"/>
  <c r="H13" i="26"/>
  <c r="F14" i="26"/>
  <c r="D19" i="26"/>
  <c r="H14" i="26"/>
  <c r="F12" i="26"/>
  <c r="F23" i="26"/>
  <c r="D21" i="26"/>
  <c r="F10" i="26"/>
  <c r="H17" i="26"/>
  <c r="C11" i="23" l="1"/>
  <c r="C12" i="23" s="1"/>
  <c r="J12" i="23"/>
  <c r="J13" i="23" s="1"/>
  <c r="J14" i="23" s="1"/>
  <c r="J15" i="23" s="1"/>
  <c r="J16" i="23" s="1"/>
  <c r="J17" i="23" s="1"/>
  <c r="J18" i="23" s="1"/>
  <c r="J19" i="23" s="1"/>
  <c r="J20" i="23" s="1"/>
  <c r="J21" i="23" s="1"/>
  <c r="J22" i="23" s="1"/>
  <c r="K24" i="23"/>
  <c r="D11" i="23" l="1"/>
  <c r="G11" i="23" s="1"/>
  <c r="C13" i="23"/>
  <c r="D12" i="23"/>
  <c r="E11" i="23"/>
  <c r="D2" i="13"/>
  <c r="J17" i="20"/>
  <c r="J18" i="20" s="1"/>
  <c r="J19" i="20" s="1"/>
  <c r="J20" i="20" s="1"/>
  <c r="J21" i="20" s="1"/>
  <c r="J22" i="20" s="1"/>
  <c r="J23" i="20" s="1"/>
  <c r="J24" i="20" s="1"/>
  <c r="J25" i="20" s="1"/>
  <c r="J26" i="20" s="1"/>
  <c r="G12" i="23" l="1"/>
  <c r="F11" i="23"/>
  <c r="H11" i="23" s="1"/>
  <c r="E12" i="23"/>
  <c r="D13" i="23"/>
  <c r="G13" i="23" s="1"/>
  <c r="C14" i="23"/>
  <c r="L27" i="20"/>
  <c r="D12" i="20"/>
  <c r="E12" i="20" s="1"/>
  <c r="F12" i="20" s="1"/>
  <c r="J4" i="19"/>
  <c r="D2" i="19"/>
  <c r="I1" i="19"/>
  <c r="D13" i="20" l="1"/>
  <c r="E13" i="20" s="1"/>
  <c r="F13" i="20" s="1"/>
  <c r="D14" i="23"/>
  <c r="C15" i="23"/>
  <c r="F12" i="23"/>
  <c r="H12" i="23" s="1"/>
  <c r="E13" i="23"/>
  <c r="D14" i="20"/>
  <c r="E14" i="20" s="1"/>
  <c r="F14" i="20" s="1"/>
  <c r="G14" i="20" s="1"/>
  <c r="H14" i="20" s="1"/>
  <c r="G12" i="20"/>
  <c r="H12" i="20" s="1"/>
  <c r="G13" i="20"/>
  <c r="H13" i="20" s="1"/>
  <c r="J7" i="19"/>
  <c r="J6" i="19"/>
  <c r="D3" i="19"/>
  <c r="E2" i="19"/>
  <c r="J5" i="19"/>
  <c r="E14" i="23" l="1"/>
  <c r="G14" i="23"/>
  <c r="C16" i="23"/>
  <c r="D15" i="23"/>
  <c r="F13" i="23"/>
  <c r="H13" i="23" s="1"/>
  <c r="D15" i="20"/>
  <c r="E15" i="20" s="1"/>
  <c r="F15" i="20" s="1"/>
  <c r="D4" i="19"/>
  <c r="E3" i="19"/>
  <c r="F3" i="19" s="1"/>
  <c r="F2" i="19"/>
  <c r="J8" i="19"/>
  <c r="F14" i="23" l="1"/>
  <c r="H14" i="23" s="1"/>
  <c r="E15" i="23"/>
  <c r="G15" i="23"/>
  <c r="C17" i="23"/>
  <c r="D16" i="23"/>
  <c r="D16" i="20"/>
  <c r="D17" i="20" s="1"/>
  <c r="G15" i="20"/>
  <c r="H15" i="20" s="1"/>
  <c r="J9" i="19"/>
  <c r="D5" i="19"/>
  <c r="E4" i="19"/>
  <c r="F15" i="23" l="1"/>
  <c r="H15" i="23" s="1"/>
  <c r="D17" i="23"/>
  <c r="G17" i="23" s="1"/>
  <c r="C18" i="23"/>
  <c r="E16" i="23"/>
  <c r="G16" i="23"/>
  <c r="E16" i="20"/>
  <c r="F16" i="20" s="1"/>
  <c r="G16" i="20" s="1"/>
  <c r="H16" i="20" s="1"/>
  <c r="E17" i="20"/>
  <c r="F17" i="20" s="1"/>
  <c r="D18" i="20"/>
  <c r="E5" i="19"/>
  <c r="F5" i="19" s="1"/>
  <c r="D6" i="19"/>
  <c r="F4" i="19"/>
  <c r="J10" i="19"/>
  <c r="E2" i="13"/>
  <c r="D3" i="13"/>
  <c r="E3" i="13" s="1"/>
  <c r="A1" i="13"/>
  <c r="A2" i="13"/>
  <c r="F2" i="13"/>
  <c r="G2" i="13" s="1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N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H2" i="13" l="1"/>
  <c r="D18" i="23"/>
  <c r="C19" i="23"/>
  <c r="E17" i="23"/>
  <c r="F16" i="23"/>
  <c r="H16" i="23" s="1"/>
  <c r="F3" i="13"/>
  <c r="H3" i="13"/>
  <c r="G17" i="20"/>
  <c r="H17" i="20" s="1"/>
  <c r="E18" i="20"/>
  <c r="F18" i="20" s="1"/>
  <c r="D19" i="20"/>
  <c r="J11" i="19"/>
  <c r="D7" i="19"/>
  <c r="E6" i="19"/>
  <c r="D4" i="13"/>
  <c r="E4" i="13" s="1"/>
  <c r="H4" i="13" l="1"/>
  <c r="I4" i="13" s="1"/>
  <c r="I2" i="13"/>
  <c r="I3" i="13"/>
  <c r="E18" i="23"/>
  <c r="G18" i="23"/>
  <c r="F17" i="23"/>
  <c r="H17" i="23" s="1"/>
  <c r="C20" i="23"/>
  <c r="D19" i="23"/>
  <c r="E19" i="23" s="1"/>
  <c r="G3" i="13"/>
  <c r="E19" i="20"/>
  <c r="F19" i="20" s="1"/>
  <c r="D20" i="20"/>
  <c r="G18" i="20"/>
  <c r="H18" i="20" s="1"/>
  <c r="D8" i="19"/>
  <c r="E7" i="19"/>
  <c r="F7" i="19" s="1"/>
  <c r="F6" i="19"/>
  <c r="J13" i="19"/>
  <c r="I17" i="19" s="1"/>
  <c r="J12" i="19"/>
  <c r="D5" i="13"/>
  <c r="E5" i="13" s="1"/>
  <c r="F4" i="13"/>
  <c r="P77" i="12"/>
  <c r="L77" i="12"/>
  <c r="P76" i="12"/>
  <c r="L76" i="12"/>
  <c r="P75" i="12"/>
  <c r="L75" i="12"/>
  <c r="P74" i="12"/>
  <c r="L74" i="12"/>
  <c r="P73" i="12"/>
  <c r="L73" i="12"/>
  <c r="P72" i="12"/>
  <c r="L72" i="12"/>
  <c r="P71" i="12"/>
  <c r="L71" i="12"/>
  <c r="P70" i="12"/>
  <c r="L70" i="12"/>
  <c r="P69" i="12"/>
  <c r="L69" i="12"/>
  <c r="P68" i="12"/>
  <c r="L68" i="12"/>
  <c r="P67" i="12"/>
  <c r="L67" i="12"/>
  <c r="P66" i="12"/>
  <c r="L66" i="12"/>
  <c r="P65" i="12"/>
  <c r="L65" i="12"/>
  <c r="P64" i="12"/>
  <c r="L64" i="12"/>
  <c r="P63" i="12"/>
  <c r="L63" i="12"/>
  <c r="P62" i="12"/>
  <c r="L62" i="12"/>
  <c r="P61" i="12"/>
  <c r="L61" i="12"/>
  <c r="P60" i="12"/>
  <c r="L60" i="12"/>
  <c r="P59" i="12"/>
  <c r="L59" i="12"/>
  <c r="P58" i="12"/>
  <c r="L58" i="12"/>
  <c r="P57" i="12"/>
  <c r="L57" i="12"/>
  <c r="P56" i="12"/>
  <c r="L56" i="12"/>
  <c r="P55" i="12"/>
  <c r="L55" i="12"/>
  <c r="P54" i="12"/>
  <c r="L54" i="12"/>
  <c r="P53" i="12"/>
  <c r="L53" i="12"/>
  <c r="P52" i="12"/>
  <c r="L52" i="12"/>
  <c r="P51" i="12"/>
  <c r="L51" i="12"/>
  <c r="P50" i="12"/>
  <c r="L50" i="12"/>
  <c r="P49" i="12"/>
  <c r="L49" i="12"/>
  <c r="P48" i="12"/>
  <c r="L48" i="12"/>
  <c r="P47" i="12"/>
  <c r="L47" i="12"/>
  <c r="P46" i="12"/>
  <c r="L46" i="12"/>
  <c r="P45" i="12"/>
  <c r="L45" i="12"/>
  <c r="P44" i="12"/>
  <c r="L44" i="12"/>
  <c r="P43" i="12"/>
  <c r="L43" i="12"/>
  <c r="P42" i="12"/>
  <c r="L42" i="12"/>
  <c r="P41" i="12"/>
  <c r="L41" i="12"/>
  <c r="P40" i="12"/>
  <c r="L40" i="12"/>
  <c r="P39" i="12"/>
  <c r="L39" i="12"/>
  <c r="P38" i="12"/>
  <c r="L38" i="12"/>
  <c r="P37" i="12"/>
  <c r="L37" i="12"/>
  <c r="P36" i="12"/>
  <c r="L36" i="12"/>
  <c r="P35" i="12"/>
  <c r="L35" i="12"/>
  <c r="P34" i="12"/>
  <c r="L34" i="12"/>
  <c r="P33" i="12"/>
  <c r="L33" i="12"/>
  <c r="P32" i="12"/>
  <c r="L32" i="12"/>
  <c r="P31" i="12"/>
  <c r="L31" i="12"/>
  <c r="P30" i="12"/>
  <c r="L30" i="12"/>
  <c r="P29" i="12"/>
  <c r="L29" i="12"/>
  <c r="P28" i="12"/>
  <c r="L28" i="12"/>
  <c r="P27" i="12"/>
  <c r="L27" i="12"/>
  <c r="P26" i="12"/>
  <c r="L26" i="12"/>
  <c r="P25" i="12"/>
  <c r="L25" i="12"/>
  <c r="P24" i="12"/>
  <c r="L24" i="12"/>
  <c r="P23" i="12"/>
  <c r="L23" i="12"/>
  <c r="P22" i="12"/>
  <c r="L22" i="12"/>
  <c r="P21" i="12"/>
  <c r="L21" i="12"/>
  <c r="P20" i="12"/>
  <c r="L20" i="12"/>
  <c r="P19" i="12"/>
  <c r="L19" i="12"/>
  <c r="P18" i="12"/>
  <c r="L18" i="12"/>
  <c r="P17" i="12"/>
  <c r="L17" i="12"/>
  <c r="P16" i="12"/>
  <c r="L16" i="12"/>
  <c r="P15" i="12"/>
  <c r="L15" i="12"/>
  <c r="P14" i="12"/>
  <c r="L14" i="12"/>
  <c r="P13" i="12"/>
  <c r="L13" i="12"/>
  <c r="P12" i="12"/>
  <c r="L12" i="12"/>
  <c r="P11" i="12"/>
  <c r="L11" i="12"/>
  <c r="P10" i="12"/>
  <c r="L10" i="12"/>
  <c r="P9" i="12"/>
  <c r="L9" i="12"/>
  <c r="P8" i="12"/>
  <c r="L8" i="12"/>
  <c r="P7" i="12"/>
  <c r="L7" i="12"/>
  <c r="P6" i="12"/>
  <c r="L6" i="12"/>
  <c r="P5" i="12"/>
  <c r="L5" i="12"/>
  <c r="P4" i="12"/>
  <c r="L4" i="12"/>
  <c r="P3" i="12"/>
  <c r="L3" i="12"/>
  <c r="S1" i="12"/>
  <c r="R1" i="12"/>
  <c r="H5" i="13" l="1"/>
  <c r="F19" i="23"/>
  <c r="C21" i="23"/>
  <c r="D20" i="23"/>
  <c r="F18" i="23"/>
  <c r="H18" i="23" s="1"/>
  <c r="G19" i="23"/>
  <c r="G4" i="13"/>
  <c r="E20" i="20"/>
  <c r="F20" i="20" s="1"/>
  <c r="D21" i="20"/>
  <c r="G19" i="20"/>
  <c r="H19" i="20" s="1"/>
  <c r="D9" i="19"/>
  <c r="E8" i="19"/>
  <c r="D6" i="13"/>
  <c r="E6" i="13" s="1"/>
  <c r="F5" i="13"/>
  <c r="O69" i="12"/>
  <c r="Q69" i="12" s="1"/>
  <c r="D69" i="12" s="1"/>
  <c r="O6" i="12"/>
  <c r="Q6" i="12" s="1"/>
  <c r="D6" i="12" s="1"/>
  <c r="O37" i="12"/>
  <c r="Q37" i="12" s="1"/>
  <c r="D37" i="12" s="1"/>
  <c r="O53" i="12"/>
  <c r="Q53" i="12" s="1"/>
  <c r="D53" i="12" s="1"/>
  <c r="O77" i="12"/>
  <c r="Q77" i="12" s="1"/>
  <c r="D77" i="12" s="1"/>
  <c r="O21" i="12"/>
  <c r="Q21" i="12" s="1"/>
  <c r="D21" i="12" s="1"/>
  <c r="O3" i="12"/>
  <c r="Q3" i="12" s="1"/>
  <c r="O4" i="12"/>
  <c r="Q4" i="12" s="1"/>
  <c r="D4" i="12" s="1"/>
  <c r="O25" i="12"/>
  <c r="Q25" i="12" s="1"/>
  <c r="D25" i="12" s="1"/>
  <c r="O73" i="12"/>
  <c r="Q73" i="12" s="1"/>
  <c r="D73" i="12" s="1"/>
  <c r="O29" i="12"/>
  <c r="Q29" i="12" s="1"/>
  <c r="D29" i="12" s="1"/>
  <c r="O45" i="12"/>
  <c r="Q45" i="12" s="1"/>
  <c r="D45" i="12" s="1"/>
  <c r="O61" i="12"/>
  <c r="Q61" i="12" s="1"/>
  <c r="D61" i="12" s="1"/>
  <c r="O75" i="12"/>
  <c r="Q75" i="12" s="1"/>
  <c r="D75" i="12" s="1"/>
  <c r="O71" i="12"/>
  <c r="Q71" i="12" s="1"/>
  <c r="D71" i="12" s="1"/>
  <c r="O67" i="12"/>
  <c r="Q67" i="12" s="1"/>
  <c r="D67" i="12" s="1"/>
  <c r="O63" i="12"/>
  <c r="Q63" i="12" s="1"/>
  <c r="D63" i="12" s="1"/>
  <c r="O59" i="12"/>
  <c r="Q59" i="12" s="1"/>
  <c r="D59" i="12" s="1"/>
  <c r="O55" i="12"/>
  <c r="Q55" i="12" s="1"/>
  <c r="D55" i="12" s="1"/>
  <c r="O51" i="12"/>
  <c r="Q51" i="12" s="1"/>
  <c r="D51" i="12" s="1"/>
  <c r="O47" i="12"/>
  <c r="Q47" i="12" s="1"/>
  <c r="D47" i="12" s="1"/>
  <c r="O43" i="12"/>
  <c r="Q43" i="12" s="1"/>
  <c r="D43" i="12" s="1"/>
  <c r="O39" i="12"/>
  <c r="Q39" i="12" s="1"/>
  <c r="D39" i="12" s="1"/>
  <c r="O35" i="12"/>
  <c r="Q35" i="12" s="1"/>
  <c r="D35" i="12" s="1"/>
  <c r="O31" i="12"/>
  <c r="Q31" i="12" s="1"/>
  <c r="D31" i="12" s="1"/>
  <c r="O27" i="12"/>
  <c r="Q27" i="12" s="1"/>
  <c r="D27" i="12" s="1"/>
  <c r="O23" i="12"/>
  <c r="Q23" i="12" s="1"/>
  <c r="D23" i="12" s="1"/>
  <c r="O19" i="12"/>
  <c r="Q19" i="12" s="1"/>
  <c r="D19" i="12" s="1"/>
  <c r="O15" i="12"/>
  <c r="Q15" i="12" s="1"/>
  <c r="D15" i="12" s="1"/>
  <c r="O76" i="12"/>
  <c r="Q76" i="12" s="1"/>
  <c r="D76" i="12" s="1"/>
  <c r="O72" i="12"/>
  <c r="Q72" i="12" s="1"/>
  <c r="D72" i="12" s="1"/>
  <c r="O68" i="12"/>
  <c r="Q68" i="12" s="1"/>
  <c r="D68" i="12" s="1"/>
  <c r="O64" i="12"/>
  <c r="Q64" i="12" s="1"/>
  <c r="D64" i="12" s="1"/>
  <c r="O60" i="12"/>
  <c r="Q60" i="12" s="1"/>
  <c r="D60" i="12" s="1"/>
  <c r="O56" i="12"/>
  <c r="Q56" i="12" s="1"/>
  <c r="D56" i="12" s="1"/>
  <c r="O52" i="12"/>
  <c r="Q52" i="12" s="1"/>
  <c r="D52" i="12" s="1"/>
  <c r="O48" i="12"/>
  <c r="Q48" i="12" s="1"/>
  <c r="D48" i="12" s="1"/>
  <c r="O44" i="12"/>
  <c r="Q44" i="12" s="1"/>
  <c r="D44" i="12" s="1"/>
  <c r="O40" i="12"/>
  <c r="Q40" i="12" s="1"/>
  <c r="D40" i="12" s="1"/>
  <c r="O36" i="12"/>
  <c r="Q36" i="12" s="1"/>
  <c r="D36" i="12" s="1"/>
  <c r="O32" i="12"/>
  <c r="Q32" i="12" s="1"/>
  <c r="D32" i="12" s="1"/>
  <c r="O28" i="12"/>
  <c r="Q28" i="12" s="1"/>
  <c r="D28" i="12" s="1"/>
  <c r="O24" i="12"/>
  <c r="Q24" i="12" s="1"/>
  <c r="D24" i="12" s="1"/>
  <c r="O20" i="12"/>
  <c r="Q20" i="12" s="1"/>
  <c r="D20" i="12" s="1"/>
  <c r="O16" i="12"/>
  <c r="Q16" i="12" s="1"/>
  <c r="D16" i="12" s="1"/>
  <c r="O14" i="12"/>
  <c r="Q14" i="12" s="1"/>
  <c r="D14" i="12" s="1"/>
  <c r="O70" i="12"/>
  <c r="Q70" i="12" s="1"/>
  <c r="D70" i="12" s="1"/>
  <c r="O62" i="12"/>
  <c r="Q62" i="12" s="1"/>
  <c r="D62" i="12" s="1"/>
  <c r="O54" i="12"/>
  <c r="Q54" i="12" s="1"/>
  <c r="D54" i="12" s="1"/>
  <c r="O46" i="12"/>
  <c r="Q46" i="12" s="1"/>
  <c r="D46" i="12" s="1"/>
  <c r="O38" i="12"/>
  <c r="Q38" i="12" s="1"/>
  <c r="D38" i="12" s="1"/>
  <c r="O30" i="12"/>
  <c r="Q30" i="12" s="1"/>
  <c r="D30" i="12" s="1"/>
  <c r="O22" i="12"/>
  <c r="Q22" i="12" s="1"/>
  <c r="D22" i="12" s="1"/>
  <c r="O13" i="12"/>
  <c r="Q13" i="12" s="1"/>
  <c r="D13" i="12" s="1"/>
  <c r="O12" i="12"/>
  <c r="Q12" i="12" s="1"/>
  <c r="D12" i="12" s="1"/>
  <c r="O10" i="12"/>
  <c r="Q10" i="12" s="1"/>
  <c r="D10" i="12" s="1"/>
  <c r="O7" i="12"/>
  <c r="Q7" i="12" s="1"/>
  <c r="D7" i="12" s="1"/>
  <c r="O74" i="12"/>
  <c r="Q74" i="12" s="1"/>
  <c r="D74" i="12" s="1"/>
  <c r="O66" i="12"/>
  <c r="Q66" i="12" s="1"/>
  <c r="D66" i="12" s="1"/>
  <c r="O58" i="12"/>
  <c r="Q58" i="12" s="1"/>
  <c r="D58" i="12" s="1"/>
  <c r="O50" i="12"/>
  <c r="Q50" i="12" s="1"/>
  <c r="D50" i="12" s="1"/>
  <c r="O42" i="12"/>
  <c r="Q42" i="12" s="1"/>
  <c r="D42" i="12" s="1"/>
  <c r="O34" i="12"/>
  <c r="Q34" i="12" s="1"/>
  <c r="D34" i="12" s="1"/>
  <c r="O26" i="12"/>
  <c r="Q26" i="12" s="1"/>
  <c r="D26" i="12" s="1"/>
  <c r="O18" i="12"/>
  <c r="Q18" i="12" s="1"/>
  <c r="D18" i="12" s="1"/>
  <c r="O11" i="12"/>
  <c r="Q11" i="12" s="1"/>
  <c r="D11" i="12" s="1"/>
  <c r="O9" i="12"/>
  <c r="Q9" i="12" s="1"/>
  <c r="D9" i="12" s="1"/>
  <c r="O5" i="12"/>
  <c r="Q5" i="12" s="1"/>
  <c r="D5" i="12" s="1"/>
  <c r="O8" i="12"/>
  <c r="Q8" i="12" s="1"/>
  <c r="D8" i="12" s="1"/>
  <c r="O41" i="12"/>
  <c r="Q41" i="12" s="1"/>
  <c r="D41" i="12" s="1"/>
  <c r="O57" i="12"/>
  <c r="Q57" i="12" s="1"/>
  <c r="D57" i="12" s="1"/>
  <c r="O17" i="12"/>
  <c r="Q17" i="12" s="1"/>
  <c r="D17" i="12" s="1"/>
  <c r="O33" i="12"/>
  <c r="Q33" i="12" s="1"/>
  <c r="D33" i="12" s="1"/>
  <c r="O49" i="12"/>
  <c r="Q49" i="12" s="1"/>
  <c r="D49" i="12" s="1"/>
  <c r="O65" i="12"/>
  <c r="Q65" i="12" s="1"/>
  <c r="D65" i="12" s="1"/>
  <c r="H19" i="23" l="1"/>
  <c r="I5" i="13"/>
  <c r="H6" i="13"/>
  <c r="E20" i="23"/>
  <c r="F20" i="23" s="1"/>
  <c r="G20" i="23"/>
  <c r="D21" i="23"/>
  <c r="C22" i="23"/>
  <c r="G5" i="13"/>
  <c r="E21" i="20"/>
  <c r="F21" i="20" s="1"/>
  <c r="G21" i="20" s="1"/>
  <c r="H21" i="20" s="1"/>
  <c r="D22" i="20"/>
  <c r="G20" i="20"/>
  <c r="H20" i="20" s="1"/>
  <c r="F8" i="19"/>
  <c r="D10" i="19"/>
  <c r="E9" i="19"/>
  <c r="F9" i="19" s="1"/>
  <c r="D7" i="13"/>
  <c r="E7" i="13" s="1"/>
  <c r="F6" i="13"/>
  <c r="G6" i="13" s="1"/>
  <c r="B22" i="12"/>
  <c r="A31" i="20" s="1"/>
  <c r="B16" i="12"/>
  <c r="A25" i="20" s="1"/>
  <c r="B36" i="12"/>
  <c r="A45" i="20" s="1"/>
  <c r="B64" i="12"/>
  <c r="B28" i="12"/>
  <c r="A37" i="20" s="1"/>
  <c r="B48" i="12"/>
  <c r="A57" i="20" s="1"/>
  <c r="B70" i="12"/>
  <c r="B44" i="12"/>
  <c r="A53" i="20" s="1"/>
  <c r="B46" i="12"/>
  <c r="A55" i="20" s="1"/>
  <c r="B10" i="12"/>
  <c r="A19" i="20" s="1"/>
  <c r="B26" i="12"/>
  <c r="A35" i="20" s="1"/>
  <c r="B58" i="12"/>
  <c r="B72" i="12"/>
  <c r="B60" i="12"/>
  <c r="B54" i="12"/>
  <c r="B51" i="12"/>
  <c r="A60" i="20" s="1"/>
  <c r="B47" i="12"/>
  <c r="A56" i="20" s="1"/>
  <c r="B76" i="12"/>
  <c r="B7" i="12"/>
  <c r="A16" i="20" s="1"/>
  <c r="B33" i="12"/>
  <c r="A42" i="20" s="1"/>
  <c r="B42" i="12"/>
  <c r="A51" i="20" s="1"/>
  <c r="B75" i="12"/>
  <c r="B65" i="12"/>
  <c r="B63" i="12"/>
  <c r="B32" i="12"/>
  <c r="A41" i="20" s="1"/>
  <c r="B9" i="12"/>
  <c r="A18" i="20" s="1"/>
  <c r="B62" i="12"/>
  <c r="B13" i="12"/>
  <c r="A22" i="20" s="1"/>
  <c r="B30" i="12"/>
  <c r="A39" i="20" s="1"/>
  <c r="B19" i="12"/>
  <c r="A28" i="20" s="1"/>
  <c r="B67" i="12"/>
  <c r="B4" i="12"/>
  <c r="A13" i="20" s="1"/>
  <c r="C76" i="12"/>
  <c r="C72" i="12"/>
  <c r="C68" i="12"/>
  <c r="C64" i="12"/>
  <c r="C60" i="12"/>
  <c r="C56" i="12"/>
  <c r="C52" i="12"/>
  <c r="C48" i="12"/>
  <c r="C44" i="12"/>
  <c r="C40" i="12"/>
  <c r="C36" i="12"/>
  <c r="C32" i="12"/>
  <c r="C28" i="12"/>
  <c r="C24" i="12"/>
  <c r="C20" i="12"/>
  <c r="C16" i="12"/>
  <c r="C77" i="12"/>
  <c r="C73" i="12"/>
  <c r="C69" i="12"/>
  <c r="C65" i="12"/>
  <c r="C61" i="12"/>
  <c r="C57" i="12"/>
  <c r="C53" i="12"/>
  <c r="C49" i="12"/>
  <c r="C45" i="12"/>
  <c r="C41" i="12"/>
  <c r="C37" i="12"/>
  <c r="C33" i="12"/>
  <c r="C29" i="12"/>
  <c r="C25" i="12"/>
  <c r="C21" i="12"/>
  <c r="C17" i="12"/>
  <c r="C15" i="12"/>
  <c r="C75" i="12"/>
  <c r="C74" i="12"/>
  <c r="C67" i="12"/>
  <c r="C66" i="12"/>
  <c r="C59" i="12"/>
  <c r="C58" i="12"/>
  <c r="C51" i="12"/>
  <c r="C50" i="12"/>
  <c r="C43" i="12"/>
  <c r="C42" i="12"/>
  <c r="C35" i="12"/>
  <c r="C34" i="12"/>
  <c r="C27" i="12"/>
  <c r="C26" i="12"/>
  <c r="C19" i="12"/>
  <c r="C18" i="12"/>
  <c r="C13" i="12"/>
  <c r="C11" i="12"/>
  <c r="C8" i="12"/>
  <c r="C71" i="12"/>
  <c r="C70" i="12"/>
  <c r="C63" i="12"/>
  <c r="C62" i="12"/>
  <c r="C55" i="12"/>
  <c r="C54" i="12"/>
  <c r="C47" i="12"/>
  <c r="C46" i="12"/>
  <c r="C39" i="12"/>
  <c r="C38" i="12"/>
  <c r="C31" i="12"/>
  <c r="C30" i="12"/>
  <c r="C23" i="12"/>
  <c r="C22" i="12"/>
  <c r="C12" i="12"/>
  <c r="C10" i="12"/>
  <c r="C6" i="12"/>
  <c r="C7" i="12"/>
  <c r="C5" i="12"/>
  <c r="C4" i="12"/>
  <c r="C9" i="12"/>
  <c r="D3" i="12"/>
  <c r="C14" i="12"/>
  <c r="C3" i="12"/>
  <c r="B11" i="12"/>
  <c r="A20" i="20" s="1"/>
  <c r="B34" i="12"/>
  <c r="A43" i="20" s="1"/>
  <c r="B6" i="12"/>
  <c r="A15" i="20" s="1"/>
  <c r="B74" i="12"/>
  <c r="B27" i="12"/>
  <c r="A36" i="20" s="1"/>
  <c r="B43" i="12"/>
  <c r="A52" i="20" s="1"/>
  <c r="B59" i="12"/>
  <c r="B40" i="12"/>
  <c r="A49" i="20" s="1"/>
  <c r="B52" i="12"/>
  <c r="A61" i="20" s="1"/>
  <c r="B20" i="12"/>
  <c r="A29" i="20" s="1"/>
  <c r="B12" i="12"/>
  <c r="A21" i="20" s="1"/>
  <c r="B61" i="12"/>
  <c r="B17" i="12"/>
  <c r="A26" i="20" s="1"/>
  <c r="B37" i="12"/>
  <c r="A46" i="20" s="1"/>
  <c r="B69" i="12"/>
  <c r="B29" i="12"/>
  <c r="A38" i="20" s="1"/>
  <c r="B50" i="12"/>
  <c r="A59" i="20" s="1"/>
  <c r="B25" i="12"/>
  <c r="A34" i="20" s="1"/>
  <c r="B57" i="12"/>
  <c r="B14" i="12"/>
  <c r="A23" i="20" s="1"/>
  <c r="B31" i="12"/>
  <c r="A40" i="20" s="1"/>
  <c r="B5" i="12"/>
  <c r="A14" i="20" s="1"/>
  <c r="B15" i="12"/>
  <c r="A24" i="20" s="1"/>
  <c r="B38" i="12"/>
  <c r="A47" i="20" s="1"/>
  <c r="B66" i="12"/>
  <c r="B35" i="12"/>
  <c r="A44" i="20" s="1"/>
  <c r="B56" i="12"/>
  <c r="B24" i="12"/>
  <c r="A33" i="20" s="1"/>
  <c r="B68" i="12"/>
  <c r="B45" i="12"/>
  <c r="A54" i="20" s="1"/>
  <c r="B77" i="12"/>
  <c r="B49" i="12"/>
  <c r="A58" i="20" s="1"/>
  <c r="B21" i="12"/>
  <c r="A30" i="20" s="1"/>
  <c r="B53" i="12"/>
  <c r="B8" i="12"/>
  <c r="A17" i="20" s="1"/>
  <c r="B18" i="12"/>
  <c r="A27" i="20" s="1"/>
  <c r="B3" i="12"/>
  <c r="A12" i="20" s="1"/>
  <c r="B41" i="12"/>
  <c r="A50" i="20" s="1"/>
  <c r="B73" i="12"/>
  <c r="B23" i="12"/>
  <c r="A32" i="20" s="1"/>
  <c r="B39" i="12"/>
  <c r="A48" i="20" s="1"/>
  <c r="B55" i="12"/>
  <c r="B71" i="12"/>
  <c r="I6" i="13" l="1"/>
  <c r="H7" i="13"/>
  <c r="H20" i="23"/>
  <c r="D22" i="23"/>
  <c r="C23" i="23"/>
  <c r="E21" i="23"/>
  <c r="F21" i="23" s="1"/>
  <c r="G21" i="23"/>
  <c r="A26" i="16"/>
  <c r="A32" i="16"/>
  <c r="A22" i="16"/>
  <c r="A48" i="16"/>
  <c r="A21" i="16"/>
  <c r="A41" i="16"/>
  <c r="A23" i="16"/>
  <c r="A47" i="16"/>
  <c r="A11" i="16"/>
  <c r="A29" i="16"/>
  <c r="A39" i="16"/>
  <c r="A58" i="16"/>
  <c r="A25" i="16"/>
  <c r="A60" i="16"/>
  <c r="A35" i="16"/>
  <c r="A19" i="16"/>
  <c r="A38" i="16"/>
  <c r="A40" i="16"/>
  <c r="A50" i="16"/>
  <c r="A55" i="16"/>
  <c r="A54" i="16"/>
  <c r="A36" i="16"/>
  <c r="A30" i="16"/>
  <c r="A31" i="16"/>
  <c r="A57" i="16"/>
  <c r="A46" i="16"/>
  <c r="A37" i="16"/>
  <c r="A12" i="16"/>
  <c r="A59" i="16"/>
  <c r="A52" i="16"/>
  <c r="A16" i="16"/>
  <c r="A20" i="16"/>
  <c r="A14" i="16"/>
  <c r="A15" i="16"/>
  <c r="A34" i="16"/>
  <c r="A44" i="16"/>
  <c r="E22" i="20"/>
  <c r="F22" i="20" s="1"/>
  <c r="G22" i="20" s="1"/>
  <c r="H22" i="20" s="1"/>
  <c r="D23" i="20"/>
  <c r="A49" i="16"/>
  <c r="A53" i="16"/>
  <c r="A43" i="16"/>
  <c r="A13" i="16"/>
  <c r="A33" i="16"/>
  <c r="A45" i="16"/>
  <c r="A28" i="16"/>
  <c r="A51" i="16"/>
  <c r="A42" i="16"/>
  <c r="A27" i="16"/>
  <c r="A17" i="16"/>
  <c r="A18" i="16"/>
  <c r="A56" i="16"/>
  <c r="A24" i="16"/>
  <c r="E10" i="19"/>
  <c r="D11" i="19"/>
  <c r="D8" i="13"/>
  <c r="E8" i="13" s="1"/>
  <c r="F7" i="13"/>
  <c r="H21" i="23" l="1"/>
  <c r="H8" i="13"/>
  <c r="I7" i="13"/>
  <c r="I8" i="13"/>
  <c r="C24" i="23"/>
  <c r="D23" i="23"/>
  <c r="E22" i="23"/>
  <c r="F22" i="23" s="1"/>
  <c r="G22" i="23"/>
  <c r="G7" i="13"/>
  <c r="E23" i="20"/>
  <c r="F23" i="20" s="1"/>
  <c r="G23" i="20" s="1"/>
  <c r="H23" i="20" s="1"/>
  <c r="D24" i="20"/>
  <c r="F10" i="19"/>
  <c r="D12" i="19"/>
  <c r="E11" i="19"/>
  <c r="F11" i="19" s="1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H4" i="16" s="1"/>
  <c r="D9" i="13"/>
  <c r="E9" i="13" s="1"/>
  <c r="F8" i="13"/>
  <c r="H9" i="13" l="1"/>
  <c r="H22" i="23"/>
  <c r="E23" i="23"/>
  <c r="F23" i="23" s="1"/>
  <c r="G23" i="23"/>
  <c r="D24" i="23"/>
  <c r="C25" i="23"/>
  <c r="G8" i="13"/>
  <c r="E24" i="20"/>
  <c r="F24" i="20" s="1"/>
  <c r="G24" i="20" s="1"/>
  <c r="H24" i="20" s="1"/>
  <c r="D25" i="20"/>
  <c r="D13" i="19"/>
  <c r="E12" i="19"/>
  <c r="F12" i="19" s="1"/>
  <c r="E12" i="16"/>
  <c r="E11" i="16"/>
  <c r="E13" i="16"/>
  <c r="D10" i="13"/>
  <c r="E10" i="13" s="1"/>
  <c r="F9" i="13"/>
  <c r="I9" i="13" l="1"/>
  <c r="H10" i="13"/>
  <c r="D25" i="23"/>
  <c r="C26" i="23"/>
  <c r="E24" i="23"/>
  <c r="F24" i="23" s="1"/>
  <c r="G24" i="23"/>
  <c r="H23" i="23"/>
  <c r="G9" i="13"/>
  <c r="E25" i="20"/>
  <c r="F25" i="20" s="1"/>
  <c r="G25" i="20" s="1"/>
  <c r="H25" i="20" s="1"/>
  <c r="D26" i="20"/>
  <c r="D14" i="19"/>
  <c r="E13" i="19"/>
  <c r="F13" i="19" s="1"/>
  <c r="F11" i="16"/>
  <c r="G11" i="16" s="1"/>
  <c r="H11" i="16" s="1"/>
  <c r="F12" i="16"/>
  <c r="F13" i="16"/>
  <c r="E14" i="16"/>
  <c r="D11" i="13"/>
  <c r="E11" i="13" s="1"/>
  <c r="F10" i="13"/>
  <c r="G10" i="13" s="1"/>
  <c r="Q9" i="6"/>
  <c r="P9" i="6"/>
  <c r="O9" i="6"/>
  <c r="Q6" i="6"/>
  <c r="P6" i="6"/>
  <c r="O6" i="6"/>
  <c r="Q4" i="6"/>
  <c r="P4" i="6"/>
  <c r="O4" i="6"/>
  <c r="Q3" i="6"/>
  <c r="P3" i="6"/>
  <c r="O3" i="6"/>
  <c r="Q2" i="6"/>
  <c r="P2" i="6"/>
  <c r="O2" i="6"/>
  <c r="H2" i="6"/>
  <c r="O7" i="6" l="1"/>
  <c r="O5" i="6"/>
  <c r="O8" i="6" s="1"/>
  <c r="I10" i="13"/>
  <c r="H11" i="13"/>
  <c r="H24" i="23"/>
  <c r="C27" i="23"/>
  <c r="D26" i="23"/>
  <c r="E25" i="23"/>
  <c r="F25" i="23" s="1"/>
  <c r="G25" i="23"/>
  <c r="E26" i="20"/>
  <c r="F26" i="20" s="1"/>
  <c r="G26" i="20" s="1"/>
  <c r="H26" i="20" s="1"/>
  <c r="D27" i="20"/>
  <c r="E14" i="19"/>
  <c r="F14" i="19" s="1"/>
  <c r="D15" i="19"/>
  <c r="G12" i="16"/>
  <c r="H12" i="16" s="1"/>
  <c r="F14" i="16"/>
  <c r="G14" i="16" s="1"/>
  <c r="H14" i="16" s="1"/>
  <c r="E15" i="16"/>
  <c r="F15" i="16" s="1"/>
  <c r="G13" i="16"/>
  <c r="H13" i="16" s="1"/>
  <c r="P5" i="6"/>
  <c r="P8" i="6" s="1"/>
  <c r="P7" i="6"/>
  <c r="D12" i="13"/>
  <c r="E12" i="13" s="1"/>
  <c r="F11" i="13"/>
  <c r="G11" i="13" s="1"/>
  <c r="Q7" i="6"/>
  <c r="G3" i="6"/>
  <c r="I2" i="6"/>
  <c r="F2" i="6"/>
  <c r="Q5" i="6"/>
  <c r="Q8" i="6" s="1"/>
  <c r="H25" i="23" l="1"/>
  <c r="I11" i="13"/>
  <c r="H12" i="13"/>
  <c r="I12" i="13" s="1"/>
  <c r="E26" i="23"/>
  <c r="F26" i="23" s="1"/>
  <c r="G26" i="23"/>
  <c r="D27" i="23"/>
  <c r="C28" i="23"/>
  <c r="E27" i="20"/>
  <c r="F27" i="20" s="1"/>
  <c r="G27" i="20" s="1"/>
  <c r="H27" i="20" s="1"/>
  <c r="D28" i="20"/>
  <c r="E15" i="19"/>
  <c r="F15" i="19" s="1"/>
  <c r="D16" i="19"/>
  <c r="G15" i="16"/>
  <c r="H15" i="16" s="1"/>
  <c r="E16" i="16"/>
  <c r="D13" i="13"/>
  <c r="E13" i="13" s="1"/>
  <c r="F12" i="13"/>
  <c r="G12" i="13" s="1"/>
  <c r="H3" i="6"/>
  <c r="F3" i="6"/>
  <c r="J2" i="6"/>
  <c r="H13" i="13" l="1"/>
  <c r="I13" i="13" s="1"/>
  <c r="C29" i="23"/>
  <c r="D28" i="23"/>
  <c r="E27" i="23"/>
  <c r="F27" i="23" s="1"/>
  <c r="G27" i="23"/>
  <c r="H26" i="23"/>
  <c r="E28" i="20"/>
  <c r="F28" i="20" s="1"/>
  <c r="G28" i="20" s="1"/>
  <c r="H28" i="20" s="1"/>
  <c r="D29" i="20"/>
  <c r="D17" i="19"/>
  <c r="E16" i="19"/>
  <c r="F16" i="19" s="1"/>
  <c r="E17" i="16"/>
  <c r="F16" i="16"/>
  <c r="D14" i="13"/>
  <c r="E14" i="13" s="1"/>
  <c r="F13" i="13"/>
  <c r="G13" i="13" s="1"/>
  <c r="I3" i="6"/>
  <c r="G4" i="6"/>
  <c r="H14" i="13" l="1"/>
  <c r="I14" i="13" s="1"/>
  <c r="H27" i="23"/>
  <c r="E28" i="23"/>
  <c r="F28" i="23" s="1"/>
  <c r="G28" i="23"/>
  <c r="D29" i="23"/>
  <c r="C30" i="23"/>
  <c r="E29" i="20"/>
  <c r="F29" i="20" s="1"/>
  <c r="G29" i="20" s="1"/>
  <c r="H29" i="20" s="1"/>
  <c r="D30" i="20"/>
  <c r="D18" i="19"/>
  <c r="E17" i="19"/>
  <c r="F17" i="19" s="1"/>
  <c r="F17" i="16"/>
  <c r="G17" i="16" s="1"/>
  <c r="H17" i="16" s="1"/>
  <c r="E18" i="16"/>
  <c r="G16" i="16"/>
  <c r="H16" i="16" s="1"/>
  <c r="D15" i="13"/>
  <c r="E15" i="13" s="1"/>
  <c r="F14" i="13"/>
  <c r="G14" i="13" s="1"/>
  <c r="H4" i="6"/>
  <c r="F4" i="6" s="1"/>
  <c r="J3" i="6"/>
  <c r="H15" i="13" l="1"/>
  <c r="I15" i="13" s="1"/>
  <c r="H28" i="23"/>
  <c r="C31" i="23"/>
  <c r="D30" i="23"/>
  <c r="E29" i="23"/>
  <c r="F29" i="23" s="1"/>
  <c r="G29" i="23"/>
  <c r="E30" i="20"/>
  <c r="F30" i="20" s="1"/>
  <c r="G30" i="20" s="1"/>
  <c r="H30" i="20" s="1"/>
  <c r="D31" i="20"/>
  <c r="E18" i="19"/>
  <c r="F18" i="19" s="1"/>
  <c r="D19" i="19"/>
  <c r="F18" i="16"/>
  <c r="E19" i="16"/>
  <c r="D16" i="13"/>
  <c r="E16" i="13" s="1"/>
  <c r="F15" i="13"/>
  <c r="G15" i="13" s="1"/>
  <c r="G5" i="6"/>
  <c r="I4" i="6"/>
  <c r="H16" i="13" l="1"/>
  <c r="I16" i="13" s="1"/>
  <c r="H29" i="23"/>
  <c r="E30" i="23"/>
  <c r="F30" i="23" s="1"/>
  <c r="G30" i="23"/>
  <c r="D31" i="23"/>
  <c r="C32" i="23"/>
  <c r="E31" i="20"/>
  <c r="F31" i="20" s="1"/>
  <c r="G31" i="20" s="1"/>
  <c r="H31" i="20" s="1"/>
  <c r="D32" i="20"/>
  <c r="E19" i="19"/>
  <c r="F19" i="19" s="1"/>
  <c r="D20" i="19"/>
  <c r="F19" i="16"/>
  <c r="G19" i="16" s="1"/>
  <c r="H19" i="16" s="1"/>
  <c r="E20" i="16"/>
  <c r="G18" i="16"/>
  <c r="H18" i="16" s="1"/>
  <c r="D17" i="13"/>
  <c r="E17" i="13" s="1"/>
  <c r="F16" i="13"/>
  <c r="G16" i="13" s="1"/>
  <c r="J4" i="6"/>
  <c r="H5" i="6"/>
  <c r="F5" i="6" s="1"/>
  <c r="H17" i="13" l="1"/>
  <c r="I17" i="13" s="1"/>
  <c r="C33" i="23"/>
  <c r="D32" i="23"/>
  <c r="E31" i="23"/>
  <c r="F31" i="23" s="1"/>
  <c r="G31" i="23"/>
  <c r="H30" i="23"/>
  <c r="E32" i="20"/>
  <c r="F32" i="20" s="1"/>
  <c r="G32" i="20" s="1"/>
  <c r="H32" i="20" s="1"/>
  <c r="D33" i="20"/>
  <c r="D21" i="19"/>
  <c r="E20" i="19"/>
  <c r="F20" i="19" s="1"/>
  <c r="F20" i="16"/>
  <c r="E21" i="16"/>
  <c r="D18" i="13"/>
  <c r="E18" i="13" s="1"/>
  <c r="F17" i="13"/>
  <c r="G17" i="13" s="1"/>
  <c r="G6" i="6"/>
  <c r="I5" i="6"/>
  <c r="H18" i="13" l="1"/>
  <c r="I18" i="13" s="1"/>
  <c r="H31" i="23"/>
  <c r="E32" i="23"/>
  <c r="F32" i="23" s="1"/>
  <c r="G32" i="23"/>
  <c r="D33" i="23"/>
  <c r="C34" i="23"/>
  <c r="D19" i="13"/>
  <c r="E19" i="13" s="1"/>
  <c r="E33" i="20"/>
  <c r="F33" i="20" s="1"/>
  <c r="G33" i="20" s="1"/>
  <c r="H33" i="20" s="1"/>
  <c r="D34" i="20"/>
  <c r="E21" i="19"/>
  <c r="F21" i="19" s="1"/>
  <c r="D22" i="19"/>
  <c r="F21" i="16"/>
  <c r="G21" i="16" s="1"/>
  <c r="H21" i="16" s="1"/>
  <c r="E22" i="16"/>
  <c r="G20" i="16"/>
  <c r="H20" i="16" s="1"/>
  <c r="F18" i="13"/>
  <c r="G18" i="13" s="1"/>
  <c r="H6" i="6"/>
  <c r="J5" i="6"/>
  <c r="H19" i="13" l="1"/>
  <c r="I19" i="13" s="1"/>
  <c r="C35" i="23"/>
  <c r="D34" i="23"/>
  <c r="E33" i="23"/>
  <c r="F33" i="23" s="1"/>
  <c r="G33" i="23"/>
  <c r="H32" i="23"/>
  <c r="D20" i="13"/>
  <c r="E20" i="13" s="1"/>
  <c r="E34" i="20"/>
  <c r="F34" i="20" s="1"/>
  <c r="G34" i="20" s="1"/>
  <c r="H34" i="20" s="1"/>
  <c r="D35" i="20"/>
  <c r="E22" i="19"/>
  <c r="F22" i="19" s="1"/>
  <c r="D23" i="19"/>
  <c r="F22" i="16"/>
  <c r="G22" i="16" s="1"/>
  <c r="H22" i="16" s="1"/>
  <c r="E23" i="16"/>
  <c r="F19" i="13"/>
  <c r="G19" i="13" s="1"/>
  <c r="G7" i="6"/>
  <c r="I6" i="6"/>
  <c r="F6" i="6"/>
  <c r="H33" i="23" l="1"/>
  <c r="D21" i="13"/>
  <c r="E21" i="13" s="1"/>
  <c r="H21" i="13" s="1"/>
  <c r="H20" i="13"/>
  <c r="I20" i="13" s="1"/>
  <c r="C9" i="26"/>
  <c r="C10" i="26" s="1"/>
  <c r="E34" i="23"/>
  <c r="F34" i="23" s="1"/>
  <c r="G34" i="23"/>
  <c r="D35" i="23"/>
  <c r="C36" i="23"/>
  <c r="E35" i="20"/>
  <c r="F35" i="20" s="1"/>
  <c r="G35" i="20" s="1"/>
  <c r="H35" i="20" s="1"/>
  <c r="D36" i="20"/>
  <c r="D24" i="19"/>
  <c r="E23" i="19"/>
  <c r="F23" i="19" s="1"/>
  <c r="F23" i="16"/>
  <c r="G23" i="16" s="1"/>
  <c r="H23" i="16" s="1"/>
  <c r="E24" i="16"/>
  <c r="B75" i="13"/>
  <c r="B54" i="13"/>
  <c r="B58" i="13"/>
  <c r="B66" i="13"/>
  <c r="B61" i="13"/>
  <c r="B68" i="13"/>
  <c r="B73" i="13"/>
  <c r="B64" i="13"/>
  <c r="B53" i="13"/>
  <c r="B60" i="13"/>
  <c r="B70" i="13"/>
  <c r="B71" i="13"/>
  <c r="B62" i="13"/>
  <c r="B56" i="13"/>
  <c r="B52" i="13"/>
  <c r="B67" i="13"/>
  <c r="B72" i="13"/>
  <c r="B74" i="13"/>
  <c r="B76" i="13"/>
  <c r="B59" i="13"/>
  <c r="B55" i="13"/>
  <c r="B65" i="13"/>
  <c r="B69" i="13"/>
  <c r="B63" i="13"/>
  <c r="B57" i="13"/>
  <c r="B19" i="13"/>
  <c r="B43" i="13"/>
  <c r="B27" i="13"/>
  <c r="B51" i="13"/>
  <c r="B10" i="13"/>
  <c r="B40" i="13"/>
  <c r="B38" i="13"/>
  <c r="B3" i="13"/>
  <c r="B8" i="13"/>
  <c r="B16" i="13"/>
  <c r="B11" i="13"/>
  <c r="B21" i="13"/>
  <c r="B45" i="13"/>
  <c r="B5" i="13"/>
  <c r="B6" i="13"/>
  <c r="B37" i="13"/>
  <c r="B30" i="13"/>
  <c r="B36" i="13"/>
  <c r="B35" i="13"/>
  <c r="B25" i="13"/>
  <c r="B23" i="13"/>
  <c r="B28" i="13"/>
  <c r="B34" i="13"/>
  <c r="B26" i="13"/>
  <c r="B7" i="13"/>
  <c r="B44" i="13"/>
  <c r="B39" i="13"/>
  <c r="B4" i="13"/>
  <c r="B12" i="13"/>
  <c r="B46" i="13"/>
  <c r="B24" i="13"/>
  <c r="B47" i="13"/>
  <c r="B18" i="13"/>
  <c r="B22" i="13"/>
  <c r="B13" i="13"/>
  <c r="B29" i="13"/>
  <c r="B33" i="13"/>
  <c r="B9" i="13"/>
  <c r="B17" i="13"/>
  <c r="B41" i="13"/>
  <c r="B49" i="13"/>
  <c r="B50" i="13"/>
  <c r="B15" i="13"/>
  <c r="B20" i="13"/>
  <c r="B48" i="13"/>
  <c r="B42" i="13"/>
  <c r="B32" i="13"/>
  <c r="B14" i="13"/>
  <c r="B31" i="13"/>
  <c r="B2" i="13"/>
  <c r="F20" i="13"/>
  <c r="G20" i="13" s="1"/>
  <c r="D22" i="13"/>
  <c r="E22" i="13" s="1"/>
  <c r="J6" i="6"/>
  <c r="H7" i="6"/>
  <c r="F7" i="6" s="1"/>
  <c r="I21" i="13" l="1"/>
  <c r="H22" i="13"/>
  <c r="I22" i="13" s="1"/>
  <c r="E9" i="26"/>
  <c r="C11" i="26"/>
  <c r="E10" i="26"/>
  <c r="E35" i="23"/>
  <c r="F35" i="23" s="1"/>
  <c r="G35" i="23"/>
  <c r="H34" i="23"/>
  <c r="C37" i="23"/>
  <c r="D36" i="23"/>
  <c r="E36" i="20"/>
  <c r="F36" i="20" s="1"/>
  <c r="G36" i="20" s="1"/>
  <c r="H36" i="20" s="1"/>
  <c r="D37" i="20"/>
  <c r="D25" i="19"/>
  <c r="E24" i="19"/>
  <c r="F24" i="19" s="1"/>
  <c r="F24" i="16"/>
  <c r="G24" i="16" s="1"/>
  <c r="H24" i="16" s="1"/>
  <c r="E25" i="16"/>
  <c r="F21" i="13"/>
  <c r="G21" i="13" s="1"/>
  <c r="D23" i="13"/>
  <c r="E23" i="13" s="1"/>
  <c r="G8" i="6"/>
  <c r="I7" i="6"/>
  <c r="H23" i="13" l="1"/>
  <c r="I23" i="13" s="1"/>
  <c r="E11" i="26"/>
  <c r="G11" i="26" s="1"/>
  <c r="C12" i="26"/>
  <c r="C13" i="26" s="1"/>
  <c r="G9" i="26"/>
  <c r="G10" i="26"/>
  <c r="H35" i="23"/>
  <c r="E36" i="23"/>
  <c r="F36" i="23" s="1"/>
  <c r="G36" i="23"/>
  <c r="D37" i="23"/>
  <c r="C38" i="23"/>
  <c r="E37" i="20"/>
  <c r="F37" i="20" s="1"/>
  <c r="G37" i="20" s="1"/>
  <c r="H37" i="20" s="1"/>
  <c r="D38" i="20"/>
  <c r="E25" i="19"/>
  <c r="F25" i="19" s="1"/>
  <c r="D26" i="19"/>
  <c r="F25" i="16"/>
  <c r="G25" i="16" s="1"/>
  <c r="H25" i="16" s="1"/>
  <c r="E26" i="16"/>
  <c r="F22" i="13"/>
  <c r="G22" i="13" s="1"/>
  <c r="D24" i="13"/>
  <c r="E24" i="13" s="1"/>
  <c r="J7" i="6"/>
  <c r="H8" i="6"/>
  <c r="H24" i="13" l="1"/>
  <c r="I24" i="13" s="1"/>
  <c r="E12" i="26"/>
  <c r="C39" i="23"/>
  <c r="D38" i="23"/>
  <c r="E37" i="23"/>
  <c r="F37" i="23" s="1"/>
  <c r="G37" i="23"/>
  <c r="H36" i="23"/>
  <c r="E38" i="20"/>
  <c r="F38" i="20" s="1"/>
  <c r="G38" i="20" s="1"/>
  <c r="H38" i="20" s="1"/>
  <c r="D39" i="20"/>
  <c r="E26" i="19"/>
  <c r="F26" i="19" s="1"/>
  <c r="D27" i="19"/>
  <c r="F26" i="16"/>
  <c r="G26" i="16" s="1"/>
  <c r="H26" i="16" s="1"/>
  <c r="E27" i="16"/>
  <c r="F23" i="13"/>
  <c r="G23" i="13" s="1"/>
  <c r="D25" i="13"/>
  <c r="E25" i="13" s="1"/>
  <c r="G9" i="6"/>
  <c r="I8" i="6"/>
  <c r="F8" i="6"/>
  <c r="H25" i="13" l="1"/>
  <c r="I25" i="13" s="1"/>
  <c r="E13" i="26"/>
  <c r="G13" i="26" s="1"/>
  <c r="C14" i="26"/>
  <c r="G12" i="26"/>
  <c r="H37" i="23"/>
  <c r="E38" i="23"/>
  <c r="F38" i="23" s="1"/>
  <c r="G38" i="23"/>
  <c r="D39" i="23"/>
  <c r="C40" i="23"/>
  <c r="E39" i="20"/>
  <c r="F39" i="20" s="1"/>
  <c r="G39" i="20" s="1"/>
  <c r="H39" i="20" s="1"/>
  <c r="D40" i="20"/>
  <c r="D28" i="19"/>
  <c r="E27" i="19"/>
  <c r="F27" i="19" s="1"/>
  <c r="F27" i="16"/>
  <c r="G27" i="16" s="1"/>
  <c r="H27" i="16" s="1"/>
  <c r="E28" i="16"/>
  <c r="F24" i="13"/>
  <c r="G24" i="13" s="1"/>
  <c r="D26" i="13"/>
  <c r="E26" i="13" s="1"/>
  <c r="J8" i="6"/>
  <c r="H9" i="6"/>
  <c r="H26" i="13" l="1"/>
  <c r="I26" i="13" s="1"/>
  <c r="C15" i="26"/>
  <c r="E14" i="26"/>
  <c r="C41" i="23"/>
  <c r="D40" i="23"/>
  <c r="E39" i="23"/>
  <c r="F39" i="23" s="1"/>
  <c r="G39" i="23"/>
  <c r="H38" i="23"/>
  <c r="E40" i="20"/>
  <c r="F40" i="20" s="1"/>
  <c r="G40" i="20" s="1"/>
  <c r="H40" i="20" s="1"/>
  <c r="D41" i="20"/>
  <c r="D29" i="19"/>
  <c r="E28" i="19"/>
  <c r="F28" i="19" s="1"/>
  <c r="F28" i="16"/>
  <c r="G28" i="16" s="1"/>
  <c r="H28" i="16" s="1"/>
  <c r="E29" i="16"/>
  <c r="F25" i="13"/>
  <c r="G25" i="13" s="1"/>
  <c r="D27" i="13"/>
  <c r="E27" i="13" s="1"/>
  <c r="G10" i="6"/>
  <c r="I9" i="6"/>
  <c r="F9" i="6"/>
  <c r="H39" i="23" l="1"/>
  <c r="H27" i="13"/>
  <c r="I27" i="13" s="1"/>
  <c r="G14" i="26"/>
  <c r="E15" i="26"/>
  <c r="C16" i="26"/>
  <c r="D41" i="23"/>
  <c r="C42" i="23"/>
  <c r="E40" i="23"/>
  <c r="F40" i="23" s="1"/>
  <c r="G40" i="23"/>
  <c r="E41" i="20"/>
  <c r="F41" i="20" s="1"/>
  <c r="G41" i="20" s="1"/>
  <c r="H41" i="20" s="1"/>
  <c r="D42" i="20"/>
  <c r="D30" i="19"/>
  <c r="E29" i="19"/>
  <c r="F29" i="19" s="1"/>
  <c r="F29" i="16"/>
  <c r="G29" i="16" s="1"/>
  <c r="H29" i="16" s="1"/>
  <c r="E30" i="16"/>
  <c r="F26" i="13"/>
  <c r="G26" i="13" s="1"/>
  <c r="D28" i="13"/>
  <c r="E28" i="13" s="1"/>
  <c r="J9" i="6"/>
  <c r="H10" i="6"/>
  <c r="F10" i="6" s="1"/>
  <c r="H28" i="13" l="1"/>
  <c r="I28" i="13" s="1"/>
  <c r="G15" i="26"/>
  <c r="C17" i="26"/>
  <c r="E16" i="26"/>
  <c r="G16" i="26" s="1"/>
  <c r="H40" i="23"/>
  <c r="C43" i="23"/>
  <c r="D42" i="23"/>
  <c r="E41" i="23"/>
  <c r="F41" i="23" s="1"/>
  <c r="G41" i="23"/>
  <c r="E42" i="20"/>
  <c r="F42" i="20" s="1"/>
  <c r="G42" i="20" s="1"/>
  <c r="H42" i="20" s="1"/>
  <c r="D43" i="20"/>
  <c r="E30" i="19"/>
  <c r="F30" i="19" s="1"/>
  <c r="D31" i="19"/>
  <c r="F30" i="16"/>
  <c r="G30" i="16" s="1"/>
  <c r="H30" i="16" s="1"/>
  <c r="E31" i="16"/>
  <c r="D29" i="13"/>
  <c r="E29" i="13" s="1"/>
  <c r="F27" i="13"/>
  <c r="G27" i="13" s="1"/>
  <c r="G11" i="6"/>
  <c r="I10" i="6"/>
  <c r="H29" i="13" l="1"/>
  <c r="I29" i="13" s="1"/>
  <c r="E17" i="26"/>
  <c r="G17" i="26" s="1"/>
  <c r="C18" i="26"/>
  <c r="H41" i="23"/>
  <c r="D43" i="23"/>
  <c r="C44" i="23"/>
  <c r="E42" i="23"/>
  <c r="F42" i="23" s="1"/>
  <c r="G42" i="23"/>
  <c r="E43" i="20"/>
  <c r="F43" i="20" s="1"/>
  <c r="G43" i="20" s="1"/>
  <c r="H43" i="20" s="1"/>
  <c r="D44" i="20"/>
  <c r="E31" i="19"/>
  <c r="F31" i="19" s="1"/>
  <c r="D32" i="19"/>
  <c r="F31" i="16"/>
  <c r="G31" i="16" s="1"/>
  <c r="H31" i="16" s="1"/>
  <c r="E32" i="16"/>
  <c r="F28" i="13"/>
  <c r="G28" i="13" s="1"/>
  <c r="D30" i="13"/>
  <c r="E30" i="13" s="1"/>
  <c r="H11" i="6"/>
  <c r="F11" i="6" s="1"/>
  <c r="J10" i="6"/>
  <c r="H30" i="13" l="1"/>
  <c r="I30" i="13" s="1"/>
  <c r="H42" i="23"/>
  <c r="E18" i="26"/>
  <c r="G18" i="26" s="1"/>
  <c r="C19" i="26"/>
  <c r="C45" i="23"/>
  <c r="D44" i="23"/>
  <c r="E43" i="23"/>
  <c r="F43" i="23" s="1"/>
  <c r="G43" i="23"/>
  <c r="E44" i="20"/>
  <c r="F44" i="20" s="1"/>
  <c r="G44" i="20" s="1"/>
  <c r="H44" i="20" s="1"/>
  <c r="D45" i="20"/>
  <c r="D33" i="19"/>
  <c r="E32" i="19"/>
  <c r="F32" i="19" s="1"/>
  <c r="F32" i="16"/>
  <c r="G32" i="16" s="1"/>
  <c r="H32" i="16" s="1"/>
  <c r="E33" i="16"/>
  <c r="F29" i="13"/>
  <c r="G29" i="13" s="1"/>
  <c r="D31" i="13"/>
  <c r="E31" i="13" s="1"/>
  <c r="G12" i="6"/>
  <c r="I11" i="6"/>
  <c r="H31" i="13" l="1"/>
  <c r="I31" i="13" s="1"/>
  <c r="E19" i="26"/>
  <c r="G19" i="26" s="1"/>
  <c r="C20" i="26"/>
  <c r="H43" i="23"/>
  <c r="D45" i="23"/>
  <c r="C46" i="23"/>
  <c r="E44" i="23"/>
  <c r="F44" i="23" s="1"/>
  <c r="G44" i="23"/>
  <c r="E45" i="20"/>
  <c r="F45" i="20" s="1"/>
  <c r="G45" i="20" s="1"/>
  <c r="H45" i="20" s="1"/>
  <c r="D46" i="20"/>
  <c r="E33" i="19"/>
  <c r="F33" i="19" s="1"/>
  <c r="D34" i="19"/>
  <c r="F33" i="16"/>
  <c r="G33" i="16" s="1"/>
  <c r="H33" i="16" s="1"/>
  <c r="E34" i="16"/>
  <c r="F30" i="13"/>
  <c r="G30" i="13" s="1"/>
  <c r="D32" i="13"/>
  <c r="E32" i="13" s="1"/>
  <c r="J11" i="6"/>
  <c r="H12" i="6"/>
  <c r="F12" i="6" s="1"/>
  <c r="H32" i="13" l="1"/>
  <c r="I32" i="13" s="1"/>
  <c r="E20" i="26"/>
  <c r="G20" i="26" s="1"/>
  <c r="C21" i="26"/>
  <c r="H44" i="23"/>
  <c r="E45" i="23"/>
  <c r="F45" i="23" s="1"/>
  <c r="G45" i="23"/>
  <c r="C47" i="23"/>
  <c r="D46" i="23"/>
  <c r="E46" i="20"/>
  <c r="F46" i="20" s="1"/>
  <c r="G46" i="20" s="1"/>
  <c r="H46" i="20" s="1"/>
  <c r="D47" i="20"/>
  <c r="E34" i="19"/>
  <c r="F34" i="19" s="1"/>
  <c r="D35" i="19"/>
  <c r="F34" i="16"/>
  <c r="G34" i="16" s="1"/>
  <c r="H34" i="16" s="1"/>
  <c r="E35" i="16"/>
  <c r="D33" i="13"/>
  <c r="E33" i="13" s="1"/>
  <c r="F31" i="13"/>
  <c r="G31" i="13" s="1"/>
  <c r="G13" i="6"/>
  <c r="I12" i="6"/>
  <c r="H33" i="13" l="1"/>
  <c r="I33" i="13" s="1"/>
  <c r="F22" i="26"/>
  <c r="E4" i="26"/>
  <c r="H22" i="26"/>
  <c r="H24" i="26" s="1"/>
  <c r="E5" i="26"/>
  <c r="D47" i="23"/>
  <c r="C48" i="23"/>
  <c r="E46" i="23"/>
  <c r="F46" i="23" s="1"/>
  <c r="G46" i="23"/>
  <c r="H45" i="23"/>
  <c r="E47" i="20"/>
  <c r="F47" i="20" s="1"/>
  <c r="G47" i="20" s="1"/>
  <c r="H47" i="20" s="1"/>
  <c r="D48" i="20"/>
  <c r="D36" i="19"/>
  <c r="E35" i="19"/>
  <c r="F35" i="19" s="1"/>
  <c r="F35" i="16"/>
  <c r="G35" i="16" s="1"/>
  <c r="H35" i="16" s="1"/>
  <c r="E36" i="16"/>
  <c r="F32" i="13"/>
  <c r="G32" i="13" s="1"/>
  <c r="D34" i="13"/>
  <c r="E34" i="13" s="1"/>
  <c r="J12" i="6"/>
  <c r="H13" i="6"/>
  <c r="H34" i="13" l="1"/>
  <c r="I34" i="13" s="1"/>
  <c r="G6" i="26"/>
  <c r="G7" i="26" s="1"/>
  <c r="E47" i="23"/>
  <c r="F47" i="23" s="1"/>
  <c r="G47" i="23"/>
  <c r="H46" i="23"/>
  <c r="C49" i="23"/>
  <c r="D48" i="23"/>
  <c r="E48" i="20"/>
  <c r="F48" i="20" s="1"/>
  <c r="G48" i="20" s="1"/>
  <c r="H48" i="20" s="1"/>
  <c r="D49" i="20"/>
  <c r="D37" i="19"/>
  <c r="E36" i="19"/>
  <c r="F36" i="19" s="1"/>
  <c r="F36" i="16"/>
  <c r="G36" i="16" s="1"/>
  <c r="H36" i="16" s="1"/>
  <c r="E37" i="16"/>
  <c r="D35" i="13"/>
  <c r="E35" i="13" s="1"/>
  <c r="F33" i="13"/>
  <c r="G33" i="13" s="1"/>
  <c r="G14" i="6"/>
  <c r="I13" i="6"/>
  <c r="F13" i="6"/>
  <c r="H35" i="13" l="1"/>
  <c r="I35" i="13" s="1"/>
  <c r="D49" i="23"/>
  <c r="C50" i="23"/>
  <c r="E48" i="23"/>
  <c r="F48" i="23" s="1"/>
  <c r="G48" i="23"/>
  <c r="H47" i="23"/>
  <c r="E49" i="20"/>
  <c r="F49" i="20" s="1"/>
  <c r="G49" i="20" s="1"/>
  <c r="H49" i="20" s="1"/>
  <c r="D50" i="20"/>
  <c r="D38" i="19"/>
  <c r="E37" i="19"/>
  <c r="F37" i="19" s="1"/>
  <c r="F37" i="16"/>
  <c r="G37" i="16" s="1"/>
  <c r="H37" i="16" s="1"/>
  <c r="E38" i="16"/>
  <c r="F34" i="13"/>
  <c r="G34" i="13" s="1"/>
  <c r="D36" i="13"/>
  <c r="E36" i="13" s="1"/>
  <c r="J13" i="6"/>
  <c r="H14" i="6"/>
  <c r="I14" i="6" s="1"/>
  <c r="H36" i="13" l="1"/>
  <c r="I36" i="13" s="1"/>
  <c r="H48" i="23"/>
  <c r="C51" i="23"/>
  <c r="D50" i="23"/>
  <c r="E49" i="23"/>
  <c r="F49" i="23" s="1"/>
  <c r="G49" i="23"/>
  <c r="E50" i="20"/>
  <c r="F50" i="20" s="1"/>
  <c r="G50" i="20" s="1"/>
  <c r="H50" i="20" s="1"/>
  <c r="D51" i="20"/>
  <c r="E38" i="19"/>
  <c r="F38" i="19" s="1"/>
  <c r="D39" i="19"/>
  <c r="F38" i="16"/>
  <c r="G38" i="16" s="1"/>
  <c r="H38" i="16" s="1"/>
  <c r="E39" i="16"/>
  <c r="F35" i="13"/>
  <c r="G35" i="13" s="1"/>
  <c r="D37" i="13"/>
  <c r="E37" i="13" s="1"/>
  <c r="F14" i="6"/>
  <c r="J14" i="6"/>
  <c r="H37" i="13" l="1"/>
  <c r="I37" i="13" s="1"/>
  <c r="D51" i="23"/>
  <c r="C52" i="23"/>
  <c r="H49" i="23"/>
  <c r="E50" i="23"/>
  <c r="F50" i="23" s="1"/>
  <c r="G50" i="23"/>
  <c r="E51" i="20"/>
  <c r="F51" i="20" s="1"/>
  <c r="G51" i="20" s="1"/>
  <c r="H51" i="20" s="1"/>
  <c r="D52" i="20"/>
  <c r="D40" i="19"/>
  <c r="E39" i="19"/>
  <c r="F39" i="19" s="1"/>
  <c r="F39" i="16"/>
  <c r="G39" i="16" s="1"/>
  <c r="H39" i="16" s="1"/>
  <c r="E40" i="16"/>
  <c r="F36" i="13"/>
  <c r="G36" i="13" s="1"/>
  <c r="D38" i="13"/>
  <c r="E38" i="13" s="1"/>
  <c r="J15" i="6"/>
  <c r="H38" i="13" l="1"/>
  <c r="I38" i="13" s="1"/>
  <c r="C53" i="23"/>
  <c r="H5" i="23" s="1"/>
  <c r="D52" i="23"/>
  <c r="H50" i="23"/>
  <c r="E51" i="23"/>
  <c r="F51" i="23" s="1"/>
  <c r="G51" i="23"/>
  <c r="E52" i="20"/>
  <c r="F52" i="20" s="1"/>
  <c r="G52" i="20" s="1"/>
  <c r="H52" i="20" s="1"/>
  <c r="D53" i="20"/>
  <c r="D41" i="19"/>
  <c r="E40" i="19"/>
  <c r="F40" i="19" s="1"/>
  <c r="F40" i="16"/>
  <c r="G40" i="16" s="1"/>
  <c r="H40" i="16" s="1"/>
  <c r="E41" i="16"/>
  <c r="F37" i="13"/>
  <c r="G37" i="13" s="1"/>
  <c r="D39" i="13"/>
  <c r="E39" i="13" s="1"/>
  <c r="L2" i="6"/>
  <c r="K2" i="6"/>
  <c r="L3" i="6"/>
  <c r="K3" i="6"/>
  <c r="L4" i="6"/>
  <c r="K4" i="6"/>
  <c r="L5" i="6"/>
  <c r="K5" i="6"/>
  <c r="L6" i="6"/>
  <c r="K6" i="6"/>
  <c r="L7" i="6"/>
  <c r="K7" i="6"/>
  <c r="L8" i="6"/>
  <c r="K8" i="6"/>
  <c r="L9" i="6"/>
  <c r="K9" i="6"/>
  <c r="L10" i="6"/>
  <c r="K10" i="6"/>
  <c r="L11" i="6"/>
  <c r="K11" i="6"/>
  <c r="L12" i="6"/>
  <c r="K12" i="6"/>
  <c r="L13" i="6"/>
  <c r="L14" i="6"/>
  <c r="K13" i="6"/>
  <c r="K14" i="6"/>
  <c r="H39" i="13" l="1"/>
  <c r="I39" i="13" s="1"/>
  <c r="H51" i="23"/>
  <c r="E52" i="23"/>
  <c r="F52" i="23" s="1"/>
  <c r="J4" i="23" s="1"/>
  <c r="G52" i="23"/>
  <c r="E53" i="20"/>
  <c r="F53" i="20" s="1"/>
  <c r="G53" i="20" s="1"/>
  <c r="H53" i="20" s="1"/>
  <c r="D54" i="20"/>
  <c r="D42" i="19"/>
  <c r="E41" i="19"/>
  <c r="F41" i="19" s="1"/>
  <c r="F41" i="16"/>
  <c r="G41" i="16" s="1"/>
  <c r="H41" i="16" s="1"/>
  <c r="E42" i="16"/>
  <c r="F38" i="13"/>
  <c r="G38" i="13" s="1"/>
  <c r="D40" i="13"/>
  <c r="E40" i="13" s="1"/>
  <c r="K15" i="6"/>
  <c r="H40" i="13" l="1"/>
  <c r="I40" i="13" s="1"/>
  <c r="H52" i="23"/>
  <c r="K11" i="23"/>
  <c r="I6" i="23"/>
  <c r="E54" i="20"/>
  <c r="F54" i="20" s="1"/>
  <c r="G54" i="20" s="1"/>
  <c r="H54" i="20" s="1"/>
  <c r="D55" i="20"/>
  <c r="E42" i="19"/>
  <c r="F42" i="19" s="1"/>
  <c r="D43" i="19"/>
  <c r="F42" i="16"/>
  <c r="G42" i="16" s="1"/>
  <c r="H42" i="16" s="1"/>
  <c r="E43" i="16"/>
  <c r="F39" i="13"/>
  <c r="G39" i="13" s="1"/>
  <c r="D41" i="13"/>
  <c r="E41" i="13" s="1"/>
  <c r="H41" i="13" l="1"/>
  <c r="I41" i="13" s="1"/>
  <c r="E55" i="20"/>
  <c r="F55" i="20" s="1"/>
  <c r="G55" i="20" s="1"/>
  <c r="H55" i="20" s="1"/>
  <c r="D56" i="20"/>
  <c r="D44" i="19"/>
  <c r="E43" i="19"/>
  <c r="F43" i="19" s="1"/>
  <c r="F43" i="16"/>
  <c r="G43" i="16" s="1"/>
  <c r="H43" i="16" s="1"/>
  <c r="E44" i="16"/>
  <c r="D42" i="13"/>
  <c r="E42" i="13" s="1"/>
  <c r="F40" i="13"/>
  <c r="G40" i="13" s="1"/>
  <c r="H42" i="13" l="1"/>
  <c r="I42" i="13" s="1"/>
  <c r="E56" i="20"/>
  <c r="F56" i="20" s="1"/>
  <c r="G56" i="20" s="1"/>
  <c r="H56" i="20" s="1"/>
  <c r="D57" i="20"/>
  <c r="D45" i="19"/>
  <c r="E44" i="19"/>
  <c r="F44" i="19" s="1"/>
  <c r="F44" i="16"/>
  <c r="G44" i="16" s="1"/>
  <c r="H44" i="16" s="1"/>
  <c r="E45" i="16"/>
  <c r="F41" i="13"/>
  <c r="G41" i="13" s="1"/>
  <c r="D43" i="13"/>
  <c r="E43" i="13" s="1"/>
  <c r="H43" i="13" l="1"/>
  <c r="I43" i="13" s="1"/>
  <c r="E57" i="20"/>
  <c r="F57" i="20" s="1"/>
  <c r="G57" i="20" s="1"/>
  <c r="H57" i="20" s="1"/>
  <c r="D58" i="20"/>
  <c r="E45" i="19"/>
  <c r="F45" i="19" s="1"/>
  <c r="D46" i="19"/>
  <c r="F45" i="16"/>
  <c r="G45" i="16" s="1"/>
  <c r="H45" i="16" s="1"/>
  <c r="E46" i="16"/>
  <c r="F42" i="13"/>
  <c r="G42" i="13" s="1"/>
  <c r="D44" i="13"/>
  <c r="E44" i="13" s="1"/>
  <c r="H44" i="13" l="1"/>
  <c r="I44" i="13" s="1"/>
  <c r="E58" i="20"/>
  <c r="F58" i="20" s="1"/>
  <c r="G58" i="20" s="1"/>
  <c r="H58" i="20" s="1"/>
  <c r="D59" i="20"/>
  <c r="E46" i="19"/>
  <c r="F46" i="19" s="1"/>
  <c r="D47" i="19"/>
  <c r="F46" i="16"/>
  <c r="G46" i="16" s="1"/>
  <c r="H46" i="16" s="1"/>
  <c r="E47" i="16"/>
  <c r="F43" i="13"/>
  <c r="G43" i="13" s="1"/>
  <c r="D45" i="13"/>
  <c r="E45" i="13" s="1"/>
  <c r="H45" i="13" l="1"/>
  <c r="I45" i="13" s="1"/>
  <c r="E59" i="20"/>
  <c r="F59" i="20" s="1"/>
  <c r="G59" i="20" s="1"/>
  <c r="H59" i="20" s="1"/>
  <c r="D60" i="20"/>
  <c r="D48" i="19"/>
  <c r="E47" i="19"/>
  <c r="F47" i="19" s="1"/>
  <c r="F47" i="16"/>
  <c r="E48" i="16"/>
  <c r="D46" i="13"/>
  <c r="E46" i="13" s="1"/>
  <c r="F44" i="13"/>
  <c r="G44" i="13" s="1"/>
  <c r="H46" i="13" l="1"/>
  <c r="I46" i="13" s="1"/>
  <c r="E60" i="20"/>
  <c r="F60" i="20" s="1"/>
  <c r="G60" i="20" s="1"/>
  <c r="H60" i="20" s="1"/>
  <c r="D61" i="20"/>
  <c r="D49" i="19"/>
  <c r="E48" i="19"/>
  <c r="F48" i="19" s="1"/>
  <c r="G47" i="16"/>
  <c r="H47" i="16" s="1"/>
  <c r="F48" i="16"/>
  <c r="G48" i="16" s="1"/>
  <c r="H48" i="16" s="1"/>
  <c r="E49" i="16"/>
  <c r="D47" i="13"/>
  <c r="E47" i="13" s="1"/>
  <c r="F45" i="13"/>
  <c r="G45" i="13" s="1"/>
  <c r="H47" i="13" l="1"/>
  <c r="I47" i="13" s="1"/>
  <c r="D62" i="20"/>
  <c r="H5" i="20" s="1"/>
  <c r="E61" i="20"/>
  <c r="F61" i="20" s="1"/>
  <c r="G61" i="20" s="1"/>
  <c r="D63" i="20" s="1"/>
  <c r="E49" i="19"/>
  <c r="F49" i="19" s="1"/>
  <c r="D50" i="19"/>
  <c r="F49" i="16"/>
  <c r="G49" i="16" s="1"/>
  <c r="H49" i="16" s="1"/>
  <c r="E50" i="16"/>
  <c r="D48" i="13"/>
  <c r="E48" i="13" s="1"/>
  <c r="F46" i="13"/>
  <c r="G46" i="13" s="1"/>
  <c r="H48" i="13" l="1"/>
  <c r="I48" i="13" s="1"/>
  <c r="H61" i="20"/>
  <c r="H4" i="20"/>
  <c r="E50" i="19"/>
  <c r="F50" i="19" s="1"/>
  <c r="D51" i="19"/>
  <c r="E51" i="19" s="1"/>
  <c r="F50" i="16"/>
  <c r="G50" i="16" s="1"/>
  <c r="H50" i="16" s="1"/>
  <c r="E51" i="16"/>
  <c r="D49" i="13"/>
  <c r="E49" i="13" s="1"/>
  <c r="F47" i="13"/>
  <c r="G47" i="13" s="1"/>
  <c r="F51" i="19" l="1"/>
  <c r="I3" i="19" s="1"/>
  <c r="H49" i="13"/>
  <c r="I49" i="13" s="1"/>
  <c r="I6" i="20"/>
  <c r="K16" i="20"/>
  <c r="F51" i="16"/>
  <c r="G51" i="16" s="1"/>
  <c r="H51" i="16" s="1"/>
  <c r="E52" i="16"/>
  <c r="D50" i="13"/>
  <c r="E50" i="13" s="1"/>
  <c r="F48" i="13"/>
  <c r="G48" i="13" s="1"/>
  <c r="H50" i="13" l="1"/>
  <c r="I50" i="13" s="1"/>
  <c r="F52" i="16"/>
  <c r="G52" i="16" s="1"/>
  <c r="H52" i="16" s="1"/>
  <c r="E53" i="16"/>
  <c r="D51" i="13"/>
  <c r="E51" i="13" s="1"/>
  <c r="F49" i="13"/>
  <c r="G49" i="13" s="1"/>
  <c r="H51" i="13" l="1"/>
  <c r="I51" i="13" s="1"/>
  <c r="F53" i="16"/>
  <c r="G53" i="16" s="1"/>
  <c r="H53" i="16" s="1"/>
  <c r="E54" i="16"/>
  <c r="D52" i="13"/>
  <c r="E52" i="13" s="1"/>
  <c r="F50" i="13"/>
  <c r="G50" i="13" s="1"/>
  <c r="H52" i="13" l="1"/>
  <c r="I52" i="13" s="1"/>
  <c r="F54" i="16"/>
  <c r="E55" i="16"/>
  <c r="D53" i="13"/>
  <c r="E53" i="13" s="1"/>
  <c r="F51" i="13"/>
  <c r="G51" i="13" s="1"/>
  <c r="H53" i="13" l="1"/>
  <c r="I53" i="13" s="1"/>
  <c r="G54" i="16"/>
  <c r="H54" i="16" s="1"/>
  <c r="F55" i="16"/>
  <c r="G55" i="16" s="1"/>
  <c r="H55" i="16" s="1"/>
  <c r="E56" i="16"/>
  <c r="D54" i="13"/>
  <c r="E54" i="13" s="1"/>
  <c r="F52" i="13"/>
  <c r="G52" i="13" s="1"/>
  <c r="H54" i="13" l="1"/>
  <c r="I54" i="13" s="1"/>
  <c r="F56" i="16"/>
  <c r="G56" i="16" s="1"/>
  <c r="H56" i="16" s="1"/>
  <c r="E57" i="16"/>
  <c r="D55" i="13"/>
  <c r="E55" i="13" s="1"/>
  <c r="F53" i="13"/>
  <c r="G53" i="13" s="1"/>
  <c r="H55" i="13" l="1"/>
  <c r="I55" i="13" s="1"/>
  <c r="F57" i="16"/>
  <c r="G57" i="16" s="1"/>
  <c r="H57" i="16" s="1"/>
  <c r="E58" i="16"/>
  <c r="D56" i="13"/>
  <c r="E56" i="13" s="1"/>
  <c r="F54" i="13"/>
  <c r="G54" i="13" s="1"/>
  <c r="H56" i="13" l="1"/>
  <c r="I56" i="13" s="1"/>
  <c r="F58" i="16"/>
  <c r="G58" i="16" s="1"/>
  <c r="H58" i="16" s="1"/>
  <c r="E60" i="16"/>
  <c r="E59" i="16"/>
  <c r="D57" i="13"/>
  <c r="E57" i="13" s="1"/>
  <c r="F55" i="13"/>
  <c r="G55" i="13" s="1"/>
  <c r="H57" i="13" l="1"/>
  <c r="I57" i="13" s="1"/>
  <c r="F59" i="16"/>
  <c r="G59" i="16" s="1"/>
  <c r="H59" i="16" s="1"/>
  <c r="F60" i="16"/>
  <c r="G60" i="16" s="1"/>
  <c r="D58" i="13"/>
  <c r="E58" i="13" s="1"/>
  <c r="F56" i="13"/>
  <c r="G56" i="13" s="1"/>
  <c r="H58" i="13" l="1"/>
  <c r="I58" i="13" s="1"/>
  <c r="G3" i="16"/>
  <c r="I5" i="16" s="1"/>
  <c r="D62" i="16"/>
  <c r="H60" i="16"/>
  <c r="D59" i="13"/>
  <c r="E59" i="13" s="1"/>
  <c r="F57" i="13"/>
  <c r="G57" i="13" s="1"/>
  <c r="H59" i="13" l="1"/>
  <c r="I59" i="13" s="1"/>
  <c r="D60" i="13"/>
  <c r="E60" i="13" s="1"/>
  <c r="F58" i="13"/>
  <c r="G58" i="13" s="1"/>
  <c r="H60" i="13" l="1"/>
  <c r="I60" i="13" s="1"/>
  <c r="D61" i="13"/>
  <c r="E61" i="13" s="1"/>
  <c r="F59" i="13"/>
  <c r="G59" i="13" s="1"/>
  <c r="H61" i="13" l="1"/>
  <c r="I61" i="13" s="1"/>
  <c r="D62" i="13"/>
  <c r="E62" i="13" s="1"/>
  <c r="F60" i="13"/>
  <c r="G60" i="13" s="1"/>
  <c r="H62" i="13" l="1"/>
  <c r="I62" i="13" s="1"/>
  <c r="D63" i="13"/>
  <c r="E63" i="13" s="1"/>
  <c r="F61" i="13"/>
  <c r="G61" i="13" s="1"/>
  <c r="H63" i="13" l="1"/>
  <c r="I63" i="13" s="1"/>
  <c r="D64" i="13"/>
  <c r="E64" i="13" s="1"/>
  <c r="F62" i="13"/>
  <c r="G62" i="13" s="1"/>
  <c r="H64" i="13" l="1"/>
  <c r="I64" i="13" s="1"/>
  <c r="D65" i="13"/>
  <c r="E65" i="13" s="1"/>
  <c r="F63" i="13"/>
  <c r="G63" i="13" s="1"/>
  <c r="H65" i="13" l="1"/>
  <c r="I65" i="13" s="1"/>
  <c r="D66" i="13"/>
  <c r="E66" i="13" s="1"/>
  <c r="F64" i="13"/>
  <c r="G64" i="13" s="1"/>
  <c r="H66" i="13" l="1"/>
  <c r="I66" i="13" s="1"/>
  <c r="D67" i="13"/>
  <c r="E67" i="13" s="1"/>
  <c r="F65" i="13"/>
  <c r="G65" i="13" s="1"/>
  <c r="H67" i="13" l="1"/>
  <c r="I67" i="13" s="1"/>
  <c r="D68" i="13"/>
  <c r="E68" i="13" s="1"/>
  <c r="F66" i="13"/>
  <c r="G66" i="13" s="1"/>
  <c r="H68" i="13" l="1"/>
  <c r="I68" i="13" s="1"/>
  <c r="D69" i="13"/>
  <c r="E69" i="13" s="1"/>
  <c r="F67" i="13"/>
  <c r="G67" i="13" s="1"/>
  <c r="H69" i="13" l="1"/>
  <c r="I69" i="13" s="1"/>
  <c r="D70" i="13"/>
  <c r="E70" i="13" s="1"/>
  <c r="F68" i="13"/>
  <c r="G68" i="13" s="1"/>
  <c r="H70" i="13" l="1"/>
  <c r="I70" i="13" s="1"/>
  <c r="D71" i="13"/>
  <c r="E71" i="13" s="1"/>
  <c r="F69" i="13"/>
  <c r="G69" i="13" s="1"/>
  <c r="H71" i="13" l="1"/>
  <c r="I71" i="13" s="1"/>
  <c r="D72" i="13"/>
  <c r="E72" i="13" s="1"/>
  <c r="F70" i="13"/>
  <c r="G70" i="13" s="1"/>
  <c r="H72" i="13" l="1"/>
  <c r="I72" i="13" s="1"/>
  <c r="D73" i="13"/>
  <c r="E73" i="13" s="1"/>
  <c r="F71" i="13"/>
  <c r="G71" i="13" s="1"/>
  <c r="H73" i="13" l="1"/>
  <c r="I73" i="13" s="1"/>
  <c r="D74" i="13"/>
  <c r="E74" i="13" s="1"/>
  <c r="F72" i="13"/>
  <c r="G72" i="13" s="1"/>
  <c r="H74" i="13" l="1"/>
  <c r="I74" i="13" s="1"/>
  <c r="D75" i="13"/>
  <c r="E75" i="13" s="1"/>
  <c r="F73" i="13"/>
  <c r="G73" i="13" s="1"/>
  <c r="H75" i="13" l="1"/>
  <c r="I75" i="13" s="1"/>
  <c r="D76" i="13"/>
  <c r="D77" i="13" s="1"/>
  <c r="F74" i="13"/>
  <c r="G74" i="13" s="1"/>
  <c r="E76" i="13" l="1"/>
  <c r="F75" i="13"/>
  <c r="G75" i="13" s="1"/>
  <c r="R1" i="13" l="1"/>
  <c r="H76" i="13"/>
  <c r="I76" i="13" s="1"/>
  <c r="F76" i="13"/>
  <c r="G76" i="13" s="1"/>
  <c r="P1" i="13" s="1"/>
  <c r="J3" i="13" l="1"/>
  <c r="J2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N3" i="13"/>
  <c r="S1" i="13"/>
  <c r="K10" i="13" l="1"/>
  <c r="L10" i="13" s="1"/>
  <c r="K18" i="13"/>
  <c r="L18" i="13" s="1"/>
  <c r="K26" i="13"/>
  <c r="L26" i="13" s="1"/>
  <c r="K34" i="13"/>
  <c r="L34" i="13" s="1"/>
  <c r="K42" i="13"/>
  <c r="L42" i="13" s="1"/>
  <c r="K50" i="13"/>
  <c r="L50" i="13" s="1"/>
  <c r="K58" i="13"/>
  <c r="L58" i="13" s="1"/>
  <c r="K66" i="13"/>
  <c r="L66" i="13" s="1"/>
  <c r="K74" i="13"/>
  <c r="L74" i="13" s="1"/>
  <c r="K6" i="13"/>
  <c r="L6" i="13" s="1"/>
  <c r="K39" i="13"/>
  <c r="L39" i="13" s="1"/>
  <c r="K55" i="13"/>
  <c r="L55" i="13" s="1"/>
  <c r="K9" i="13"/>
  <c r="L9" i="13" s="1"/>
  <c r="K49" i="13"/>
  <c r="L49" i="13" s="1"/>
  <c r="K7" i="13"/>
  <c r="L7" i="13" s="1"/>
  <c r="K11" i="13"/>
  <c r="L11" i="13" s="1"/>
  <c r="K19" i="13"/>
  <c r="L19" i="13" s="1"/>
  <c r="K27" i="13"/>
  <c r="L27" i="13" s="1"/>
  <c r="K35" i="13"/>
  <c r="L35" i="13" s="1"/>
  <c r="K43" i="13"/>
  <c r="L43" i="13" s="1"/>
  <c r="K51" i="13"/>
  <c r="L51" i="13" s="1"/>
  <c r="K59" i="13"/>
  <c r="L59" i="13" s="1"/>
  <c r="K67" i="13"/>
  <c r="L67" i="13" s="1"/>
  <c r="K75" i="13"/>
  <c r="L75" i="13" s="1"/>
  <c r="K15" i="13"/>
  <c r="L15" i="13" s="1"/>
  <c r="K63" i="13"/>
  <c r="L63" i="13" s="1"/>
  <c r="K25" i="13"/>
  <c r="L25" i="13" s="1"/>
  <c r="K3" i="13"/>
  <c r="L3" i="13" s="1"/>
  <c r="K12" i="13"/>
  <c r="L12" i="13" s="1"/>
  <c r="K20" i="13"/>
  <c r="L20" i="13" s="1"/>
  <c r="K28" i="13"/>
  <c r="L28" i="13" s="1"/>
  <c r="K36" i="13"/>
  <c r="L36" i="13" s="1"/>
  <c r="K44" i="13"/>
  <c r="L44" i="13" s="1"/>
  <c r="K52" i="13"/>
  <c r="L52" i="13" s="1"/>
  <c r="K60" i="13"/>
  <c r="L60" i="13" s="1"/>
  <c r="K68" i="13"/>
  <c r="L68" i="13" s="1"/>
  <c r="K76" i="13"/>
  <c r="K62" i="13"/>
  <c r="L62" i="13" s="1"/>
  <c r="K31" i="13"/>
  <c r="L31" i="13" s="1"/>
  <c r="K71" i="13"/>
  <c r="L71" i="13" s="1"/>
  <c r="K41" i="13"/>
  <c r="L41" i="13" s="1"/>
  <c r="K4" i="13"/>
  <c r="L4" i="13" s="1"/>
  <c r="K13" i="13"/>
  <c r="L13" i="13" s="1"/>
  <c r="K21" i="13"/>
  <c r="L21" i="13" s="1"/>
  <c r="K29" i="13"/>
  <c r="L29" i="13" s="1"/>
  <c r="K37" i="13"/>
  <c r="L37" i="13" s="1"/>
  <c r="K45" i="13"/>
  <c r="L45" i="13" s="1"/>
  <c r="K53" i="13"/>
  <c r="L53" i="13" s="1"/>
  <c r="K61" i="13"/>
  <c r="L61" i="13" s="1"/>
  <c r="K69" i="13"/>
  <c r="L69" i="13" s="1"/>
  <c r="K2" i="13"/>
  <c r="L2" i="13" s="1"/>
  <c r="K70" i="13"/>
  <c r="L70" i="13" s="1"/>
  <c r="K33" i="13"/>
  <c r="L33" i="13" s="1"/>
  <c r="K73" i="13"/>
  <c r="L73" i="13" s="1"/>
  <c r="K5" i="13"/>
  <c r="L5" i="13" s="1"/>
  <c r="K14" i="13"/>
  <c r="L14" i="13" s="1"/>
  <c r="K22" i="13"/>
  <c r="L22" i="13" s="1"/>
  <c r="K30" i="13"/>
  <c r="L30" i="13" s="1"/>
  <c r="K38" i="13"/>
  <c r="L38" i="13" s="1"/>
  <c r="K46" i="13"/>
  <c r="L46" i="13" s="1"/>
  <c r="K54" i="13"/>
  <c r="L54" i="13" s="1"/>
  <c r="K23" i="13"/>
  <c r="L23" i="13" s="1"/>
  <c r="K47" i="13"/>
  <c r="L47" i="13" s="1"/>
  <c r="K17" i="13"/>
  <c r="L17" i="13" s="1"/>
  <c r="K65" i="13"/>
  <c r="L65" i="13" s="1"/>
  <c r="K8" i="13"/>
  <c r="L8" i="13" s="1"/>
  <c r="K16" i="13"/>
  <c r="L16" i="13" s="1"/>
  <c r="K24" i="13"/>
  <c r="L24" i="13" s="1"/>
  <c r="K32" i="13"/>
  <c r="L32" i="13" s="1"/>
  <c r="K40" i="13"/>
  <c r="L40" i="13" s="1"/>
  <c r="K48" i="13"/>
  <c r="L48" i="13" s="1"/>
  <c r="K56" i="13"/>
  <c r="L56" i="13" s="1"/>
  <c r="K64" i="13"/>
  <c r="L64" i="13" s="1"/>
  <c r="K72" i="13"/>
  <c r="L72" i="13" s="1"/>
  <c r="K57" i="13"/>
  <c r="L57" i="13" s="1"/>
  <c r="L76" i="13" l="1"/>
  <c r="R2" i="13"/>
</calcChain>
</file>

<file path=xl/sharedStrings.xml><?xml version="1.0" encoding="utf-8"?>
<sst xmlns="http://schemas.openxmlformats.org/spreadsheetml/2006/main" count="271" uniqueCount="153">
  <si>
    <t>At</t>
  </si>
  <si>
    <t>MAD</t>
  </si>
  <si>
    <t>|E|</t>
  </si>
  <si>
    <t>E</t>
  </si>
  <si>
    <t>Ft</t>
  </si>
  <si>
    <t>Per.</t>
  </si>
  <si>
    <t>Office 1</t>
  </si>
  <si>
    <t>Office 2</t>
  </si>
  <si>
    <t>Office 3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</si>
  <si>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</si>
  <si>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</si>
  <si>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</si>
  <si>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</si>
  <si>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</si>
  <si>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</si>
  <si>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</si>
  <si>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</si>
  <si>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</si>
  <si>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</si>
  <si>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</si>
  <si>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</si>
  <si>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Rg/Mean</t>
  </si>
  <si>
    <t>Skew</t>
  </si>
  <si>
    <t>Do Not Write on these four columns A-D</t>
  </si>
  <si>
    <t>Trend</t>
  </si>
  <si>
    <t>Seas</t>
  </si>
  <si>
    <t>T&amp;RanS</t>
  </si>
  <si>
    <t>Actual</t>
  </si>
  <si>
    <t>Trend&amp;Seas</t>
  </si>
  <si>
    <t>TrendForSEason</t>
  </si>
  <si>
    <t xml:space="preserve">No Trend </t>
  </si>
  <si>
    <t>Day</t>
  </si>
  <si>
    <t>Ft (ES)</t>
  </si>
  <si>
    <t>Generated using columns L to T</t>
  </si>
  <si>
    <t>Fixed Data</t>
  </si>
  <si>
    <t>Std.S</t>
  </si>
  <si>
    <t>(E-MeanE)^2</t>
  </si>
  <si>
    <t>Random</t>
  </si>
  <si>
    <t>Mean -E</t>
  </si>
  <si>
    <t>Sigmma-E</t>
  </si>
  <si>
    <t>Tracking Signal</t>
  </si>
  <si>
    <t>Ft=(1-α)Ft+αAt</t>
  </si>
  <si>
    <t>E=At-Ft</t>
  </si>
  <si>
    <t>MAD= AVE(|E|)</t>
  </si>
  <si>
    <t>SUM(E)/MAD</t>
  </si>
  <si>
    <t>What is your forecast for the next period?</t>
  </si>
  <si>
    <t>What is your standard deviation of forecast for the next period?</t>
  </si>
  <si>
    <t>Draw</t>
  </si>
  <si>
    <t>Actual vs. Forcast</t>
  </si>
  <si>
    <t>graph.</t>
  </si>
  <si>
    <t xml:space="preserve">Use the following data. </t>
  </si>
  <si>
    <t xml:space="preserve">Assume original value of alpha = </t>
  </si>
  <si>
    <t>Compute MAD for all periods including the last period.</t>
  </si>
  <si>
    <t xml:space="preserve">Draw the </t>
  </si>
  <si>
    <t>Using data table find the optimal alpha value to one decimal point.</t>
  </si>
  <si>
    <t>Using solver, find the optimal value of alpha to several decimal points.</t>
  </si>
  <si>
    <t>Compute MAD for all periods including the last period using optimal alpha.</t>
  </si>
  <si>
    <t>What is your forecast for the next period using the optimal alpha?</t>
  </si>
  <si>
    <t>What is your standard deviation of forecast for the next period  using the optimal alpha?</t>
  </si>
  <si>
    <t>alpha</t>
  </si>
  <si>
    <t>AVE</t>
  </si>
  <si>
    <t>F-ES</t>
  </si>
  <si>
    <t>95%CI</t>
  </si>
  <si>
    <t>TS=SFE/MAD</t>
  </si>
  <si>
    <t>SFE</t>
  </si>
  <si>
    <t>MAD=AVE(|E|)</t>
  </si>
  <si>
    <t xml:space="preserve">Tracking Signal </t>
  </si>
  <si>
    <t>Actual vs. Forecast</t>
  </si>
  <si>
    <t>Compute MAD for all periods including the last period using the optimal alpha value.</t>
  </si>
  <si>
    <t>What is the optimal alpha value?</t>
  </si>
  <si>
    <t>Assume original value of alpha = 0.3.</t>
  </si>
  <si>
    <t xml:space="preserve">Use the following data. Prepare a similar graph for  exponential smoothing. </t>
  </si>
  <si>
    <t>E2</t>
  </si>
  <si>
    <t>|E|=|At-Ft|</t>
  </si>
  <si>
    <t>t</t>
  </si>
  <si>
    <t>α=</t>
  </si>
  <si>
    <t>Forecast for next period:</t>
  </si>
  <si>
    <t>σ=</t>
  </si>
  <si>
    <t>µ=</t>
  </si>
  <si>
    <t xml:space="preserve">Assume </t>
  </si>
  <si>
    <t>Compute MAD for all periods.</t>
  </si>
  <si>
    <t>Compute the standard deviation of the forecast for the  next period.</t>
  </si>
  <si>
    <t>What is your forecast for the  next period.</t>
  </si>
  <si>
    <t>Find the best  α vale to three decimal points by using data table.</t>
  </si>
  <si>
    <t>Use conditional formatting for automatic painting of the best α value.</t>
  </si>
  <si>
    <t>Prepare a scatter graph for all periods where both  At and Ft are available.</t>
  </si>
  <si>
    <t>CV=</t>
  </si>
  <si>
    <t>Compute the coefficient of variations of the forecast for the  next period.</t>
  </si>
  <si>
    <t>Given the following small set of data</t>
  </si>
  <si>
    <t>StdDev=</t>
  </si>
  <si>
    <t>Ave=</t>
  </si>
  <si>
    <t>Use conditional formatting to paint the minimum value automatically</t>
  </si>
  <si>
    <t>Find the best alpha value up to 3 decimal points using data table</t>
  </si>
  <si>
    <t>See Column H</t>
  </si>
  <si>
    <t>Compute traking signal for all periods.</t>
  </si>
  <si>
    <t>Compute the average forecast for the  next period.</t>
  </si>
  <si>
    <t>See Column F</t>
  </si>
  <si>
    <t>alpha=</t>
  </si>
  <si>
    <t>n-1</t>
  </si>
  <si>
    <t>n</t>
  </si>
  <si>
    <t>MSE</t>
  </si>
  <si>
    <r>
      <t>E</t>
    </r>
    <r>
      <rPr>
        <vertAlign val="superscript"/>
        <sz val="12"/>
        <color theme="1"/>
        <rFont val="Book Antiqua"/>
        <family val="1"/>
      </rPr>
      <t>2</t>
    </r>
    <r>
      <rPr>
        <sz val="12"/>
        <color theme="1"/>
        <rFont val="Book Antiqua"/>
        <family val="1"/>
      </rPr>
      <t>=(At-Ft)</t>
    </r>
    <r>
      <rPr>
        <vertAlign val="superscript"/>
        <sz val="12"/>
        <color theme="1"/>
        <rFont val="Book Antiqua"/>
        <family val="1"/>
      </rPr>
      <t>2</t>
    </r>
  </si>
  <si>
    <t>Compute MSE for all periods.</t>
  </si>
  <si>
    <t>X Variable 1</t>
  </si>
  <si>
    <t>Intercept</t>
  </si>
  <si>
    <t>Upper 95%</t>
  </si>
  <si>
    <t>Lower 95%</t>
  </si>
  <si>
    <t>P-value</t>
  </si>
  <si>
    <t>t Stat</t>
  </si>
  <si>
    <t>Standard Error</t>
  </si>
  <si>
    <t>Coefficients</t>
  </si>
  <si>
    <t>Total</t>
  </si>
  <si>
    <t>Residual</t>
  </si>
  <si>
    <t>Regression</t>
  </si>
  <si>
    <t>Significance F</t>
  </si>
  <si>
    <t>F</t>
  </si>
  <si>
    <t>MS</t>
  </si>
  <si>
    <t>SS</t>
  </si>
  <si>
    <t>df</t>
  </si>
  <si>
    <t>ANOVA</t>
  </si>
  <si>
    <t>Observations</t>
  </si>
  <si>
    <t>Adjusted R Square</t>
  </si>
  <si>
    <t>Yhat (Reg)</t>
  </si>
  <si>
    <t>R Square</t>
  </si>
  <si>
    <t>Multiple R</t>
  </si>
  <si>
    <t>What are the standard deviation of forecast?</t>
  </si>
  <si>
    <t>Regression Statistics</t>
  </si>
  <si>
    <t>What are your forecasts for period 51?</t>
  </si>
  <si>
    <t>Compute the coefficient of determination.</t>
  </si>
  <si>
    <t>SUMMARY OUTPUT</t>
  </si>
  <si>
    <t>Use excel function to replace as much as of the fixed statistics by dynamic statistics.</t>
  </si>
  <si>
    <t>MAPE</t>
  </si>
  <si>
    <t>|E|/A IFE</t>
  </si>
  <si>
    <t>4. Repeat parts (1) and (2) for MAPE.</t>
  </si>
  <si>
    <t>3. Repeat parts (1) and (2) for MSE.</t>
  </si>
  <si>
    <t>2. Find the Optimal alpha to three decimal points to  minimize MAD using Data Table.</t>
  </si>
  <si>
    <t>1. Find the Optimal alpha to minimize MAD using solver.</t>
  </si>
  <si>
    <t xml:space="preserve">   TS</t>
  </si>
  <si>
    <t xml:space="preserve"> Sum Dev</t>
  </si>
  <si>
    <t>AD</t>
  </si>
  <si>
    <t>Dev</t>
  </si>
  <si>
    <t xml:space="preserve">  Period</t>
  </si>
  <si>
    <t>MAD =</t>
  </si>
  <si>
    <t>Alpha =</t>
  </si>
  <si>
    <t xml:space="preserve">Watch from minute 25 </t>
  </si>
  <si>
    <t xml:space="preserve"> Simple Exponential Smooting Forecast</t>
  </si>
  <si>
    <t>https://youtu.be/A1nCIgYSuw4</t>
  </si>
  <si>
    <t>The lecture is available at</t>
  </si>
  <si>
    <t xml:space="preserve">  MAD</t>
  </si>
  <si>
    <t xml:space="preserve"> Sum Err</t>
  </si>
  <si>
    <t xml:space="preserve"> Abs Err</t>
  </si>
  <si>
    <t>Err</t>
  </si>
  <si>
    <t>SUM(AD)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</si>
</sst>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"/>
  </numFmts>
  <fonts count="3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0"/>
      <name val="Book Antiqua"/>
      <family val="1"/>
    </font>
    <font>
      <sz val="11"/>
      <color rgb="FFFF0000"/>
      <name val="Book Antiqua"/>
      <family val="1"/>
    </font>
    <font>
      <b/>
      <sz val="11"/>
      <color rgb="FF00B050"/>
      <name val="Book Antiqua"/>
      <family val="1"/>
    </font>
    <font>
      <b/>
      <sz val="11"/>
      <color theme="4" tint="-0.499984740745262"/>
      <name val="Book Antiqua"/>
      <family val="1"/>
    </font>
    <font>
      <b/>
      <sz val="11"/>
      <color rgb="FFFF000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5" tint="-0.499984740745262"/>
      <name val="Book Antiqua"/>
      <family val="1"/>
    </font>
    <font>
      <sz val="11"/>
      <color rgb="FF7030A0"/>
      <name val="Book Antiqua"/>
      <family val="1"/>
    </font>
    <font>
      <sz val="11"/>
      <name val="Book Antiqua"/>
      <family val="1"/>
    </font>
    <font>
      <b/>
      <sz val="11"/>
      <color rgb="FFC00000"/>
      <name val="Calibri"/>
      <family val="2"/>
    </font>
    <font>
      <b/>
      <sz val="11"/>
      <color rgb="FFC00000"/>
      <name val="Book Antiqua"/>
      <family val="1"/>
    </font>
    <font>
      <vertAlign val="superscript"/>
      <sz val="12"/>
      <color theme="1"/>
      <name val="Book Antiqua"/>
      <family val="1"/>
    </font>
    <font>
      <i/>
      <sz val="11"/>
      <color theme="1"/>
      <name val="Calibri"/>
      <family val="2"/>
      <scheme val="minor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00B050"/>
      <name val="Book Antiqua"/>
      <family val="1"/>
    </font>
    <font>
      <b/>
      <sz val="12"/>
      <color rgb="FFC00000"/>
      <name val="Book Antiqua"/>
      <family val="1"/>
    </font>
    <font>
      <sz val="11"/>
      <color rgb="FF9C65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206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30" fillId="17" borderId="0" applyNumberFormat="0" applyBorder="0" applyAlignment="0" applyProtection="0"/>
  </cellStyleXfs>
  <cellXfs count="255">
    <xf numFmtId="0" fontId="0" fillId="0" borderId="0" xfId="0"/>
    <xf numFmtId="0" fontId="0" fillId="0" borderId="0" xfId="0" applyAlignment="1">
      <alignment horizontal="center"/>
    </xf>
    <xf numFmtId="0" fontId="6" fillId="0" borderId="0" xfId="2" applyFont="1" applyAlignment="1">
      <alignment horizontal="left"/>
    </xf>
    <xf numFmtId="0" fontId="6" fillId="0" borderId="0" xfId="2"/>
    <xf numFmtId="0" fontId="7" fillId="0" borderId="0" xfId="2" applyFont="1" applyAlignment="1">
      <alignment horizontal="center"/>
    </xf>
    <xf numFmtId="0" fontId="6" fillId="0" borderId="2" xfId="2" applyBorder="1" applyAlignment="1">
      <alignment horizontal="center"/>
    </xf>
    <xf numFmtId="1" fontId="6" fillId="0" borderId="13" xfId="2" applyNumberFormat="1" applyFill="1" applyBorder="1" applyAlignment="1">
      <alignment horizontal="center"/>
    </xf>
    <xf numFmtId="1" fontId="6" fillId="0" borderId="13" xfId="2" applyNumberFormat="1" applyBorder="1" applyAlignment="1">
      <alignment horizontal="center"/>
    </xf>
    <xf numFmtId="1" fontId="6" fillId="0" borderId="8" xfId="2" applyNumberFormat="1" applyBorder="1" applyAlignment="1">
      <alignment horizontal="center"/>
    </xf>
    <xf numFmtId="2" fontId="6" fillId="0" borderId="13" xfId="2" applyNumberFormat="1" applyBorder="1" applyAlignment="1">
      <alignment horizontal="center"/>
    </xf>
    <xf numFmtId="2" fontId="6" fillId="0" borderId="3" xfId="2" applyNumberFormat="1" applyBorder="1" applyAlignment="1">
      <alignment horizontal="center"/>
    </xf>
    <xf numFmtId="0" fontId="8" fillId="4" borderId="2" xfId="2" applyFont="1" applyFill="1" applyBorder="1"/>
    <xf numFmtId="164" fontId="8" fillId="4" borderId="13" xfId="2" applyNumberFormat="1" applyFont="1" applyFill="1" applyBorder="1"/>
    <xf numFmtId="164" fontId="8" fillId="4" borderId="3" xfId="2" applyNumberFormat="1" applyFont="1" applyFill="1" applyBorder="1"/>
    <xf numFmtId="0" fontId="6" fillId="0" borderId="0" xfId="2" applyAlignment="1">
      <alignment horizontal="left"/>
    </xf>
    <xf numFmtId="1" fontId="6" fillId="0" borderId="2" xfId="2" applyNumberFormat="1" applyBorder="1"/>
    <xf numFmtId="1" fontId="6" fillId="0" borderId="13" xfId="2" applyNumberFormat="1" applyBorder="1"/>
    <xf numFmtId="1" fontId="6" fillId="0" borderId="3" xfId="2" applyNumberFormat="1" applyBorder="1"/>
    <xf numFmtId="0" fontId="6" fillId="0" borderId="4" xfId="2" applyBorder="1" applyAlignment="1">
      <alignment horizontal="center"/>
    </xf>
    <xf numFmtId="1" fontId="6" fillId="0" borderId="0" xfId="2" applyNumberFormat="1" applyBorder="1" applyAlignment="1">
      <alignment horizontal="center"/>
    </xf>
    <xf numFmtId="2" fontId="6" fillId="0" borderId="0" xfId="2" applyNumberFormat="1" applyBorder="1" applyAlignment="1">
      <alignment horizontal="center"/>
    </xf>
    <xf numFmtId="2" fontId="6" fillId="0" borderId="5" xfId="2" applyNumberFormat="1" applyBorder="1" applyAlignment="1">
      <alignment horizontal="center"/>
    </xf>
    <xf numFmtId="0" fontId="8" fillId="4" borderId="4" xfId="2" applyFont="1" applyFill="1" applyBorder="1"/>
    <xf numFmtId="164" fontId="8" fillId="4" borderId="0" xfId="2" applyNumberFormat="1" applyFont="1" applyFill="1" applyBorder="1"/>
    <xf numFmtId="164" fontId="8" fillId="4" borderId="5" xfId="2" applyNumberFormat="1" applyFont="1" applyFill="1" applyBorder="1"/>
    <xf numFmtId="1" fontId="6" fillId="0" borderId="4" xfId="2" applyNumberFormat="1" applyBorder="1"/>
    <xf numFmtId="1" fontId="6" fillId="0" borderId="0" xfId="2" applyNumberFormat="1" applyBorder="1"/>
    <xf numFmtId="1" fontId="6" fillId="0" borderId="5" xfId="2" applyNumberFormat="1" applyBorder="1"/>
    <xf numFmtId="0" fontId="8" fillId="4" borderId="6" xfId="2" applyFont="1" applyFill="1" applyBorder="1"/>
    <xf numFmtId="164" fontId="8" fillId="4" borderId="14" xfId="2" applyNumberFormat="1" applyFont="1" applyFill="1" applyBorder="1"/>
    <xf numFmtId="164" fontId="8" fillId="4" borderId="7" xfId="2" applyNumberFormat="1" applyFont="1" applyFill="1" applyBorder="1"/>
    <xf numFmtId="0" fontId="6" fillId="0" borderId="6" xfId="2" applyBorder="1" applyAlignment="1">
      <alignment horizontal="center"/>
    </xf>
    <xf numFmtId="1" fontId="6" fillId="0" borderId="14" xfId="2" applyNumberFormat="1" applyBorder="1" applyAlignment="1">
      <alignment horizontal="center"/>
    </xf>
    <xf numFmtId="1" fontId="6" fillId="0" borderId="1" xfId="2" applyNumberFormat="1" applyBorder="1" applyAlignment="1">
      <alignment horizontal="center"/>
    </xf>
    <xf numFmtId="2" fontId="6" fillId="0" borderId="14" xfId="2" applyNumberFormat="1" applyBorder="1" applyAlignment="1">
      <alignment horizontal="center"/>
    </xf>
    <xf numFmtId="2" fontId="6" fillId="0" borderId="7" xfId="2" applyNumberFormat="1" applyBorder="1" applyAlignment="1">
      <alignment horizontal="center"/>
    </xf>
    <xf numFmtId="0" fontId="6" fillId="0" borderId="0" xfId="2" applyAlignment="1">
      <alignment horizontal="center"/>
    </xf>
    <xf numFmtId="0" fontId="6" fillId="0" borderId="0" xfId="2" applyFont="1"/>
    <xf numFmtId="0" fontId="9" fillId="4" borderId="0" xfId="1" applyFont="1" applyFill="1"/>
    <xf numFmtId="0" fontId="4" fillId="4" borderId="0" xfId="1" applyFont="1" applyFill="1" applyAlignment="1">
      <alignment horizontal="right"/>
    </xf>
    <xf numFmtId="0" fontId="4" fillId="4" borderId="0" xfId="1" applyFill="1" applyAlignment="1">
      <alignment horizontal="left"/>
    </xf>
    <xf numFmtId="0" fontId="4" fillId="0" borderId="0" xfId="1"/>
    <xf numFmtId="0" fontId="4" fillId="0" borderId="0" xfId="1" applyFont="1"/>
    <xf numFmtId="0" fontId="5" fillId="0" borderId="0" xfId="1" applyFont="1"/>
    <xf numFmtId="0" fontId="4" fillId="5" borderId="0" xfId="1" applyFill="1"/>
    <xf numFmtId="0" fontId="4" fillId="5" borderId="0" xfId="1" applyFont="1" applyFill="1"/>
    <xf numFmtId="0" fontId="4" fillId="0" borderId="10" xfId="1" applyFont="1" applyBorder="1" applyAlignment="1">
      <alignment horizontal="left"/>
    </xf>
    <xf numFmtId="0" fontId="4" fillId="6" borderId="12" xfId="1" applyFont="1" applyFill="1" applyBorder="1" applyAlignment="1">
      <alignment horizontal="center"/>
    </xf>
    <xf numFmtId="0" fontId="6" fillId="0" borderId="0" xfId="3"/>
    <xf numFmtId="0" fontId="4" fillId="0" borderId="0" xfId="1" applyAlignment="1">
      <alignment horizontal="left"/>
    </xf>
    <xf numFmtId="0" fontId="4" fillId="3" borderId="0" xfId="1" applyFill="1" applyAlignment="1">
      <alignment horizontal="center"/>
    </xf>
    <xf numFmtId="0" fontId="4" fillId="6" borderId="0" xfId="1" applyFill="1" applyAlignment="1">
      <alignment horizontal="center"/>
    </xf>
    <xf numFmtId="0" fontId="4" fillId="7" borderId="0" xfId="1" applyFill="1" applyAlignment="1">
      <alignment horizontal="center"/>
    </xf>
    <xf numFmtId="0" fontId="4" fillId="0" borderId="0" xfId="4"/>
    <xf numFmtId="0" fontId="4" fillId="0" borderId="0" xfId="1" applyFill="1" applyAlignment="1">
      <alignment horizontal="center"/>
    </xf>
    <xf numFmtId="0" fontId="6" fillId="0" borderId="0" xfId="2" applyFill="1"/>
    <xf numFmtId="0" fontId="6" fillId="0" borderId="0" xfId="2" applyFont="1" applyFill="1"/>
    <xf numFmtId="0" fontId="0" fillId="7" borderId="11" xfId="1" applyFont="1" applyFill="1" applyBorder="1" applyAlignment="1">
      <alignment horizontal="center"/>
    </xf>
    <xf numFmtId="0" fontId="0" fillId="5" borderId="0" xfId="1" applyFont="1" applyFill="1"/>
    <xf numFmtId="0" fontId="0" fillId="0" borderId="0" xfId="1" applyFont="1"/>
    <xf numFmtId="0" fontId="0" fillId="3" borderId="12" xfId="1" applyFont="1" applyFill="1" applyBorder="1" applyAlignment="1">
      <alignment horizontal="center"/>
    </xf>
    <xf numFmtId="0" fontId="0" fillId="0" borderId="0" xfId="0" applyFill="1"/>
    <xf numFmtId="165" fontId="9" fillId="9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11" fillId="10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164" fontId="9" fillId="3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164" fontId="3" fillId="11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15" fillId="10" borderId="0" xfId="0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0" fontId="10" fillId="0" borderId="0" xfId="0" applyFont="1" applyBorder="1" applyAlignment="1">
      <alignment horizontal="left"/>
    </xf>
    <xf numFmtId="2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Fill="1"/>
    <xf numFmtId="165" fontId="18" fillId="0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4" fillId="11" borderId="1" xfId="0" applyNumberFormat="1" applyFont="1" applyFill="1" applyBorder="1" applyAlignment="1">
      <alignment horizontal="center"/>
    </xf>
    <xf numFmtId="164" fontId="19" fillId="7" borderId="0" xfId="0" applyNumberFormat="1" applyFont="1" applyFill="1" applyAlignment="1">
      <alignment horizontal="center"/>
    </xf>
    <xf numFmtId="164" fontId="13" fillId="6" borderId="0" xfId="0" applyNumberFormat="1" applyFont="1" applyFill="1" applyAlignment="1">
      <alignment horizontal="center"/>
    </xf>
    <xf numFmtId="0" fontId="20" fillId="12" borderId="0" xfId="0" applyFont="1" applyFill="1" applyBorder="1" applyAlignment="1">
      <alignment horizontal="center"/>
    </xf>
    <xf numFmtId="0" fontId="20" fillId="12" borderId="0" xfId="0" applyFont="1" applyFill="1"/>
    <xf numFmtId="2" fontId="20" fillId="12" borderId="0" xfId="0" applyNumberFormat="1" applyFont="1" applyFill="1" applyAlignment="1">
      <alignment horizontal="center"/>
    </xf>
    <xf numFmtId="164" fontId="10" fillId="0" borderId="0" xfId="0" applyNumberFormat="1" applyFont="1"/>
    <xf numFmtId="164" fontId="12" fillId="2" borderId="8" xfId="0" applyNumberFormat="1" applyFont="1" applyFill="1" applyBorder="1" applyAlignment="1">
      <alignment horizontal="center"/>
    </xf>
    <xf numFmtId="164" fontId="12" fillId="2" borderId="9" xfId="0" applyNumberFormat="1" applyFont="1" applyFill="1" applyBorder="1" applyAlignment="1">
      <alignment horizontal="center"/>
    </xf>
    <xf numFmtId="164" fontId="12" fillId="2" borderId="15" xfId="0" applyNumberFormat="1" applyFont="1" applyFill="1" applyBorder="1" applyAlignment="1">
      <alignment horizontal="center"/>
    </xf>
    <xf numFmtId="0" fontId="15" fillId="10" borderId="9" xfId="0" applyFont="1" applyFill="1" applyBorder="1" applyAlignment="1">
      <alignment horizontal="center"/>
    </xf>
    <xf numFmtId="0" fontId="15" fillId="10" borderId="15" xfId="0" applyFont="1" applyFill="1" applyBorder="1" applyAlignment="1">
      <alignment horizontal="center"/>
    </xf>
    <xf numFmtId="164" fontId="19" fillId="7" borderId="9" xfId="0" applyNumberFormat="1" applyFont="1" applyFill="1" applyBorder="1" applyAlignment="1">
      <alignment horizontal="center"/>
    </xf>
    <xf numFmtId="164" fontId="19" fillId="7" borderId="15" xfId="0" applyNumberFormat="1" applyFont="1" applyFill="1" applyBorder="1" applyAlignment="1">
      <alignment horizontal="center"/>
    </xf>
    <xf numFmtId="164" fontId="19" fillId="7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6" fillId="3" borderId="9" xfId="0" applyNumberFormat="1" applyFont="1" applyFill="1" applyBorder="1" applyAlignment="1">
      <alignment horizontal="center"/>
    </xf>
    <xf numFmtId="164" fontId="16" fillId="3" borderId="15" xfId="0" applyNumberFormat="1" applyFont="1" applyFill="1" applyBorder="1" applyAlignment="1">
      <alignment horizontal="center"/>
    </xf>
    <xf numFmtId="164" fontId="13" fillId="6" borderId="9" xfId="0" applyNumberFormat="1" applyFont="1" applyFill="1" applyBorder="1" applyAlignment="1">
      <alignment horizontal="center"/>
    </xf>
    <xf numFmtId="164" fontId="13" fillId="6" borderId="15" xfId="0" applyNumberFormat="1" applyFont="1" applyFill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20" fillId="12" borderId="1" xfId="0" applyFont="1" applyFill="1" applyBorder="1" applyAlignment="1">
      <alignment horizontal="center"/>
    </xf>
    <xf numFmtId="0" fontId="20" fillId="12" borderId="9" xfId="0" applyFont="1" applyFill="1" applyBorder="1"/>
    <xf numFmtId="2" fontId="20" fillId="12" borderId="9" xfId="0" applyNumberFormat="1" applyFont="1" applyFill="1" applyBorder="1" applyAlignment="1">
      <alignment horizontal="center"/>
    </xf>
    <xf numFmtId="2" fontId="20" fillId="12" borderId="15" xfId="0" applyNumberFormat="1" applyFont="1" applyFill="1" applyBorder="1" applyAlignment="1">
      <alignment horizontal="center"/>
    </xf>
    <xf numFmtId="0" fontId="10" fillId="0" borderId="0" xfId="0" applyFont="1" applyFill="1"/>
    <xf numFmtId="164" fontId="17" fillId="0" borderId="0" xfId="0" applyNumberFormat="1" applyFon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164" fontId="18" fillId="4" borderId="1" xfId="0" applyNumberFormat="1" applyFont="1" applyFill="1" applyBorder="1" applyAlignment="1">
      <alignment horizontal="center"/>
    </xf>
    <xf numFmtId="2" fontId="18" fillId="4" borderId="1" xfId="0" applyNumberFormat="1" applyFont="1" applyFill="1" applyBorder="1" applyAlignment="1">
      <alignment horizontal="center"/>
    </xf>
    <xf numFmtId="0" fontId="21" fillId="0" borderId="10" xfId="2" applyFont="1" applyBorder="1" applyAlignment="1">
      <alignment horizontal="left"/>
    </xf>
    <xf numFmtId="1" fontId="12" fillId="2" borderId="12" xfId="2" applyNumberFormat="1" applyFont="1" applyFill="1" applyBorder="1" applyAlignment="1">
      <alignment horizontal="left"/>
    </xf>
    <xf numFmtId="1" fontId="12" fillId="13" borderId="11" xfId="2" applyNumberFormat="1" applyFont="1" applyFill="1" applyBorder="1" applyAlignment="1">
      <alignment horizontal="left"/>
    </xf>
    <xf numFmtId="0" fontId="12" fillId="15" borderId="12" xfId="2" applyFont="1" applyFill="1" applyBorder="1" applyAlignment="1">
      <alignment horizontal="left"/>
    </xf>
    <xf numFmtId="0" fontId="21" fillId="7" borderId="12" xfId="2" applyFont="1" applyFill="1" applyBorder="1" applyAlignment="1">
      <alignment horizontal="left"/>
    </xf>
    <xf numFmtId="0" fontId="21" fillId="10" borderId="10" xfId="2" applyFont="1" applyFill="1" applyBorder="1" applyAlignment="1">
      <alignment horizontal="left"/>
    </xf>
    <xf numFmtId="0" fontId="21" fillId="10" borderId="11" xfId="2" applyFont="1" applyFill="1" applyBorder="1" applyAlignment="1">
      <alignment horizontal="left"/>
    </xf>
    <xf numFmtId="0" fontId="21" fillId="14" borderId="10" xfId="2" applyFont="1" applyFill="1" applyBorder="1" applyAlignment="1">
      <alignment horizontal="left"/>
    </xf>
    <xf numFmtId="0" fontId="21" fillId="14" borderId="11" xfId="2" applyFont="1" applyFill="1" applyBorder="1" applyAlignment="1">
      <alignment horizontal="left"/>
    </xf>
    <xf numFmtId="0" fontId="21" fillId="11" borderId="10" xfId="2" applyFont="1" applyFill="1" applyBorder="1" applyAlignment="1">
      <alignment horizontal="left"/>
    </xf>
    <xf numFmtId="0" fontId="21" fillId="11" borderId="11" xfId="2" applyFont="1" applyFill="1" applyBorder="1" applyAlignment="1">
      <alignment horizontal="left"/>
    </xf>
    <xf numFmtId="0" fontId="21" fillId="11" borderId="1" xfId="2" applyFont="1" applyFill="1" applyBorder="1" applyAlignment="1">
      <alignment horizontal="left"/>
    </xf>
    <xf numFmtId="0" fontId="21" fillId="0" borderId="0" xfId="2" applyFont="1"/>
    <xf numFmtId="166" fontId="12" fillId="8" borderId="0" xfId="2" applyNumberFormat="1" applyFont="1" applyFill="1"/>
    <xf numFmtId="0" fontId="21" fillId="11" borderId="0" xfId="2" applyFont="1" applyFill="1" applyAlignment="1">
      <alignment horizontal="center"/>
    </xf>
    <xf numFmtId="164" fontId="21" fillId="11" borderId="0" xfId="2" applyNumberFormat="1" applyFont="1" applyFill="1" applyAlignment="1">
      <alignment horizontal="center"/>
    </xf>
    <xf numFmtId="164" fontId="21" fillId="7" borderId="0" xfId="2" applyNumberFormat="1" applyFont="1" applyFill="1" applyAlignment="1">
      <alignment horizontal="center"/>
    </xf>
    <xf numFmtId="164" fontId="21" fillId="7" borderId="0" xfId="2" applyNumberFormat="1" applyFont="1" applyFill="1"/>
    <xf numFmtId="0" fontId="21" fillId="0" borderId="4" xfId="2" applyFont="1" applyBorder="1" applyAlignment="1">
      <alignment horizontal="left"/>
    </xf>
    <xf numFmtId="164" fontId="12" fillId="2" borderId="0" xfId="2" applyNumberFormat="1" applyFont="1" applyFill="1" applyBorder="1" applyAlignment="1">
      <alignment horizontal="left"/>
    </xf>
    <xf numFmtId="164" fontId="12" fillId="13" borderId="5" xfId="2" applyNumberFormat="1" applyFont="1" applyFill="1" applyBorder="1" applyAlignment="1">
      <alignment horizontal="left"/>
    </xf>
    <xf numFmtId="164" fontId="12" fillId="15" borderId="0" xfId="2" applyNumberFormat="1" applyFont="1" applyFill="1" applyAlignment="1">
      <alignment horizontal="left"/>
    </xf>
    <xf numFmtId="164" fontId="21" fillId="7" borderId="0" xfId="2" applyNumberFormat="1" applyFont="1" applyFill="1" applyAlignment="1">
      <alignment horizontal="left"/>
    </xf>
    <xf numFmtId="164" fontId="21" fillId="10" borderId="4" xfId="2" applyNumberFormat="1" applyFont="1" applyFill="1" applyBorder="1" applyAlignment="1">
      <alignment horizontal="left"/>
    </xf>
    <xf numFmtId="164" fontId="21" fillId="10" borderId="5" xfId="2" applyNumberFormat="1" applyFont="1" applyFill="1" applyBorder="1" applyAlignment="1">
      <alignment horizontal="left"/>
    </xf>
    <xf numFmtId="164" fontId="21" fillId="14" borderId="4" xfId="2" applyNumberFormat="1" applyFont="1" applyFill="1" applyBorder="1" applyAlignment="1">
      <alignment horizontal="left"/>
    </xf>
    <xf numFmtId="164" fontId="21" fillId="14" borderId="5" xfId="2" applyNumberFormat="1" applyFont="1" applyFill="1" applyBorder="1" applyAlignment="1">
      <alignment horizontal="left"/>
    </xf>
    <xf numFmtId="164" fontId="21" fillId="11" borderId="4" xfId="2" applyNumberFormat="1" applyFont="1" applyFill="1" applyBorder="1" applyAlignment="1">
      <alignment horizontal="left"/>
    </xf>
    <xf numFmtId="164" fontId="21" fillId="11" borderId="5" xfId="2" applyNumberFormat="1" applyFont="1" applyFill="1" applyBorder="1" applyAlignment="1">
      <alignment horizontal="left"/>
    </xf>
    <xf numFmtId="164" fontId="21" fillId="11" borderId="9" xfId="2" applyNumberFormat="1" applyFont="1" applyFill="1" applyBorder="1" applyAlignment="1">
      <alignment horizontal="left"/>
    </xf>
    <xf numFmtId="164" fontId="21" fillId="0" borderId="0" xfId="2" applyNumberFormat="1" applyFont="1"/>
    <xf numFmtId="164" fontId="12" fillId="8" borderId="0" xfId="2" applyNumberFormat="1" applyFont="1" applyFill="1"/>
    <xf numFmtId="1" fontId="21" fillId="0" borderId="0" xfId="2" applyNumberFormat="1" applyFont="1"/>
    <xf numFmtId="0" fontId="21" fillId="0" borderId="6" xfId="2" applyFont="1" applyBorder="1" applyAlignment="1">
      <alignment horizontal="left"/>
    </xf>
    <xf numFmtId="164" fontId="12" fillId="2" borderId="14" xfId="2" applyNumberFormat="1" applyFont="1" applyFill="1" applyBorder="1" applyAlignment="1">
      <alignment horizontal="left"/>
    </xf>
    <xf numFmtId="164" fontId="12" fillId="13" borderId="7" xfId="2" applyNumberFormat="1" applyFont="1" applyFill="1" applyBorder="1" applyAlignment="1">
      <alignment horizontal="left"/>
    </xf>
    <xf numFmtId="164" fontId="21" fillId="10" borderId="6" xfId="2" applyNumberFormat="1" applyFont="1" applyFill="1" applyBorder="1" applyAlignment="1">
      <alignment horizontal="left"/>
    </xf>
    <xf numFmtId="164" fontId="21" fillId="10" borderId="7" xfId="2" applyNumberFormat="1" applyFont="1" applyFill="1" applyBorder="1" applyAlignment="1">
      <alignment horizontal="left"/>
    </xf>
    <xf numFmtId="164" fontId="21" fillId="14" borderId="6" xfId="2" applyNumberFormat="1" applyFont="1" applyFill="1" applyBorder="1" applyAlignment="1">
      <alignment horizontal="left"/>
    </xf>
    <xf numFmtId="164" fontId="21" fillId="14" borderId="7" xfId="2" applyNumberFormat="1" applyFont="1" applyFill="1" applyBorder="1" applyAlignment="1">
      <alignment horizontal="left"/>
    </xf>
    <xf numFmtId="164" fontId="21" fillId="11" borderId="6" xfId="2" applyNumberFormat="1" applyFont="1" applyFill="1" applyBorder="1" applyAlignment="1">
      <alignment horizontal="left"/>
    </xf>
    <xf numFmtId="164" fontId="21" fillId="11" borderId="7" xfId="2" applyNumberFormat="1" applyFont="1" applyFill="1" applyBorder="1" applyAlignment="1">
      <alignment horizontal="left"/>
    </xf>
    <xf numFmtId="164" fontId="21" fillId="11" borderId="15" xfId="2" applyNumberFormat="1" applyFont="1" applyFill="1" applyBorder="1" applyAlignment="1">
      <alignment horizontal="left"/>
    </xf>
    <xf numFmtId="0" fontId="21" fillId="0" borderId="0" xfId="2" applyFont="1" applyAlignment="1">
      <alignment horizontal="left"/>
    </xf>
    <xf numFmtId="164" fontId="21" fillId="0" borderId="0" xfId="2" applyNumberFormat="1" applyFont="1" applyAlignment="1">
      <alignment horizontal="center"/>
    </xf>
    <xf numFmtId="2" fontId="10" fillId="0" borderId="0" xfId="0" applyNumberFormat="1" applyFont="1"/>
    <xf numFmtId="0" fontId="10" fillId="0" borderId="0" xfId="0" applyFont="1" applyAlignment="1">
      <alignment horizontal="right"/>
    </xf>
    <xf numFmtId="2" fontId="10" fillId="0" borderId="1" xfId="0" applyNumberFormat="1" applyFont="1" applyBorder="1"/>
    <xf numFmtId="164" fontId="10" fillId="0" borderId="1" xfId="0" applyNumberFormat="1" applyFont="1" applyBorder="1"/>
    <xf numFmtId="0" fontId="22" fillId="0" borderId="0" xfId="0" applyFont="1" applyAlignment="1">
      <alignment horizontal="right"/>
    </xf>
    <xf numFmtId="164" fontId="23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right"/>
    </xf>
    <xf numFmtId="0" fontId="23" fillId="0" borderId="0" xfId="0" applyFont="1"/>
    <xf numFmtId="0" fontId="10" fillId="0" borderId="1" xfId="0" applyFont="1" applyBorder="1" applyAlignment="1">
      <alignment horizontal="left"/>
    </xf>
    <xf numFmtId="164" fontId="17" fillId="4" borderId="1" xfId="0" applyNumberFormat="1" applyFont="1" applyFill="1" applyBorder="1"/>
    <xf numFmtId="164" fontId="17" fillId="0" borderId="0" xfId="0" applyNumberFormat="1" applyFont="1" applyFill="1" applyBorder="1"/>
    <xf numFmtId="165" fontId="10" fillId="0" borderId="0" xfId="0" applyNumberFormat="1" applyFont="1" applyAlignment="1">
      <alignment horizontal="left"/>
    </xf>
    <xf numFmtId="0" fontId="10" fillId="0" borderId="2" xfId="0" applyFont="1" applyBorder="1"/>
    <xf numFmtId="0" fontId="10" fillId="0" borderId="4" xfId="0" applyFont="1" applyBorder="1"/>
    <xf numFmtId="0" fontId="10" fillId="0" borderId="6" xfId="0" applyFont="1" applyBorder="1"/>
    <xf numFmtId="2" fontId="10" fillId="0" borderId="8" xfId="0" applyNumberFormat="1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5" xfId="0" applyFont="1" applyBorder="1"/>
    <xf numFmtId="0" fontId="10" fillId="0" borderId="10" xfId="0" applyFont="1" applyBorder="1"/>
    <xf numFmtId="0" fontId="10" fillId="0" borderId="1" xfId="0" applyFont="1" applyBorder="1"/>
    <xf numFmtId="2" fontId="17" fillId="4" borderId="1" xfId="0" applyNumberFormat="1" applyFont="1" applyFill="1" applyBorder="1"/>
    <xf numFmtId="164" fontId="17" fillId="4" borderId="1" xfId="0" applyNumberFormat="1" applyFont="1" applyFill="1" applyBorder="1" applyAlignment="1">
      <alignment horizontal="center"/>
    </xf>
    <xf numFmtId="164" fontId="17" fillId="4" borderId="1" xfId="0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7" fillId="0" borderId="0" xfId="0" applyFont="1" applyAlignment="1">
      <alignment horizontal="right"/>
    </xf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0" fillId="16" borderId="9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4" borderId="1" xfId="0" applyNumberFormat="1" applyFill="1" applyBorder="1" applyAlignment="1">
      <alignment horizontal="center"/>
    </xf>
    <xf numFmtId="0" fontId="0" fillId="0" borderId="0" xfId="0" applyFill="1" applyBorder="1" applyAlignment="1"/>
    <xf numFmtId="0" fontId="25" fillId="0" borderId="16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Continuous"/>
    </xf>
    <xf numFmtId="0" fontId="26" fillId="0" borderId="0" xfId="0" applyFont="1" applyAlignment="1">
      <alignment horizontal="center"/>
    </xf>
    <xf numFmtId="164" fontId="26" fillId="0" borderId="0" xfId="0" applyNumberFormat="1" applyFont="1" applyAlignment="1">
      <alignment horizontal="center"/>
    </xf>
    <xf numFmtId="164" fontId="17" fillId="0" borderId="0" xfId="0" applyNumberFormat="1" applyFont="1"/>
    <xf numFmtId="164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164" fontId="0" fillId="0" borderId="0" xfId="0" applyNumberFormat="1"/>
    <xf numFmtId="164" fontId="29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left"/>
    </xf>
    <xf numFmtId="1" fontId="7" fillId="0" borderId="0" xfId="0" applyNumberFormat="1" applyFont="1"/>
    <xf numFmtId="1" fontId="0" fillId="0" borderId="0" xfId="0" applyNumberFormat="1"/>
    <xf numFmtId="165" fontId="30" fillId="17" borderId="15" xfId="5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30" fillId="17" borderId="15" xfId="5" applyNumberFormat="1" applyBorder="1" applyAlignment="1">
      <alignment horizontal="center"/>
    </xf>
    <xf numFmtId="1" fontId="31" fillId="0" borderId="14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30" fillId="17" borderId="9" xfId="5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30" fillId="17" borderId="9" xfId="5" applyNumberFormat="1" applyBorder="1" applyAlignment="1">
      <alignment horizontal="center"/>
    </xf>
    <xf numFmtId="1" fontId="3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65" fontId="30" fillId="17" borderId="8" xfId="5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30" fillId="17" borderId="8" xfId="5" applyNumberForma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0" fillId="17" borderId="8" xfId="5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0" applyNumberFormat="1"/>
    <xf numFmtId="0" fontId="32" fillId="0" borderId="0" xfId="0" applyFont="1"/>
    <xf numFmtId="0" fontId="7" fillId="0" borderId="0" xfId="0" applyFont="1"/>
    <xf numFmtId="165" fontId="33" fillId="0" borderId="7" xfId="0" applyNumberFormat="1" applyFont="1" applyBorder="1" applyAlignment="1">
      <alignment horizontal="center"/>
    </xf>
    <xf numFmtId="164" fontId="34" fillId="0" borderId="14" xfId="0" applyNumberFormat="1" applyFont="1" applyBorder="1" applyAlignment="1">
      <alignment horizontal="center"/>
    </xf>
    <xf numFmtId="165" fontId="33" fillId="0" borderId="5" xfId="0" applyNumberFormat="1" applyFont="1" applyBorder="1" applyAlignment="1">
      <alignment horizontal="center"/>
    </xf>
    <xf numFmtId="164" fontId="34" fillId="0" borderId="0" xfId="0" applyNumberFormat="1" applyFont="1" applyAlignment="1">
      <alignment horizontal="center"/>
    </xf>
    <xf numFmtId="165" fontId="33" fillId="0" borderId="3" xfId="0" applyNumberFormat="1" applyFont="1" applyBorder="1" applyAlignment="1">
      <alignment horizontal="center"/>
    </xf>
    <xf numFmtId="164" fontId="34" fillId="0" borderId="1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</cellXfs>
  <cellStyles count="6">
    <cellStyle name="Neutral 2" xfId="5" xr:uid="{4FDE4C2D-9CF6-4266-83F6-26EC3A2094BB}"/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  <border>
        <vertical/>
        <horizontal/>
      </border>
    </dxf>
    <dxf>
      <border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ED7D31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'1.Expo'!$P$1</c:f>
          <c:strCache>
            <c:ptCount val="1"/>
            <c:pt idx="0">
              <c:v>At vs 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'1.Expo'!$A$9:$A$20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'1.Expo'!$B$9:$B$20</c:f>
              <c:numCache>
                <c:formatCode>General</c:formatCode>
                <c:ptCount val="12"/>
                <c:pt idx="0">
                  <c:v>323</c:v>
                </c:pt>
                <c:pt idx="1">
                  <c:v>1098</c:v>
                </c:pt>
                <c:pt idx="2">
                  <c:v>588</c:v>
                </c:pt>
                <c:pt idx="3">
                  <c:v>329</c:v>
                </c:pt>
                <c:pt idx="4">
                  <c:v>495</c:v>
                </c:pt>
                <c:pt idx="5">
                  <c:v>391</c:v>
                </c:pt>
                <c:pt idx="6">
                  <c:v>487</c:v>
                </c:pt>
                <c:pt idx="7">
                  <c:v>552</c:v>
                </c:pt>
                <c:pt idx="8">
                  <c:v>485</c:v>
                </c:pt>
                <c:pt idx="9">
                  <c:v>741</c:v>
                </c:pt>
                <c:pt idx="10">
                  <c:v>495</c:v>
                </c:pt>
                <c:pt idx="11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F5-4D6A-9E83-DA6F68CA1A6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'1.Expo'!$A$9:$A$20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'1.Expo'!$C$9:$C$20</c:f>
              <c:numCache>
                <c:formatCode>0.0</c:formatCode>
                <c:ptCount val="12"/>
                <c:pt idx="0">
                  <c:v>323</c:v>
                </c:pt>
                <c:pt idx="1">
                  <c:v>323</c:v>
                </c:pt>
                <c:pt idx="2">
                  <c:v>633</c:v>
                </c:pt>
                <c:pt idx="3">
                  <c:v>615</c:v>
                </c:pt>
                <c:pt idx="4">
                  <c:v>500.6</c:v>
                </c:pt>
                <c:pt idx="5">
                  <c:v>498.36</c:v>
                </c:pt>
                <c:pt idx="6">
                  <c:v>455.41600000000005</c:v>
                </c:pt>
                <c:pt idx="7">
                  <c:v>468.04960000000005</c:v>
                </c:pt>
                <c:pt idx="8">
                  <c:v>501.62976000000003</c:v>
                </c:pt>
                <c:pt idx="9">
                  <c:v>494.97785600000003</c:v>
                </c:pt>
                <c:pt idx="10">
                  <c:v>593.38671360000012</c:v>
                </c:pt>
                <c:pt idx="11">
                  <c:v>554.03202815999998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F5-4D6A-9E83-DA6F68CA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18760"/>
        <c:axId val="730219152"/>
      </c:scatterChart>
      <c:valAx>
        <c:axId val="730218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219152"/>
        <c:crosses val="autoZero"/>
        <c:crossBetween val="midCat"/>
      </c:valAx>
      <c:valAx>
        <c:axId val="73021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218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'2.ES-MAD-TS'!$C$6</c:f>
          <c:strCache>
            <c:ptCount val="1"/>
            <c:pt idx="0">
              <c:v>Actual vs. Forcast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'2.ES-MAD-TS'!$C$10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'2.ES-MAD-TS'!$C$11:$C$60</c:f>
              <c:numCache>
                <c:formatCode>General</c:formatCode>
                <c:ptCount val="50"/>
                <c:pt idx="0">
                  <c:v>60</c:v>
                </c:pt>
                <c:pt idx="1">
                  <c:v>38</c:v>
                </c:pt>
                <c:pt idx="2">
                  <c:v>29</c:v>
                </c:pt>
                <c:pt idx="3">
                  <c:v>21</c:v>
                </c:pt>
                <c:pt idx="4">
                  <c:v>26</c:v>
                </c:pt>
                <c:pt idx="5">
                  <c:v>43</c:v>
                </c:pt>
                <c:pt idx="6">
                  <c:v>39</c:v>
                </c:pt>
                <c:pt idx="7">
                  <c:v>38</c:v>
                </c:pt>
                <c:pt idx="8">
                  <c:v>45</c:v>
                </c:pt>
                <c:pt idx="9">
                  <c:v>73</c:v>
                </c:pt>
                <c:pt idx="10">
                  <c:v>26</c:v>
                </c:pt>
                <c:pt idx="11">
                  <c:v>96</c:v>
                </c:pt>
                <c:pt idx="12">
                  <c:v>50</c:v>
                </c:pt>
                <c:pt idx="13">
                  <c:v>57</c:v>
                </c:pt>
                <c:pt idx="14">
                  <c:v>72</c:v>
                </c:pt>
                <c:pt idx="15">
                  <c:v>56</c:v>
                </c:pt>
                <c:pt idx="16">
                  <c:v>27</c:v>
                </c:pt>
                <c:pt idx="17">
                  <c:v>33</c:v>
                </c:pt>
                <c:pt idx="18">
                  <c:v>73</c:v>
                </c:pt>
                <c:pt idx="19">
                  <c:v>55</c:v>
                </c:pt>
                <c:pt idx="20">
                  <c:v>31</c:v>
                </c:pt>
                <c:pt idx="21">
                  <c:v>60</c:v>
                </c:pt>
                <c:pt idx="22">
                  <c:v>26</c:v>
                </c:pt>
                <c:pt idx="23">
                  <c:v>25</c:v>
                </c:pt>
                <c:pt idx="24">
                  <c:v>65</c:v>
                </c:pt>
                <c:pt idx="25">
                  <c:v>68</c:v>
                </c:pt>
                <c:pt idx="26">
                  <c:v>100</c:v>
                </c:pt>
                <c:pt idx="27">
                  <c:v>66</c:v>
                </c:pt>
                <c:pt idx="28">
                  <c:v>50</c:v>
                </c:pt>
                <c:pt idx="29">
                  <c:v>57</c:v>
                </c:pt>
                <c:pt idx="30">
                  <c:v>86</c:v>
                </c:pt>
                <c:pt idx="31">
                  <c:v>54</c:v>
                </c:pt>
                <c:pt idx="32">
                  <c:v>77</c:v>
                </c:pt>
                <c:pt idx="33">
                  <c:v>28</c:v>
                </c:pt>
                <c:pt idx="34">
                  <c:v>46</c:v>
                </c:pt>
                <c:pt idx="35">
                  <c:v>34</c:v>
                </c:pt>
                <c:pt idx="36">
                  <c:v>86</c:v>
                </c:pt>
                <c:pt idx="37">
                  <c:v>64</c:v>
                </c:pt>
                <c:pt idx="38">
                  <c:v>69</c:v>
                </c:pt>
                <c:pt idx="39">
                  <c:v>33</c:v>
                </c:pt>
                <c:pt idx="40">
                  <c:v>41</c:v>
                </c:pt>
                <c:pt idx="41">
                  <c:v>56</c:v>
                </c:pt>
                <c:pt idx="42">
                  <c:v>28</c:v>
                </c:pt>
                <c:pt idx="43">
                  <c:v>19</c:v>
                </c:pt>
                <c:pt idx="44">
                  <c:v>16</c:v>
                </c:pt>
                <c:pt idx="45">
                  <c:v>53</c:v>
                </c:pt>
                <c:pt idx="46">
                  <c:v>63</c:v>
                </c:pt>
                <c:pt idx="47">
                  <c:v>84</c:v>
                </c:pt>
                <c:pt idx="48">
                  <c:v>83</c:v>
                </c:pt>
                <c:pt idx="4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A0-4D3B-8A38-2E8FEC3A7540}"/>
            </c:ext>
          </c:extLst>
        </c:ser>
        <c:ser>
          <c:idx val="1"/>
          <c:order val="1"/>
          <c:tx>
            <c:strRef>
              <c:f>'2.ES-MAD-TS'!$D$10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'2.ES-MAD-TS'!$D$11:$D$60</c:f>
              <c:numCache>
                <c:formatCode>0.0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53.4</c:v>
                </c:pt>
                <c:pt idx="3">
                  <c:v>46.08</c:v>
                </c:pt>
                <c:pt idx="4">
                  <c:v>38.555999999999997</c:v>
                </c:pt>
                <c:pt idx="5">
                  <c:v>34.789199999999994</c:v>
                </c:pt>
                <c:pt idx="6">
                  <c:v>37.252439999999993</c:v>
                </c:pt>
                <c:pt idx="7">
                  <c:v>37.776707999999992</c:v>
                </c:pt>
                <c:pt idx="8">
                  <c:v>37.843695599999997</c:v>
                </c:pt>
                <c:pt idx="9">
                  <c:v>39.990586919999998</c:v>
                </c:pt>
                <c:pt idx="10">
                  <c:v>49.893410843999995</c:v>
                </c:pt>
                <c:pt idx="11">
                  <c:v>42.72538759079999</c:v>
                </c:pt>
                <c:pt idx="12">
                  <c:v>58.707771313559988</c:v>
                </c:pt>
                <c:pt idx="13">
                  <c:v>56.095439919491987</c:v>
                </c:pt>
                <c:pt idx="14">
                  <c:v>56.366807943644389</c:v>
                </c:pt>
                <c:pt idx="15">
                  <c:v>61.056765560551071</c:v>
                </c:pt>
                <c:pt idx="16">
                  <c:v>59.53973589238575</c:v>
                </c:pt>
                <c:pt idx="17">
                  <c:v>49.77781512467002</c:v>
                </c:pt>
                <c:pt idx="18">
                  <c:v>44.744470587269014</c:v>
                </c:pt>
                <c:pt idx="19">
                  <c:v>53.221129411088306</c:v>
                </c:pt>
                <c:pt idx="20">
                  <c:v>53.754790587761811</c:v>
                </c:pt>
                <c:pt idx="21">
                  <c:v>46.928353411433264</c:v>
                </c:pt>
                <c:pt idx="22">
                  <c:v>50.849847388003283</c:v>
                </c:pt>
                <c:pt idx="23">
                  <c:v>43.394893171602291</c:v>
                </c:pt>
                <c:pt idx="24">
                  <c:v>37.876425220121604</c:v>
                </c:pt>
                <c:pt idx="25">
                  <c:v>46.013497654085121</c:v>
                </c:pt>
                <c:pt idx="26">
                  <c:v>52.609448357859584</c:v>
                </c:pt>
                <c:pt idx="27">
                  <c:v>66.826613850501701</c:v>
                </c:pt>
                <c:pt idx="28">
                  <c:v>66.578629695351182</c:v>
                </c:pt>
                <c:pt idx="29">
                  <c:v>61.605040786745825</c:v>
                </c:pt>
                <c:pt idx="30">
                  <c:v>60.223528550722079</c:v>
                </c:pt>
                <c:pt idx="31">
                  <c:v>67.95646998550545</c:v>
                </c:pt>
                <c:pt idx="32">
                  <c:v>63.769528989853811</c:v>
                </c:pt>
                <c:pt idx="33">
                  <c:v>67.738670292897666</c:v>
                </c:pt>
                <c:pt idx="34">
                  <c:v>55.817069205028361</c:v>
                </c:pt>
                <c:pt idx="35">
                  <c:v>52.871948443519848</c:v>
                </c:pt>
                <c:pt idx="36">
                  <c:v>47.210363910463897</c:v>
                </c:pt>
                <c:pt idx="37">
                  <c:v>58.847254737324732</c:v>
                </c:pt>
                <c:pt idx="38">
                  <c:v>60.393078316127315</c:v>
                </c:pt>
                <c:pt idx="39">
                  <c:v>62.975154821289124</c:v>
                </c:pt>
                <c:pt idx="40">
                  <c:v>53.982608374902384</c:v>
                </c:pt>
                <c:pt idx="41">
                  <c:v>50.087825862431664</c:v>
                </c:pt>
                <c:pt idx="42">
                  <c:v>51.861478103702169</c:v>
                </c:pt>
                <c:pt idx="43">
                  <c:v>44.703034672591514</c:v>
                </c:pt>
                <c:pt idx="44">
                  <c:v>36.99212427081406</c:v>
                </c:pt>
                <c:pt idx="45">
                  <c:v>30.694486989569842</c:v>
                </c:pt>
                <c:pt idx="46">
                  <c:v>37.38614089269889</c:v>
                </c:pt>
                <c:pt idx="47">
                  <c:v>45.070298624889219</c:v>
                </c:pt>
                <c:pt idx="48">
                  <c:v>56.749209037422446</c:v>
                </c:pt>
                <c:pt idx="49">
                  <c:v>64.624446326195709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A0-4D3B-8A38-2E8FEC3A7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755608"/>
        <c:axId val="222746208"/>
      </c:scatterChart>
      <c:valAx>
        <c:axId val="71575560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6208"/>
        <c:crosses val="autoZero"/>
        <c:crossBetween val="midCat"/>
      </c:valAx>
      <c:valAx>
        <c:axId val="22274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755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'2.ES-MAD-TS'!$C$7</c:f>
          <c:strCache>
            <c:ptCount val="1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'2.ES-MAD-TS'!$B$11:$B$60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'2.ES-MAD-TS'!$H$11:$H$60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-4.9318914043630775</c:v>
                </c:pt>
                <c:pt idx="6">
                  <c:v>-5.5167510050603017</c:v>
                </c:pt>
                <c:pt idx="7">
                  <c:v>-6.2709563596426658</c:v>
                </c:pt>
                <c:pt idx="8">
                  <c:v>-5.921465568843078</c:v>
                </c:pt>
                <c:pt idx="9">
                  <c:v>-2.5069047345932005</c:v>
                </c:pt>
                <c:pt idx="10">
                  <c:v>-4.0018659319920129</c:v>
                </c:pt>
                <c:pt idx="11">
                  <c:v>-0.24433376112435912</c:v>
                </c:pt>
                <c:pt idx="12">
                  <c:v>-0.76817509146978813</c:v>
                </c:pt>
                <c:pt idx="13">
                  <c:v>-0.76662193720503746</c:v>
                </c:pt>
                <c:pt idx="14">
                  <c:v>0.22313752594050779</c:v>
                </c:pt>
                <c:pt idx="15">
                  <c:v>-0.10149698319963289</c:v>
                </c:pt>
                <c:pt idx="16">
                  <c:v>-2.1110460590661857</c:v>
                </c:pt>
                <c:pt idx="17">
                  <c:v>-3.1436201855643375</c:v>
                </c:pt>
                <c:pt idx="18">
                  <c:v>-1.3440591755967406</c:v>
                </c:pt>
                <c:pt idx="19">
                  <c:v>-1.296201721520162</c:v>
                </c:pt>
                <c:pt idx="20">
                  <c:v>-2.6602341405624346</c:v>
                </c:pt>
                <c:pt idx="21">
                  <c:v>-1.8794143384953819</c:v>
                </c:pt>
                <c:pt idx="22">
                  <c:v>-3.3336435489988592</c:v>
                </c:pt>
                <c:pt idx="23">
                  <c:v>-4.4216550546226072</c:v>
                </c:pt>
                <c:pt idx="24">
                  <c:v>-2.7270491611737278</c:v>
                </c:pt>
                <c:pt idx="25">
                  <c:v>-1.4253074428536139</c:v>
                </c:pt>
                <c:pt idx="26">
                  <c:v>1.2367615716446911</c:v>
                </c:pt>
                <c:pt idx="27">
                  <c:v>1.2339237077880394</c:v>
                </c:pt>
                <c:pt idx="28">
                  <c:v>0.30174867397337207</c:v>
                </c:pt>
                <c:pt idx="29">
                  <c:v>4.3086707829422831E-2</c:v>
                </c:pt>
                <c:pt idx="30">
                  <c:v>1.5097734530554365</c:v>
                </c:pt>
                <c:pt idx="31">
                  <c:v>0.71990727903777296</c:v>
                </c:pt>
                <c:pt idx="32">
                  <c:v>1.4888535912814402</c:v>
                </c:pt>
                <c:pt idx="33">
                  <c:v>-0.77526311180301455</c:v>
                </c:pt>
                <c:pt idx="34">
                  <c:v>-1.3384786933139212</c:v>
                </c:pt>
                <c:pt idx="35">
                  <c:v>-2.3973869069723666</c:v>
                </c:pt>
                <c:pt idx="36">
                  <c:v>-0.20939399116445087</c:v>
                </c:pt>
                <c:pt idx="37">
                  <c:v>7.2779384200217734E-2</c:v>
                </c:pt>
                <c:pt idx="38">
                  <c:v>0.55832889077337367</c:v>
                </c:pt>
                <c:pt idx="39">
                  <c:v>-1.110163608639229</c:v>
                </c:pt>
                <c:pt idx="40">
                  <c:v>-1.8413616691759487</c:v>
                </c:pt>
                <c:pt idx="41">
                  <c:v>-1.5364024263895624</c:v>
                </c:pt>
                <c:pt idx="42">
                  <c:v>-2.8643774211993196</c:v>
                </c:pt>
                <c:pt idx="43">
                  <c:v>-4.2652275749870432</c:v>
                </c:pt>
                <c:pt idx="44">
                  <c:v>-5.4125487963961882</c:v>
                </c:pt>
                <c:pt idx="45">
                  <c:v>-4.1553309990837599</c:v>
                </c:pt>
                <c:pt idx="46">
                  <c:v>-2.7195175634042261</c:v>
                </c:pt>
                <c:pt idx="47">
                  <c:v>-0.57855880980349095</c:v>
                </c:pt>
                <c:pt idx="48">
                  <c:v>0.81634423773759768</c:v>
                </c:pt>
                <c:pt idx="49">
                  <c:v>1.5336379134883247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0F-45FE-9315-9D299F24A76B}"/>
            </c:ext>
          </c:extLst>
        </c:ser>
        <c:ser>
          <c:idx val="1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0F-45FE-9315-9D299F24A76B}"/>
              </c:ext>
            </c:extLst>
          </c:dPt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'2.ES-MAD-TS'!$L$6:$L$7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0F-45FE-9315-9D299F24A76B}"/>
            </c:ext>
          </c:extLst>
        </c:ser>
        <c:ser>
          <c:idx val="2"/>
          <c:order val="2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'2.ES-MAD-TS'!$M$6:$M$7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0F-45FE-9315-9D299F24A76B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'2.ES-MAD-TS'!$K$6:$K$7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'2.ES-MAD-TS'!$N$6:$N$7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0F-45FE-9315-9D299F24A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6992"/>
        <c:axId val="222747384"/>
      </c:scatterChart>
      <c:valAx>
        <c:axId val="222746992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22747384"/>
        <c:crosses val="autoZero"/>
        <c:crossBetween val="midCat"/>
      </c:valAx>
      <c:valAx>
        <c:axId val="22274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6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'3.ES-OptDataTab'!$P$1</c:f>
          <c:strCache>
            <c:ptCount val="1"/>
            <c:pt idx="0">
              <c:v>At vs Ft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'3.ES-OptDataTab'!$A$6:$A$17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'3.ES-OptDataTab'!$B$6:$B$17</c:f>
              <c:numCache>
                <c:formatCode>General</c:formatCode>
                <c:ptCount val="12"/>
                <c:pt idx="0">
                  <c:v>323</c:v>
                </c:pt>
                <c:pt idx="1">
                  <c:v>1098</c:v>
                </c:pt>
                <c:pt idx="2">
                  <c:v>588</c:v>
                </c:pt>
                <c:pt idx="3">
                  <c:v>329</c:v>
                </c:pt>
                <c:pt idx="4">
                  <c:v>495</c:v>
                </c:pt>
                <c:pt idx="5">
                  <c:v>391</c:v>
                </c:pt>
                <c:pt idx="6">
                  <c:v>487</c:v>
                </c:pt>
                <c:pt idx="7">
                  <c:v>552</c:v>
                </c:pt>
                <c:pt idx="8">
                  <c:v>485</c:v>
                </c:pt>
                <c:pt idx="9">
                  <c:v>741</c:v>
                </c:pt>
                <c:pt idx="10">
                  <c:v>495</c:v>
                </c:pt>
                <c:pt idx="11">
                  <c:v>950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5-42FE-BB6D-EE5A87F5E0D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'3.ES-OptDataTab'!$A$6:$A$17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'3.ES-OptDataTab'!$C$6:$C$17</c:f>
              <c:numCache>
                <c:formatCode>0.0</c:formatCode>
                <c:ptCount val="12"/>
                <c:pt idx="0">
                  <c:v>323</c:v>
                </c:pt>
                <c:pt idx="1">
                  <c:v>323</c:v>
                </c:pt>
                <c:pt idx="2">
                  <c:v>633</c:v>
                </c:pt>
                <c:pt idx="3">
                  <c:v>615</c:v>
                </c:pt>
                <c:pt idx="4">
                  <c:v>500.6</c:v>
                </c:pt>
                <c:pt idx="5">
                  <c:v>498.36</c:v>
                </c:pt>
                <c:pt idx="6">
                  <c:v>455.41600000000005</c:v>
                </c:pt>
                <c:pt idx="7">
                  <c:v>468.04960000000005</c:v>
                </c:pt>
                <c:pt idx="8">
                  <c:v>501.62976000000003</c:v>
                </c:pt>
                <c:pt idx="9">
                  <c:v>494.97785600000003</c:v>
                </c:pt>
                <c:pt idx="10">
                  <c:v>593.38671360000012</c:v>
                </c:pt>
                <c:pt idx="11">
                  <c:v>554.03202815999998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5-42FE-BB6D-EE5A87F5E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175912"/>
        <c:axId val="725992392"/>
      </c:scatterChart>
      <c:valAx>
        <c:axId val="80717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5992392"/>
        <c:crosses val="autoZero"/>
        <c:crossBetween val="midCat"/>
      </c:valAx>
      <c:valAx>
        <c:axId val="72599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75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'4.ES-OptSolver'!$C$7</c:f>
          <c:strCache>
            <c:ptCount val="1"/>
            <c:pt idx="0">
              <c:v>Actual vs. Forcast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'4.ES-OptSolver'!$C$11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'4.ES-OptSolver'!$B$12:$B$61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'4.ES-OptSolver'!$C$12:$C$61</c:f>
              <c:numCache>
                <c:formatCode>General</c:formatCode>
                <c:ptCount val="50"/>
                <c:pt idx="0">
                  <c:v>60</c:v>
                </c:pt>
                <c:pt idx="1">
                  <c:v>38</c:v>
                </c:pt>
                <c:pt idx="2">
                  <c:v>29</c:v>
                </c:pt>
                <c:pt idx="3">
                  <c:v>21</c:v>
                </c:pt>
                <c:pt idx="4">
                  <c:v>26</c:v>
                </c:pt>
                <c:pt idx="5">
                  <c:v>43</c:v>
                </c:pt>
                <c:pt idx="6">
                  <c:v>39</c:v>
                </c:pt>
                <c:pt idx="7">
                  <c:v>38</c:v>
                </c:pt>
                <c:pt idx="8">
                  <c:v>45</c:v>
                </c:pt>
                <c:pt idx="9">
                  <c:v>73</c:v>
                </c:pt>
                <c:pt idx="10">
                  <c:v>26</c:v>
                </c:pt>
                <c:pt idx="11">
                  <c:v>96</c:v>
                </c:pt>
                <c:pt idx="12">
                  <c:v>50</c:v>
                </c:pt>
                <c:pt idx="13">
                  <c:v>57</c:v>
                </c:pt>
                <c:pt idx="14">
                  <c:v>72</c:v>
                </c:pt>
                <c:pt idx="15">
                  <c:v>56</c:v>
                </c:pt>
                <c:pt idx="16">
                  <c:v>27</c:v>
                </c:pt>
                <c:pt idx="17">
                  <c:v>33</c:v>
                </c:pt>
                <c:pt idx="18">
                  <c:v>73</c:v>
                </c:pt>
                <c:pt idx="19">
                  <c:v>55</c:v>
                </c:pt>
                <c:pt idx="20">
                  <c:v>31</c:v>
                </c:pt>
                <c:pt idx="21">
                  <c:v>60</c:v>
                </c:pt>
                <c:pt idx="22">
                  <c:v>26</c:v>
                </c:pt>
                <c:pt idx="23">
                  <c:v>25</c:v>
                </c:pt>
                <c:pt idx="24">
                  <c:v>65</c:v>
                </c:pt>
                <c:pt idx="25">
                  <c:v>68</c:v>
                </c:pt>
                <c:pt idx="26">
                  <c:v>100</c:v>
                </c:pt>
                <c:pt idx="27">
                  <c:v>66</c:v>
                </c:pt>
                <c:pt idx="28">
                  <c:v>50</c:v>
                </c:pt>
                <c:pt idx="29">
                  <c:v>57</c:v>
                </c:pt>
                <c:pt idx="30">
                  <c:v>86</c:v>
                </c:pt>
                <c:pt idx="31">
                  <c:v>54</c:v>
                </c:pt>
                <c:pt idx="32">
                  <c:v>77</c:v>
                </c:pt>
                <c:pt idx="33">
                  <c:v>28</c:v>
                </c:pt>
                <c:pt idx="34">
                  <c:v>46</c:v>
                </c:pt>
                <c:pt idx="35">
                  <c:v>34</c:v>
                </c:pt>
                <c:pt idx="36">
                  <c:v>86</c:v>
                </c:pt>
                <c:pt idx="37">
                  <c:v>64</c:v>
                </c:pt>
                <c:pt idx="38">
                  <c:v>69</c:v>
                </c:pt>
                <c:pt idx="39">
                  <c:v>33</c:v>
                </c:pt>
                <c:pt idx="40">
                  <c:v>41</c:v>
                </c:pt>
                <c:pt idx="41">
                  <c:v>56</c:v>
                </c:pt>
                <c:pt idx="42">
                  <c:v>28</c:v>
                </c:pt>
                <c:pt idx="43">
                  <c:v>19</c:v>
                </c:pt>
                <c:pt idx="44">
                  <c:v>16</c:v>
                </c:pt>
                <c:pt idx="45">
                  <c:v>53</c:v>
                </c:pt>
                <c:pt idx="46">
                  <c:v>63</c:v>
                </c:pt>
                <c:pt idx="47">
                  <c:v>84</c:v>
                </c:pt>
                <c:pt idx="48">
                  <c:v>83</c:v>
                </c:pt>
                <c:pt idx="49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F4-49CB-BD3C-38AFB98B0E88}"/>
            </c:ext>
          </c:extLst>
        </c:ser>
        <c:ser>
          <c:idx val="1"/>
          <c:order val="1"/>
          <c:tx>
            <c:strRef>
              <c:f>'4.ES-OptSolver'!$D$11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'4.ES-OptSolver'!$B$12:$B$61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'4.ES-OptSolver'!$D$12:$D$61</c:f>
              <c:numCache>
                <c:formatCode>0.0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47.224223763724581</c:v>
                </c:pt>
                <c:pt idx="3">
                  <c:v>36.641105359853753</c:v>
                </c:pt>
                <c:pt idx="4">
                  <c:v>27.558047988694682</c:v>
                </c:pt>
                <c:pt idx="5">
                  <c:v>26.653262876470038</c:v>
                </c:pt>
                <c:pt idx="6">
                  <c:v>36.146092680262548</c:v>
                </c:pt>
                <c:pt idx="7">
                  <c:v>37.803405467355013</c:v>
                </c:pt>
                <c:pt idx="8">
                  <c:v>37.917571274552628</c:v>
                </c:pt>
                <c:pt idx="9">
                  <c:v>42.030458756629216</c:v>
                </c:pt>
                <c:pt idx="10">
                  <c:v>60.01500098687503</c:v>
                </c:pt>
                <c:pt idx="11">
                  <c:v>40.26190820119308</c:v>
                </c:pt>
                <c:pt idx="12">
                  <c:v>72.629971322035587</c:v>
                </c:pt>
                <c:pt idx="13">
                  <c:v>59.488359965505751</c:v>
                </c:pt>
                <c:pt idx="14">
                  <c:v>58.043326778478139</c:v>
                </c:pt>
                <c:pt idx="15">
                  <c:v>66.148205600340887</c:v>
                </c:pt>
                <c:pt idx="16">
                  <c:v>60.254969057173966</c:v>
                </c:pt>
                <c:pt idx="17">
                  <c:v>40.943239810868626</c:v>
                </c:pt>
                <c:pt idx="18">
                  <c:v>36.33046461019898</c:v>
                </c:pt>
                <c:pt idx="19">
                  <c:v>57.62509092057536</c:v>
                </c:pt>
                <c:pt idx="20">
                  <c:v>56.10065572961404</c:v>
                </c:pt>
                <c:pt idx="21">
                  <c:v>41.524275684826158</c:v>
                </c:pt>
                <c:pt idx="22">
                  <c:v>52.253444759997691</c:v>
                </c:pt>
                <c:pt idx="23">
                  <c:v>37.007620410672786</c:v>
                </c:pt>
                <c:pt idx="24">
                  <c:v>30.03458988808692</c:v>
                </c:pt>
                <c:pt idx="25">
                  <c:v>50.339601506241614</c:v>
                </c:pt>
                <c:pt idx="26">
                  <c:v>60.595296933501274</c:v>
                </c:pt>
                <c:pt idx="27">
                  <c:v>83.478281889613243</c:v>
                </c:pt>
                <c:pt idx="28">
                  <c:v>73.328344688874893</c:v>
                </c:pt>
                <c:pt idx="29">
                  <c:v>59.781175974885358</c:v>
                </c:pt>
                <c:pt idx="30">
                  <c:v>58.166099523574431</c:v>
                </c:pt>
                <c:pt idx="31">
                  <c:v>74.329721535827744</c:v>
                </c:pt>
                <c:pt idx="32">
                  <c:v>62.523904568212984</c:v>
                </c:pt>
                <c:pt idx="33">
                  <c:v>70.930420750552969</c:v>
                </c:pt>
                <c:pt idx="34">
                  <c:v>45.9999912397248</c:v>
                </c:pt>
                <c:pt idx="35">
                  <c:v>45.999996326966425</c:v>
                </c:pt>
                <c:pt idx="36">
                  <c:v>39.031393240173244</c:v>
                </c:pt>
                <c:pt idx="37">
                  <c:v>66.306866426225952</c:v>
                </c:pt>
                <c:pt idx="38">
                  <c:v>64.967229641296896</c:v>
                </c:pt>
                <c:pt idx="39">
                  <c:v>67.309128355618483</c:v>
                </c:pt>
                <c:pt idx="40">
                  <c:v>47.385230776844224</c:v>
                </c:pt>
                <c:pt idx="41">
                  <c:v>43.677218066756005</c:v>
                </c:pt>
                <c:pt idx="42">
                  <c:v>50.833268275280673</c:v>
                </c:pt>
                <c:pt idx="43">
                  <c:v>37.5735989012883</c:v>
                </c:pt>
                <c:pt idx="44">
                  <c:v>26.787592380143288</c:v>
                </c:pt>
                <c:pt idx="45">
                  <c:v>20.523052999376908</c:v>
                </c:pt>
                <c:pt idx="46">
                  <c:v>39.382971531983117</c:v>
                </c:pt>
                <c:pt idx="47">
                  <c:v>53.097783853489034</c:v>
                </c:pt>
                <c:pt idx="48">
                  <c:v>71.043229248618189</c:v>
                </c:pt>
                <c:pt idx="49">
                  <c:v>77.986730504440771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F4-49CB-BD3C-38AFB98B0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'4.ES-OptSolver'!$C$8</c:f>
          <c:strCache>
            <c:ptCount val="1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'4.ES-OptSolver'!$B$12:$B$61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'4.ES-OptSolver'!$H$12:$H$61</c:f>
              <c:numCache>
                <c:formatCode>0.00</c:formatCode>
                <c:ptCount val="50"/>
                <c:pt idx="0" formatCode="General">
                  <c:v>0</c:v>
                </c:pt>
                <c:pt idx="1">
                  <c:v>-2</c:v>
                </c:pt>
                <c:pt idx="2">
                  <c:v>-3</c:v>
                </c:pt>
                <c:pt idx="3">
                  <c:v>-4</c:v>
                </c:pt>
                <c:pt idx="4">
                  <c:v>-5</c:v>
                </c:pt>
                <c:pt idx="5">
                  <c:v>-3.3409171516890988</c:v>
                </c:pt>
                <c:pt idx="6">
                  <c:v>-3.4918439837969184</c:v>
                </c:pt>
                <c:pt idx="7">
                  <c:v>-3.9599930406919848</c:v>
                </c:pt>
                <c:pt idx="8">
                  <c:v>-3.3192285848125604</c:v>
                </c:pt>
                <c:pt idx="9">
                  <c:v>2.2487377836799701E-3</c:v>
                </c:pt>
                <c:pt idx="10">
                  <c:v>-2.5111620661056593</c:v>
                </c:pt>
                <c:pt idx="11">
                  <c:v>1.2754365591295989</c:v>
                </c:pt>
                <c:pt idx="12">
                  <c:v>-5.0399771363652E-2</c:v>
                </c:pt>
                <c:pt idx="13">
                  <c:v>-0.20532296349048723</c:v>
                </c:pt>
                <c:pt idx="14">
                  <c:v>0.65165582012886769</c:v>
                </c:pt>
                <c:pt idx="15">
                  <c:v>2.7673722258405972E-2</c:v>
                </c:pt>
                <c:pt idx="16">
                  <c:v>-1.9430963945021706</c:v>
                </c:pt>
                <c:pt idx="17">
                  <c:v>-2.4866019813131768</c:v>
                </c:pt>
                <c:pt idx="18">
                  <c:v>-0.23424413407349989</c:v>
                </c:pt>
                <c:pt idx="19">
                  <c:v>-0.40166721268487654</c:v>
                </c:pt>
                <c:pt idx="20">
                  <c:v>-1.8587752073599129</c:v>
                </c:pt>
                <c:pt idx="21">
                  <c:v>-0.77654922358228962</c:v>
                </c:pt>
                <c:pt idx="22">
                  <c:v>-2.2531048488917294</c:v>
                </c:pt>
                <c:pt idx="23">
                  <c:v>-2.9756819643034009</c:v>
                </c:pt>
                <c:pt idx="24">
                  <c:v>-0.92183817846018079</c:v>
                </c:pt>
                <c:pt idx="25">
                  <c:v>5.6852578039061567E-2</c:v>
                </c:pt>
                <c:pt idx="26">
                  <c:v>2.1479418865111644</c:v>
                </c:pt>
                <c:pt idx="27">
                  <c:v>1.2224795374650963</c:v>
                </c:pt>
                <c:pt idx="28">
                  <c:v>-1.9904127260108345E-2</c:v>
                </c:pt>
                <c:pt idx="29">
                  <c:v>-0.17169303853988546</c:v>
                </c:pt>
                <c:pt idx="30">
                  <c:v>1.3197234592904181</c:v>
                </c:pt>
                <c:pt idx="31">
                  <c:v>0.23181161648228543</c:v>
                </c:pt>
                <c:pt idx="32">
                  <c:v>1.0109011758853748</c:v>
                </c:pt>
                <c:pt idx="33">
                  <c:v>-1.2469076782592519</c:v>
                </c:pt>
                <c:pt idx="34">
                  <c:v>-1.2835809499764483</c:v>
                </c:pt>
                <c:pt idx="35">
                  <c:v>-1.9419710691138656</c:v>
                </c:pt>
                <c:pt idx="36">
                  <c:v>0.56096249006443732</c:v>
                </c:pt>
                <c:pt idx="37">
                  <c:v>0.45229309659340711</c:v>
                </c:pt>
                <c:pt idx="38">
                  <c:v>0.67923807983648332</c:v>
                </c:pt>
                <c:pt idx="39">
                  <c:v>-1.1478560093549814</c:v>
                </c:pt>
                <c:pt idx="40">
                  <c:v>-1.509656705980801</c:v>
                </c:pt>
                <c:pt idx="41">
                  <c:v>-0.85469136686134073</c:v>
                </c:pt>
                <c:pt idx="42">
                  <c:v>-2.0795731982062264</c:v>
                </c:pt>
                <c:pt idx="43">
                  <c:v>-3.0797344712213834</c:v>
                </c:pt>
                <c:pt idx="44">
                  <c:v>-3.6950485269822946</c:v>
                </c:pt>
                <c:pt idx="45">
                  <c:v>-1.8981776058621977</c:v>
                </c:pt>
                <c:pt idx="46">
                  <c:v>-0.63194407675095843</c:v>
                </c:pt>
                <c:pt idx="47">
                  <c:v>0.99771577066898065</c:v>
                </c:pt>
                <c:pt idx="48">
                  <c:v>1.6374902403966274</c:v>
                </c:pt>
                <c:pt idx="49">
                  <c:v>1.6716003221507449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8-4847-8CF0-6B172F674720}"/>
            </c:ext>
          </c:extLst>
        </c:ser>
        <c:ser>
          <c:idx val="1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4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D98-4847-8CF0-6B172F674720}"/>
              </c:ext>
            </c:extLst>
          </c:dPt>
          <c:xVal>
            <c:numRef>
              <c:f>'4.ES-OptSolver'!$K$1:$K$2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'4.ES-OptSolver'!$L$1:$L$2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98-4847-8CF0-6B172F674720}"/>
            </c:ext>
          </c:extLst>
        </c:ser>
        <c:ser>
          <c:idx val="2"/>
          <c:order val="2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'4.ES-OptSolver'!$K$1:$K$2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'4.ES-OptSolver'!$M$1:$M$2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98-4847-8CF0-6B172F674720}"/>
            </c:ext>
          </c:extLst>
        </c:ser>
        <c:ser>
          <c:idx val="3"/>
          <c:order val="3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'4.ES-OptSolver'!$K$1:$K$2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'4.ES-OptSolver'!$N$1:$N$2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98-4847-8CF0-6B172F674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9344"/>
        <c:axId val="222749736"/>
      </c:scatterChart>
      <c:valAx>
        <c:axId val="222749344"/>
        <c:scaling>
          <c:orientation val="minMax"/>
          <c:max val="5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22749736"/>
        <c:crosses val="autoZero"/>
        <c:crossBetween val="midCat"/>
      </c:valAx>
      <c:valAx>
        <c:axId val="22274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49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'5.DatTabSolver'!$I$1</c:f>
          <c:strCache>
            <c:ptCount val="1"/>
            <c:pt idx="0">
              <c:v>At vs Ft (ES)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'5.DatTabSolver'!$B$2:$B$51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'5.DatTabSolver'!$C$2:$C$51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D3-4ABB-9A83-BB940B41A67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'5.DatTabSolver'!$B$2:$B$51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'5.DatTabSolver'!$D$2:$D$51</c:f>
              <c:numCache>
                <c:formatCode>0.0</c:formatCode>
                <c:ptCount val="50"/>
                <c:pt idx="0" formatCode="General">
                  <c:v>26</c:v>
                </c:pt>
                <c:pt idx="1">
                  <c:v>26</c:v>
                </c:pt>
                <c:pt idx="2">
                  <c:v>25.867194804658556</c:v>
                </c:pt>
                <c:pt idx="3">
                  <c:v>25.373584627105558</c:v>
                </c:pt>
                <c:pt idx="4">
                  <c:v>24.630752557882786</c:v>
                </c:pt>
                <c:pt idx="5">
                  <c:v>24.742615949058795</c:v>
                </c:pt>
                <c:pt idx="6">
                  <c:v>24.352745847825215</c:v>
                </c:pt>
                <c:pt idx="7">
                  <c:v>23.809813446152859</c:v>
                </c:pt>
                <c:pt idx="8">
                  <c:v>23.251705806560466</c:v>
                </c:pt>
                <c:pt idx="9">
                  <c:v>23.542160536376507</c:v>
                </c:pt>
                <c:pt idx="10">
                  <c:v>24.121783481428029</c:v>
                </c:pt>
                <c:pt idx="11">
                  <c:v>23.619720629137511</c:v>
                </c:pt>
                <c:pt idx="12">
                  <c:v>23.30033340981683</c:v>
                </c:pt>
                <c:pt idx="13">
                  <c:v>23.688777536551591</c:v>
                </c:pt>
                <c:pt idx="14">
                  <c:v>24.197130009095233</c:v>
                </c:pt>
                <c:pt idx="15">
                  <c:v>24.323390232095289</c:v>
                </c:pt>
                <c:pt idx="16">
                  <c:v>24.14664676218225</c:v>
                </c:pt>
                <c:pt idx="17">
                  <c:v>25.60263504796368</c:v>
                </c:pt>
                <c:pt idx="18">
                  <c:v>25.283815092129323</c:v>
                </c:pt>
                <c:pt idx="19">
                  <c:v>25.340794660112273</c:v>
                </c:pt>
                <c:pt idx="20">
                  <c:v>24.831460352229975</c:v>
                </c:pt>
                <c:pt idx="21">
                  <c:v>24.903458685111914</c:v>
                </c:pt>
                <c:pt idx="22">
                  <c:v>25.338280867017165</c:v>
                </c:pt>
                <c:pt idx="23">
                  <c:v>25.758666387720734</c:v>
                </c:pt>
                <c:pt idx="24">
                  <c:v>25.965886770113201</c:v>
                </c:pt>
                <c:pt idx="25">
                  <c:v>26.299032362006521</c:v>
                </c:pt>
                <c:pt idx="26">
                  <c:v>27.185539167748846</c:v>
                </c:pt>
                <c:pt idx="27">
                  <c:v>27.777002405431251</c:v>
                </c:pt>
                <c:pt idx="28">
                  <c:v>27.618399721031288</c:v>
                </c:pt>
                <c:pt idx="29">
                  <c:v>27.23265375990465</c:v>
                </c:pt>
                <c:pt idx="30">
                  <c:v>26.992520261049357</c:v>
                </c:pt>
                <c:pt idx="31">
                  <c:v>27.059171195768187</c:v>
                </c:pt>
                <c:pt idx="32">
                  <c:v>28.750472875818453</c:v>
                </c:pt>
                <c:pt idx="33">
                  <c:v>27.895523730716544</c:v>
                </c:pt>
                <c:pt idx="34">
                  <c:v>27.998596375060309</c:v>
                </c:pt>
                <c:pt idx="35">
                  <c:v>27.467422195865606</c:v>
                </c:pt>
                <c:pt idx="36">
                  <c:v>28.381539539248497</c:v>
                </c:pt>
                <c:pt idx="37">
                  <c:v>28.10326154030551</c:v>
                </c:pt>
                <c:pt idx="38">
                  <c:v>27.369404548669685</c:v>
                </c:pt>
                <c:pt idx="39">
                  <c:v>28.419581400589713</c:v>
                </c:pt>
                <c:pt idx="40">
                  <c:v>29.169280626336278</c:v>
                </c:pt>
                <c:pt idx="41">
                  <c:v>28.267225221119503</c:v>
                </c:pt>
                <c:pt idx="42">
                  <c:v>29.553203651275847</c:v>
                </c:pt>
                <c:pt idx="43">
                  <c:v>30.730083329606021</c:v>
                </c:pt>
                <c:pt idx="44">
                  <c:v>31.137460499664748</c:v>
                </c:pt>
                <c:pt idx="45">
                  <c:v>31.000091437195877</c:v>
                </c:pt>
                <c:pt idx="46">
                  <c:v>31.000088401362213</c:v>
                </c:pt>
                <c:pt idx="47">
                  <c:v>31.3985010523465</c:v>
                </c:pt>
                <c:pt idx="48">
                  <c:v>30.854049518455561</c:v>
                </c:pt>
                <c:pt idx="49">
                  <c:v>31.058103057020649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D3-4ABB-9A83-BB940B41A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50520"/>
        <c:axId val="222750912"/>
      </c:scatterChart>
      <c:valAx>
        <c:axId val="222750520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50912"/>
        <c:crosses val="autoZero"/>
        <c:crossBetween val="midCat"/>
      </c:valAx>
      <c:valAx>
        <c:axId val="22275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750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'6.1.25MAD&amp;MSE'!$S$1</c:f>
          <c:strCache>
            <c:ptCount val="1"/>
            <c:pt idx="0">
              <c:v> F(next) ~ N ( 633, 792)</c:v>
            </c:pt>
          </c:strCache>
        </c:strRef>
      </c:tx>
      <c:overlay val="0"/>
      <c:txPr>
        <a:bodyPr/>
        <a:lstStyle/>
        <a:p>
          <a:pPr>
            <a:defRPr>
              <a:latin typeface="Book Antiqua" panose="02040602050305030304" pitchFamily="18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'6.1.25MAD&amp;MSE'!$C$1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'6.1.25MAD&amp;MSE'!$A$2:$A$76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'6.1.25MAD&amp;MSE'!$C$2:$C$76</c:f>
              <c:numCache>
                <c:formatCode>0.0</c:formatCode>
                <c:ptCount val="75"/>
                <c:pt idx="0">
                  <c:v>814</c:v>
                </c:pt>
                <c:pt idx="1">
                  <c:v>972</c:v>
                </c:pt>
                <c:pt idx="2">
                  <c:v>1198</c:v>
                </c:pt>
                <c:pt idx="3">
                  <c:v>1273</c:v>
                </c:pt>
                <c:pt idx="4">
                  <c:v>1793</c:v>
                </c:pt>
                <c:pt idx="5">
                  <c:v>1969</c:v>
                </c:pt>
                <c:pt idx="6">
                  <c:v>2092</c:v>
                </c:pt>
                <c:pt idx="7">
                  <c:v>1790</c:v>
                </c:pt>
                <c:pt idx="8">
                  <c:v>2115</c:v>
                </c:pt>
                <c:pt idx="9">
                  <c:v>2081</c:v>
                </c:pt>
                <c:pt idx="10">
                  <c:v>2380</c:v>
                </c:pt>
                <c:pt idx="11">
                  <c:v>2083</c:v>
                </c:pt>
                <c:pt idx="12">
                  <c:v>2580</c:v>
                </c:pt>
                <c:pt idx="13">
                  <c:v>1957</c:v>
                </c:pt>
                <c:pt idx="14">
                  <c:v>2860</c:v>
                </c:pt>
                <c:pt idx="15">
                  <c:v>3016</c:v>
                </c:pt>
                <c:pt idx="16">
                  <c:v>2492</c:v>
                </c:pt>
                <c:pt idx="17">
                  <c:v>2604</c:v>
                </c:pt>
                <c:pt idx="18">
                  <c:v>2502</c:v>
                </c:pt>
                <c:pt idx="19">
                  <c:v>2652</c:v>
                </c:pt>
                <c:pt idx="20">
                  <c:v>2891</c:v>
                </c:pt>
                <c:pt idx="21">
                  <c:v>2619</c:v>
                </c:pt>
                <c:pt idx="22">
                  <c:v>3341</c:v>
                </c:pt>
                <c:pt idx="23">
                  <c:v>3297</c:v>
                </c:pt>
                <c:pt idx="24">
                  <c:v>3012</c:v>
                </c:pt>
                <c:pt idx="25">
                  <c:v>4254</c:v>
                </c:pt>
                <c:pt idx="26">
                  <c:v>3925</c:v>
                </c:pt>
                <c:pt idx="27">
                  <c:v>4513</c:v>
                </c:pt>
                <c:pt idx="28">
                  <c:v>4529</c:v>
                </c:pt>
                <c:pt idx="29">
                  <c:v>4092</c:v>
                </c:pt>
                <c:pt idx="30">
                  <c:v>4654</c:v>
                </c:pt>
                <c:pt idx="31">
                  <c:v>3712</c:v>
                </c:pt>
                <c:pt idx="32">
                  <c:v>3824</c:v>
                </c:pt>
                <c:pt idx="33">
                  <c:v>4121</c:v>
                </c:pt>
                <c:pt idx="34">
                  <c:v>4645</c:v>
                </c:pt>
                <c:pt idx="35">
                  <c:v>4575</c:v>
                </c:pt>
                <c:pt idx="36">
                  <c:v>4905</c:v>
                </c:pt>
                <c:pt idx="37">
                  <c:v>5233</c:v>
                </c:pt>
                <c:pt idx="38">
                  <c:v>4012</c:v>
                </c:pt>
                <c:pt idx="39">
                  <c:v>6049</c:v>
                </c:pt>
                <c:pt idx="40">
                  <c:v>6090</c:v>
                </c:pt>
                <c:pt idx="41">
                  <c:v>5108</c:v>
                </c:pt>
                <c:pt idx="42">
                  <c:v>4763</c:v>
                </c:pt>
                <c:pt idx="43">
                  <c:v>5054</c:v>
                </c:pt>
                <c:pt idx="44">
                  <c:v>4933</c:v>
                </c:pt>
                <c:pt idx="45">
                  <c:v>5684</c:v>
                </c:pt>
                <c:pt idx="46">
                  <c:v>6925</c:v>
                </c:pt>
                <c:pt idx="47">
                  <c:v>4916</c:v>
                </c:pt>
                <c:pt idx="48">
                  <c:v>5142</c:v>
                </c:pt>
                <c:pt idx="49">
                  <c:v>7101</c:v>
                </c:pt>
                <c:pt idx="50">
                  <c:v>5983</c:v>
                </c:pt>
                <c:pt idx="51">
                  <c:v>5660</c:v>
                </c:pt>
                <c:pt idx="52">
                  <c:v>7723</c:v>
                </c:pt>
                <c:pt idx="53">
                  <c:v>6927</c:v>
                </c:pt>
                <c:pt idx="54">
                  <c:v>5927</c:v>
                </c:pt>
                <c:pt idx="55">
                  <c:v>7487</c:v>
                </c:pt>
                <c:pt idx="56">
                  <c:v>6986</c:v>
                </c:pt>
                <c:pt idx="57">
                  <c:v>6686</c:v>
                </c:pt>
                <c:pt idx="58">
                  <c:v>7534</c:v>
                </c:pt>
                <c:pt idx="59">
                  <c:v>6435</c:v>
                </c:pt>
                <c:pt idx="60">
                  <c:v>8316</c:v>
                </c:pt>
                <c:pt idx="61">
                  <c:v>9011</c:v>
                </c:pt>
                <c:pt idx="62">
                  <c:v>8306</c:v>
                </c:pt>
                <c:pt idx="63">
                  <c:v>8885</c:v>
                </c:pt>
                <c:pt idx="64">
                  <c:v>6915</c:v>
                </c:pt>
                <c:pt idx="65">
                  <c:v>8565</c:v>
                </c:pt>
                <c:pt idx="66">
                  <c:v>6764</c:v>
                </c:pt>
                <c:pt idx="67">
                  <c:v>8456</c:v>
                </c:pt>
                <c:pt idx="68">
                  <c:v>6849</c:v>
                </c:pt>
                <c:pt idx="69">
                  <c:v>7664</c:v>
                </c:pt>
                <c:pt idx="70">
                  <c:v>10101</c:v>
                </c:pt>
                <c:pt idx="71">
                  <c:v>9156</c:v>
                </c:pt>
                <c:pt idx="72">
                  <c:v>11760</c:v>
                </c:pt>
                <c:pt idx="73">
                  <c:v>11274</c:v>
                </c:pt>
                <c:pt idx="74">
                  <c:v>11999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C0-4729-9660-858EBCFB2C11}"/>
            </c:ext>
          </c:extLst>
        </c:ser>
        <c:ser>
          <c:idx val="1"/>
          <c:order val="1"/>
          <c:tx>
            <c:strRef>
              <c:f>'6.1.25MAD&amp;MSE'!$D$1</c:f>
              <c:strCache>
                <c:ptCount val="1"/>
                <c:pt idx="0">
                  <c:v>F-ES</c:v>
                </c:pt>
              </c:strCache>
            </c:strRef>
          </c:tx>
          <c:xVal>
            <c:numRef>
              <c:f>'6.1.25MAD&amp;MSE'!$A$2:$A$76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'6.1.25MAD&amp;MSE'!$D$2:$D$76</c:f>
              <c:numCache>
                <c:formatCode>0.0</c:formatCode>
                <c:ptCount val="75"/>
                <c:pt idx="0">
                  <c:v>814</c:v>
                </c:pt>
                <c:pt idx="1">
                  <c:v>814</c:v>
                </c:pt>
                <c:pt idx="2">
                  <c:v>899.64256960236798</c:v>
                </c:pt>
                <c:pt idx="3">
                  <c:v>1061.3647025087785</c:v>
                </c:pt>
                <c:pt idx="4">
                  <c:v>1176.0798334942835</c:v>
                </c:pt>
                <c:pt idx="5">
                  <c:v>1510.4762151339689</c:v>
                </c:pt>
                <c:pt idx="6">
                  <c:v>1759.0151718411225</c:v>
                </c:pt>
                <c:pt idx="7">
                  <c:v>1939.5067941330797</c:v>
                </c:pt>
                <c:pt idx="8">
                  <c:v>1858.4678952560596</c:v>
                </c:pt>
                <c:pt idx="9">
                  <c:v>1997.5189625710905</c:v>
                </c:pt>
                <c:pt idx="10">
                  <c:v>2042.7691559792124</c:v>
                </c:pt>
                <c:pt idx="11">
                  <c:v>2225.5622954166529</c:v>
                </c:pt>
                <c:pt idx="12">
                  <c:v>2148.2876035945387</c:v>
                </c:pt>
                <c:pt idx="13">
                  <c:v>2382.2936729449175</c:v>
                </c:pt>
                <c:pt idx="14">
                  <c:v>2151.7668185991465</c:v>
                </c:pt>
                <c:pt idx="15">
                  <c:v>2535.6586510854067</c:v>
                </c:pt>
                <c:pt idx="16">
                  <c:v>2796.0236346759975</c:v>
                </c:pt>
                <c:pt idx="17">
                  <c:v>2631.2301834512887</c:v>
                </c:pt>
                <c:pt idx="18">
                  <c:v>2616.4702917961481</c:v>
                </c:pt>
                <c:pt idx="19">
                  <c:v>2554.422633995167</c:v>
                </c:pt>
                <c:pt idx="20">
                  <c:v>2607.3136236134242</c:v>
                </c:pt>
                <c:pt idx="21">
                  <c:v>2761.0834352269108</c:v>
                </c:pt>
                <c:pt idx="22">
                  <c:v>2684.0683055385293</c:v>
                </c:pt>
                <c:pt idx="23">
                  <c:v>3040.1525990000359</c:v>
                </c:pt>
                <c:pt idx="24">
                  <c:v>3179.3745699957749</c:v>
                </c:pt>
                <c:pt idx="25">
                  <c:v>3088.6505936633093</c:v>
                </c:pt>
                <c:pt idx="26">
                  <c:v>3720.3184268485516</c:v>
                </c:pt>
                <c:pt idx="27">
                  <c:v>3831.2643501076977</c:v>
                </c:pt>
                <c:pt idx="28">
                  <c:v>4200.7934187552746</c:v>
                </c:pt>
                <c:pt idx="29">
                  <c:v>4378.6950325413927</c:v>
                </c:pt>
                <c:pt idx="30">
                  <c:v>4223.2944041927885</c:v>
                </c:pt>
                <c:pt idx="31">
                  <c:v>4456.7547457563869</c:v>
                </c:pt>
                <c:pt idx="32">
                  <c:v>4053.0667068314801</c:v>
                </c:pt>
                <c:pt idx="33">
                  <c:v>3928.9030271897063</c:v>
                </c:pt>
                <c:pt idx="34">
                  <c:v>4033.027573799262</c:v>
                </c:pt>
                <c:pt idx="35">
                  <c:v>4364.7420744677856</c:v>
                </c:pt>
                <c:pt idx="36">
                  <c:v>4478.7106125807113</c:v>
                </c:pt>
                <c:pt idx="37">
                  <c:v>4709.7771855731626</c:v>
                </c:pt>
                <c:pt idx="38">
                  <c:v>4993.3857064725125</c:v>
                </c:pt>
                <c:pt idx="39">
                  <c:v>4461.4338477804795</c:v>
                </c:pt>
                <c:pt idx="40">
                  <c:v>5321.9607129059468</c:v>
                </c:pt>
                <c:pt idx="41">
                  <c:v>5738.2699414015515</c:v>
                </c:pt>
                <c:pt idx="42">
                  <c:v>5396.6374266878629</c:v>
                </c:pt>
                <c:pt idx="43">
                  <c:v>5053.1795949297575</c:v>
                </c:pt>
                <c:pt idx="44">
                  <c:v>5053.6242885900765</c:v>
                </c:pt>
                <c:pt idx="45">
                  <c:v>4988.2409086450662</c:v>
                </c:pt>
                <c:pt idx="46">
                  <c:v>5365.3712656567441</c:v>
                </c:pt>
                <c:pt idx="47">
                  <c:v>6210.7548886620953</c:v>
                </c:pt>
                <c:pt idx="48">
                  <c:v>5508.9439034073503</c:v>
                </c:pt>
                <c:pt idx="49">
                  <c:v>5310.0450503204611</c:v>
                </c:pt>
                <c:pt idx="50">
                  <c:v>6280.8171005270142</c:v>
                </c:pt>
                <c:pt idx="51">
                  <c:v>6119.3878488772662</c:v>
                </c:pt>
                <c:pt idx="52">
                  <c:v>5870.3805335484467</c:v>
                </c:pt>
                <c:pt idx="53">
                  <c:v>6874.5773158413522</c:v>
                </c:pt>
                <c:pt idx="54">
                  <c:v>6902.9925903780604</c:v>
                </c:pt>
                <c:pt idx="55">
                  <c:v>6373.9640248537034</c:v>
                </c:pt>
                <c:pt idx="56">
                  <c:v>6977.2758031537433</c:v>
                </c:pt>
                <c:pt idx="57">
                  <c:v>6982.0046805944421</c:v>
                </c:pt>
                <c:pt idx="58">
                  <c:v>6821.5578359081373</c:v>
                </c:pt>
                <c:pt idx="59">
                  <c:v>7207.7311120214226</c:v>
                </c:pt>
                <c:pt idx="60">
                  <c:v>6788.8787193302205</c:v>
                </c:pt>
                <c:pt idx="61">
                  <c:v>7616.6419507923656</c:v>
                </c:pt>
                <c:pt idx="62">
                  <c:v>8372.4419905384857</c:v>
                </c:pt>
                <c:pt idx="63">
                  <c:v>8336.4276690244842</c:v>
                </c:pt>
                <c:pt idx="64">
                  <c:v>8633.7766819200788</c:v>
                </c:pt>
                <c:pt idx="65">
                  <c:v>7702.128253994335</c:v>
                </c:pt>
                <c:pt idx="66">
                  <c:v>8169.8406183310872</c:v>
                </c:pt>
                <c:pt idx="67">
                  <c:v>7407.816548677567</c:v>
                </c:pt>
                <c:pt idx="68">
                  <c:v>7975.9755625125781</c:v>
                </c:pt>
                <c:pt idx="69">
                  <c:v>7365.1079482552914</c:v>
                </c:pt>
                <c:pt idx="70">
                  <c:v>7527.1198681612459</c:v>
                </c:pt>
                <c:pt idx="71">
                  <c:v>8922.2699209406928</c:v>
                </c:pt>
                <c:pt idx="72">
                  <c:v>9048.9613422318544</c:v>
                </c:pt>
                <c:pt idx="73">
                  <c:v>10518.457019083871</c:v>
                </c:pt>
                <c:pt idx="74">
                  <c:v>10927.992730037608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C0-4729-9660-858EBCFB2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51696"/>
        <c:axId val="718667792"/>
      </c:scatterChart>
      <c:valAx>
        <c:axId val="22275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8667792"/>
        <c:crosses val="autoZero"/>
        <c:crossBetween val="midCat"/>
      </c:valAx>
      <c:valAx>
        <c:axId val="7186677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2275169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'7.Game'!$C$7</c:f>
          <c:strCache>
            <c:ptCount val="1"/>
            <c:pt idx="0">
              <c:v>Actual vs. 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'7.Game'!$B$10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'7.Game'!$A$11:$A$51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'7.Game'!$B$11:$B$51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A1-4754-ACA6-E8A07A52CF4E}"/>
            </c:ext>
          </c:extLst>
        </c:ser>
        <c:ser>
          <c:idx val="1"/>
          <c:order val="1"/>
          <c:tx>
            <c:strRef>
              <c:f>'7.Game'!$C$10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'7.Game'!$A$11:$A$51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'7.Game'!$C$11:$C$51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0.63851899999999995</c:v>
                </c:pt>
                <c:pt idx="9">
                  <c:v>1.3469632999999999</c:v>
                </c:pt>
                <c:pt idx="10">
                  <c:v>2.1428743099999998</c:v>
                </c:pt>
                <c:pt idx="11">
                  <c:v>1.5000120169999998</c:v>
                </c:pt>
                <c:pt idx="12">
                  <c:v>1.3500084118999998</c:v>
                </c:pt>
                <c:pt idx="13">
                  <c:v>1.8450058883299998</c:v>
                </c:pt>
                <c:pt idx="14">
                  <c:v>2.1915041218309996</c:v>
                </c:pt>
                <c:pt idx="15">
                  <c:v>2.1340528852816996</c:v>
                </c:pt>
                <c:pt idx="16">
                  <c:v>1.7938370196971896</c:v>
                </c:pt>
                <c:pt idx="17">
                  <c:v>3.0556859137880323</c:v>
                </c:pt>
                <c:pt idx="18">
                  <c:v>2.4389801396516222</c:v>
                </c:pt>
                <c:pt idx="19">
                  <c:v>2.3072860977561356</c:v>
                </c:pt>
                <c:pt idx="20">
                  <c:v>1.9151002684292948</c:v>
                </c:pt>
                <c:pt idx="21">
                  <c:v>1.9405701879005064</c:v>
                </c:pt>
                <c:pt idx="22">
                  <c:v>2.2583991315303544</c:v>
                </c:pt>
                <c:pt idx="23">
                  <c:v>2.4808793920712482</c:v>
                </c:pt>
                <c:pt idx="24">
                  <c:v>2.6366155744498734</c:v>
                </c:pt>
                <c:pt idx="25">
                  <c:v>2.745630902114911</c:v>
                </c:pt>
                <c:pt idx="26">
                  <c:v>3.4219416314804376</c:v>
                </c:pt>
                <c:pt idx="27">
                  <c:v>3.5953591420363065</c:v>
                </c:pt>
                <c:pt idx="28">
                  <c:v>3.1167513994254143</c:v>
                </c:pt>
                <c:pt idx="29">
                  <c:v>2.4817259795977895</c:v>
                </c:pt>
                <c:pt idx="30">
                  <c:v>2.3372081857184526</c:v>
                </c:pt>
                <c:pt idx="31">
                  <c:v>2.2360457300029166</c:v>
                </c:pt>
                <c:pt idx="32">
                  <c:v>3.6652320110020415</c:v>
                </c:pt>
                <c:pt idx="33">
                  <c:v>2.5656624077014287</c:v>
                </c:pt>
                <c:pt idx="34">
                  <c:v>2.6959636853909998</c:v>
                </c:pt>
                <c:pt idx="35">
                  <c:v>2.1871745797736999</c:v>
                </c:pt>
                <c:pt idx="36">
                  <c:v>3.0310222058415901</c:v>
                </c:pt>
                <c:pt idx="37">
                  <c:v>2.721715544089113</c:v>
                </c:pt>
                <c:pt idx="38">
                  <c:v>1.905200880862379</c:v>
                </c:pt>
                <c:pt idx="39">
                  <c:v>2.833640616603665</c:v>
                </c:pt>
                <c:pt idx="40">
                  <c:v>3.4835484316225651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A1-4754-ACA6-E8A07A52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668576"/>
        <c:axId val="718668968"/>
      </c:scatterChart>
      <c:valAx>
        <c:axId val="718668576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68968"/>
        <c:crosses val="autoZero"/>
        <c:crossBetween val="midCat"/>
      </c:valAx>
      <c:valAx>
        <c:axId val="71866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68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'7.Game'!$D$8</c:f>
          <c:strCache>
            <c:ptCount val="1"/>
            <c:pt idx="0">
              <c:v>Tracking Signal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'7.Game'!$A$11:$A$52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'7.Game'!$H$11:$H$52</c:f>
              <c:numCache>
                <c:formatCode>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-4</c:v>
                </c:pt>
                <c:pt idx="4">
                  <c:v>-2.6923076923076921</c:v>
                </c:pt>
                <c:pt idx="5">
                  <c:v>-3.5348719249302558</c:v>
                </c:pt>
                <c:pt idx="6">
                  <c:v>-4.8383942357179617</c:v>
                </c:pt>
                <c:pt idx="7">
                  <c:v>-5.8955128631904739</c:v>
                </c:pt>
                <c:pt idx="8">
                  <c:v>-2.299492203469327</c:v>
                </c:pt>
                <c:pt idx="9">
                  <c:v>0.42625682397957004</c:v>
                </c:pt>
                <c:pt idx="10">
                  <c:v>-1.3767916830745686</c:v>
                </c:pt>
                <c:pt idx="11">
                  <c:v>-1.881896132840772</c:v>
                </c:pt>
                <c:pt idx="12">
                  <c:v>-0.4342788518033377</c:v>
                </c:pt>
                <c:pt idx="13">
                  <c:v>0.53769580544302331</c:v>
                </c:pt>
                <c:pt idx="14">
                  <c:v>0.39867826202769091</c:v>
                </c:pt>
                <c:pt idx="15">
                  <c:v>-0.61268394963289297</c:v>
                </c:pt>
                <c:pt idx="16">
                  <c:v>2.7004864738308063</c:v>
                </c:pt>
                <c:pt idx="17">
                  <c:v>1.0880178856034546</c:v>
                </c:pt>
                <c:pt idx="18">
                  <c:v>0.78960590414661613</c:v>
                </c:pt>
                <c:pt idx="19">
                  <c:v>-0.21807466029449271</c:v>
                </c:pt>
                <c:pt idx="20">
                  <c:v>-0.15976227376277025</c:v>
                </c:pt>
                <c:pt idx="21">
                  <c:v>0.69926958234291314</c:v>
                </c:pt>
                <c:pt idx="22">
                  <c:v>1.3242483023790841</c:v>
                </c:pt>
                <c:pt idx="23">
                  <c:v>1.7958516996545744</c:v>
                </c:pt>
                <c:pt idx="24">
                  <c:v>2.1632981194600913</c:v>
                </c:pt>
                <c:pt idx="25">
                  <c:v>3.9782547930939236</c:v>
                </c:pt>
                <c:pt idx="26">
                  <c:v>4.5501960547580254</c:v>
                </c:pt>
                <c:pt idx="27">
                  <c:v>3.1441444648655978</c:v>
                </c:pt>
                <c:pt idx="28">
                  <c:v>1.320397015689831</c:v>
                </c:pt>
                <c:pt idx="29">
                  <c:v>0.94326523956172981</c:v>
                </c:pt>
                <c:pt idx="30">
                  <c:v>0.67591947648058526</c:v>
                </c:pt>
                <c:pt idx="31">
                  <c:v>4.3481984175911981</c:v>
                </c:pt>
                <c:pt idx="32">
                  <c:v>1.3977820896374735</c:v>
                </c:pt>
                <c:pt idx="33">
                  <c:v>1.7547563869696685</c:v>
                </c:pt>
                <c:pt idx="34">
                  <c:v>0.4681465096869879</c:v>
                </c:pt>
                <c:pt idx="35">
                  <c:v>2.5015423731477808</c:v>
                </c:pt>
                <c:pt idx="36">
                  <c:v>1.7629695705428532</c:v>
                </c:pt>
                <c:pt idx="37">
                  <c:v>-0.22566429748320735</c:v>
                </c:pt>
                <c:pt idx="38">
                  <c:v>1.9247168724354413</c:v>
                </c:pt>
                <c:pt idx="39">
                  <c:v>3.3829001845279367</c:v>
                </c:pt>
                <c:pt idx="40">
                  <c:v>0.96723700773518484</c:v>
                </c:pt>
                <c:pt idx="41">
                  <c:v>3.2200767697063197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A-4A8E-BD6A-EF2191019D76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'7.Game'!$O$9:$O$10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'7.Game'!$P$9:$P$10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A-4A8E-BD6A-EF2191019D76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'7.Game'!$O$9:$O$10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'7.Game'!$Q$9:$Q$10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4A-4A8E-BD6A-EF2191019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669752"/>
        <c:axId val="718670144"/>
      </c:scatterChart>
      <c:valAx>
        <c:axId val="718669752"/>
        <c:scaling>
          <c:orientation val="minMax"/>
          <c:max val="4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18670144"/>
        <c:crosses val="autoZero"/>
        <c:crossBetween val="midCat"/>
      </c:valAx>
      <c:valAx>
        <c:axId val="71867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8669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'8a.Ga42ForcES-MAD.TS'!$C$9</c:f>
          <c:strCache>
            <c:ptCount val="1"/>
            <c:pt idx="0">
              <c:v>Actual vs. 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'8a.Ga42ForcES-MAD.TS'!$B$12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'8a.Ga42ForcES-MAD.TS'!$A$13:$A$53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'8a.Ga42ForcES-MAD.TS'!$B$13:$B$53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95-4B34-B258-C17D0D5DBA29}"/>
            </c:ext>
          </c:extLst>
        </c:ser>
        <c:ser>
          <c:idx val="1"/>
          <c:order val="1"/>
          <c:tx>
            <c:strRef>
              <c:f>'8a.Ga42ForcES-MAD.TS'!$C$12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'8a.Ga42ForcES-MAD.TS'!$A$13:$A$53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'8a.Ga42ForcES-MAD.TS'!$C$13:$C$53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0.93851899999999988</c:v>
                </c:pt>
                <c:pt idx="9">
                  <c:v>1.5569632999999998</c:v>
                </c:pt>
                <c:pt idx="10">
                  <c:v>1.9898743099999998</c:v>
                </c:pt>
                <c:pt idx="11">
                  <c:v>1.6929120169999998</c:v>
                </c:pt>
                <c:pt idx="12">
                  <c:v>1.7850384118999996</c:v>
                </c:pt>
                <c:pt idx="13">
                  <c:v>2.1495268883299996</c:v>
                </c:pt>
                <c:pt idx="14">
                  <c:v>2.1046688218309995</c:v>
                </c:pt>
                <c:pt idx="15">
                  <c:v>2.0732681752816995</c:v>
                </c:pt>
                <c:pt idx="16">
                  <c:v>2.9512877226971899</c:v>
                </c:pt>
                <c:pt idx="17">
                  <c:v>2.6659014058880328</c:v>
                </c:pt>
                <c:pt idx="18">
                  <c:v>2.466130984121623</c:v>
                </c:pt>
                <c:pt idx="19">
                  <c:v>2.0262916888851361</c:v>
                </c:pt>
                <c:pt idx="20">
                  <c:v>2.0184041822195953</c:v>
                </c:pt>
                <c:pt idx="21">
                  <c:v>2.3128829275537166</c:v>
                </c:pt>
                <c:pt idx="22">
                  <c:v>2.5190180492876015</c:v>
                </c:pt>
                <c:pt idx="23">
                  <c:v>2.6633126345013212</c:v>
                </c:pt>
                <c:pt idx="24">
                  <c:v>3.0643188441509244</c:v>
                </c:pt>
                <c:pt idx="25">
                  <c:v>4.2450231909056466</c:v>
                </c:pt>
                <c:pt idx="26">
                  <c:v>3.2715162336339523</c:v>
                </c:pt>
                <c:pt idx="27">
                  <c:v>2.8900613635437664</c:v>
                </c:pt>
                <c:pt idx="28">
                  <c:v>2.9230429544806364</c:v>
                </c:pt>
                <c:pt idx="29">
                  <c:v>2.6461300681364457</c:v>
                </c:pt>
                <c:pt idx="30">
                  <c:v>3.3522910476955117</c:v>
                </c:pt>
                <c:pt idx="31">
                  <c:v>2.946603733386858</c:v>
                </c:pt>
                <c:pt idx="32">
                  <c:v>2.9626226133708005</c:v>
                </c:pt>
                <c:pt idx="33">
                  <c:v>2.3738358293595598</c:v>
                </c:pt>
                <c:pt idx="34">
                  <c:v>3.1616850805516918</c:v>
                </c:pt>
                <c:pt idx="35">
                  <c:v>2.8131795563861841</c:v>
                </c:pt>
                <c:pt idx="36">
                  <c:v>1.9692256894703288</c:v>
                </c:pt>
                <c:pt idx="37">
                  <c:v>3.4784579826292301</c:v>
                </c:pt>
                <c:pt idx="38">
                  <c:v>3.3349205878404606</c:v>
                </c:pt>
                <c:pt idx="39">
                  <c:v>3.8344444114883225</c:v>
                </c:pt>
                <c:pt idx="40">
                  <c:v>3.5841110880418254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95-4B34-B258-C17D0D5DB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314016"/>
        <c:axId val="781307744"/>
      </c:scatterChart>
      <c:valAx>
        <c:axId val="781314016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07744"/>
        <c:crosses val="autoZero"/>
        <c:crossBetween val="midCat"/>
      </c:valAx>
      <c:valAx>
        <c:axId val="78130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314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'8a.Ga42ForcES-MAD.TS'!$D$10</c:f>
          <c:strCache>
            <c:ptCount val="1"/>
            <c:pt idx="0">
              <c:v>Tracking Signal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'8a.Ga42ForcES-MAD.TS'!$A$13:$A$54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'8a.Ga42ForcES-MAD.TS'!$H$13:$H$54</c:f>
              <c:numCache>
                <c:formatCode>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-4</c:v>
                </c:pt>
                <c:pt idx="4">
                  <c:v>-2.6923076923076921</c:v>
                </c:pt>
                <c:pt idx="5">
                  <c:v>-3.5348719249302558</c:v>
                </c:pt>
                <c:pt idx="6">
                  <c:v>-4.8383942357179617</c:v>
                </c:pt>
                <c:pt idx="7">
                  <c:v>-5.3068113004857578</c:v>
                </c:pt>
                <c:pt idx="8">
                  <c:v>-1.797209242326085</c:v>
                </c:pt>
                <c:pt idx="9">
                  <c:v>-3.8188040644285881E-2</c:v>
                </c:pt>
                <c:pt idx="10">
                  <c:v>-1.1456576919786934</c:v>
                </c:pt>
                <c:pt idx="11">
                  <c:v>-0.8483587274652431</c:v>
                </c:pt>
                <c:pt idx="12">
                  <c:v>0.5708622354786439</c:v>
                </c:pt>
                <c:pt idx="13">
                  <c:v>0.4247467950925421</c:v>
                </c:pt>
                <c:pt idx="14">
                  <c:v>0.3156868043536461</c:v>
                </c:pt>
                <c:pt idx="15">
                  <c:v>3.4914528154420728</c:v>
                </c:pt>
                <c:pt idx="16">
                  <c:v>2.4372162994144451</c:v>
                </c:pt>
                <c:pt idx="17">
                  <c:v>1.7319180980740556</c:v>
                </c:pt>
                <c:pt idx="18">
                  <c:v>9.4531722453978936E-2</c:v>
                </c:pt>
                <c:pt idx="19">
                  <c:v>6.9551140926873076E-2</c:v>
                </c:pt>
                <c:pt idx="20">
                  <c:v>1.1760932746601376</c:v>
                </c:pt>
                <c:pt idx="21">
                  <c:v>1.9711064282388329</c:v>
                </c:pt>
                <c:pt idx="22">
                  <c:v>2.5696014192609091</c:v>
                </c:pt>
                <c:pt idx="23">
                  <c:v>4.0301190991341311</c:v>
                </c:pt>
                <c:pt idx="24">
                  <c:v>7.4646075050699476</c:v>
                </c:pt>
                <c:pt idx="25">
                  <c:v>3.8928247642886391</c:v>
                </c:pt>
                <c:pt idx="26">
                  <c:v>2.7081419768922541</c:v>
                </c:pt>
                <c:pt idx="27">
                  <c:v>2.9017266725725106</c:v>
                </c:pt>
                <c:pt idx="28">
                  <c:v>2.0403184816291517</c:v>
                </c:pt>
                <c:pt idx="29">
                  <c:v>4.1020325970903126</c:v>
                </c:pt>
                <c:pt idx="30">
                  <c:v>2.8502199600454885</c:v>
                </c:pt>
                <c:pt idx="31">
                  <c:v>2.9873032837426745</c:v>
                </c:pt>
                <c:pt idx="32">
                  <c:v>1.1317547509168167</c:v>
                </c:pt>
                <c:pt idx="33">
                  <c:v>3.3792301383069567</c:v>
                </c:pt>
                <c:pt idx="34">
                  <c:v>2.3645308875605826</c:v>
                </c:pt>
                <c:pt idx="35">
                  <c:v>-8.6010404459405054E-2</c:v>
                </c:pt>
                <c:pt idx="36">
                  <c:v>3.8014704801380699</c:v>
                </c:pt>
                <c:pt idx="37">
                  <c:v>3.4903532586826587</c:v>
                </c:pt>
                <c:pt idx="38">
                  <c:v>4.7590839937982086</c:v>
                </c:pt>
                <c:pt idx="39">
                  <c:v>4.1459819460308145</c:v>
                </c:pt>
                <c:pt idx="40">
                  <c:v>6.5589466226615007</c:v>
                </c:pt>
                <c:pt idx="41">
                  <c:v>5.3184586943487027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AE-4A3F-900A-1F9B22EDC5C5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'8a.Ga42ForcES-MAD.TS'!$O$11:$O$12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'8a.Ga42ForcES-MAD.TS'!$P$11:$P$12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AE-4A3F-900A-1F9B22EDC5C5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'8a.Ga42ForcES-MAD.TS'!$O$11:$O$12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'8a.Ga42ForcES-MAD.TS'!$Q$11:$Q$12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AE-4A3F-900A-1F9B22EDC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2216"/>
        <c:axId val="785030448"/>
      </c:scatterChart>
      <c:valAx>
        <c:axId val="785022216"/>
        <c:scaling>
          <c:orientation val="minMax"/>
          <c:max val="4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85030448"/>
        <c:crosses val="autoZero"/>
        <c:crossBetween val="midCat"/>
      </c:valAx>
      <c:valAx>
        <c:axId val="7850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2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'8b.Ga42ForcES-MSE'!$C$7</c:f>
          <c:strCache>
            <c:ptCount val="1"/>
            <c:pt idx="0">
              <c:v>Actual vs. 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'8b.Ga42ForcES-MSE'!$B$10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'8b.Ga42ForcES-MSE'!$A$11:$A$51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'8b.Ga42ForcES-MSE'!$B$11:$B$51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2F-42F4-9A0E-1D468360B0EE}"/>
            </c:ext>
          </c:extLst>
        </c:ser>
        <c:ser>
          <c:idx val="1"/>
          <c:order val="1"/>
          <c:tx>
            <c:strRef>
              <c:f>'8b.Ga42ForcES-MSE'!$C$10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'8b.Ga42ForcES-MSE'!$A$11:$A$51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'8b.Ga42ForcES-MSE'!$C$11:$C$51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0.93851899999999988</c:v>
                </c:pt>
                <c:pt idx="9">
                  <c:v>1.5569632999999998</c:v>
                </c:pt>
                <c:pt idx="10">
                  <c:v>1.9898743099999998</c:v>
                </c:pt>
                <c:pt idx="11">
                  <c:v>1.6929120169999998</c:v>
                </c:pt>
                <c:pt idx="12">
                  <c:v>1.7850384118999996</c:v>
                </c:pt>
                <c:pt idx="13">
                  <c:v>2.1495268883299996</c:v>
                </c:pt>
                <c:pt idx="14">
                  <c:v>2.1046688218309995</c:v>
                </c:pt>
                <c:pt idx="15">
                  <c:v>2.0732681752816995</c:v>
                </c:pt>
                <c:pt idx="16">
                  <c:v>2.9512877226971899</c:v>
                </c:pt>
                <c:pt idx="17">
                  <c:v>2.6659014058880328</c:v>
                </c:pt>
                <c:pt idx="18">
                  <c:v>2.466130984121623</c:v>
                </c:pt>
                <c:pt idx="19">
                  <c:v>2.0262916888851361</c:v>
                </c:pt>
                <c:pt idx="20">
                  <c:v>2.0184041822195953</c:v>
                </c:pt>
                <c:pt idx="21">
                  <c:v>2.3128829275537166</c:v>
                </c:pt>
                <c:pt idx="22">
                  <c:v>2.5190180492876015</c:v>
                </c:pt>
                <c:pt idx="23">
                  <c:v>2.6633126345013212</c:v>
                </c:pt>
                <c:pt idx="24">
                  <c:v>3.0643188441509244</c:v>
                </c:pt>
                <c:pt idx="25">
                  <c:v>4.2450231909056466</c:v>
                </c:pt>
                <c:pt idx="26">
                  <c:v>3.2715162336339523</c:v>
                </c:pt>
                <c:pt idx="27">
                  <c:v>2.8900613635437664</c:v>
                </c:pt>
                <c:pt idx="28">
                  <c:v>2.9230429544806364</c:v>
                </c:pt>
                <c:pt idx="29">
                  <c:v>2.6461300681364457</c:v>
                </c:pt>
                <c:pt idx="30">
                  <c:v>3.3522910476955117</c:v>
                </c:pt>
                <c:pt idx="31">
                  <c:v>2.946603733386858</c:v>
                </c:pt>
                <c:pt idx="32">
                  <c:v>2.9626226133708005</c:v>
                </c:pt>
                <c:pt idx="33">
                  <c:v>2.3738358293595598</c:v>
                </c:pt>
                <c:pt idx="34">
                  <c:v>3.1616850805516918</c:v>
                </c:pt>
                <c:pt idx="35">
                  <c:v>2.8131795563861841</c:v>
                </c:pt>
                <c:pt idx="36">
                  <c:v>1.9692256894703288</c:v>
                </c:pt>
                <c:pt idx="37">
                  <c:v>3.4784579826292301</c:v>
                </c:pt>
                <c:pt idx="38">
                  <c:v>3.3349205878404606</c:v>
                </c:pt>
                <c:pt idx="39">
                  <c:v>3.8344444114883225</c:v>
                </c:pt>
                <c:pt idx="40">
                  <c:v>3.5841110880418254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2F-42F4-9A0E-1D468360B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31624"/>
        <c:axId val="785032408"/>
      </c:scatterChart>
      <c:valAx>
        <c:axId val="785031624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2408"/>
        <c:crosses val="autoZero"/>
        <c:crossBetween val="midCat"/>
      </c:valAx>
      <c:valAx>
        <c:axId val="785032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1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'8c.Ga42ForcReg'!$B$6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'8c.Ga42ForcReg'!$A$7:$A$48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'8c.Ga42ForcReg'!$B$7:$B$48</c:f>
              <c:numCache>
                <c:formatCode>General</c:formatCode>
                <c:ptCount val="4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2</c:v>
                </c:pt>
                <c:pt idx="35">
                  <c:v>0</c:v>
                </c:pt>
                <c:pt idx="36">
                  <c:v>7</c:v>
                </c:pt>
                <c:pt idx="37">
                  <c:v>3</c:v>
                </c:pt>
                <c:pt idx="38">
                  <c:v>5</c:v>
                </c:pt>
                <c:pt idx="39">
                  <c:v>3</c:v>
                </c:pt>
                <c:pt idx="40">
                  <c:v>7</c:v>
                </c:pt>
                <c:pt idx="4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0A-4FF9-A5C9-A4CEF089B3A5}"/>
            </c:ext>
          </c:extLst>
        </c:ser>
        <c:ser>
          <c:idx val="1"/>
          <c:order val="1"/>
          <c:tx>
            <c:strRef>
              <c:f>'8c.Ga42ForcReg'!$C$6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'8c.Ga42ForcReg'!$A$7:$A$48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'8c.Ga42ForcReg'!$C$7:$C$48</c:f>
              <c:numCache>
                <c:formatCode>0.00</c:formatCode>
                <c:ptCount val="42"/>
                <c:pt idx="0">
                  <c:v>1.2558139534883719</c:v>
                </c:pt>
                <c:pt idx="1">
                  <c:v>1.3234745968722144</c:v>
                </c:pt>
                <c:pt idx="2">
                  <c:v>1.3911352402560568</c:v>
                </c:pt>
                <c:pt idx="3">
                  <c:v>1.4587958836398993</c:v>
                </c:pt>
                <c:pt idx="4">
                  <c:v>1.5264565270237418</c:v>
                </c:pt>
                <c:pt idx="5">
                  <c:v>1.5941171704075843</c:v>
                </c:pt>
                <c:pt idx="6">
                  <c:v>1.6617778137914268</c:v>
                </c:pt>
                <c:pt idx="7">
                  <c:v>1.7294384571752692</c:v>
                </c:pt>
                <c:pt idx="8">
                  <c:v>1.7970991005591117</c:v>
                </c:pt>
                <c:pt idx="9">
                  <c:v>1.8647597439429542</c:v>
                </c:pt>
                <c:pt idx="10">
                  <c:v>1.9324203873267967</c:v>
                </c:pt>
                <c:pt idx="11">
                  <c:v>2.0000810307106391</c:v>
                </c:pt>
                <c:pt idx="12">
                  <c:v>2.0677416740944814</c:v>
                </c:pt>
                <c:pt idx="13">
                  <c:v>2.1354023174783241</c:v>
                </c:pt>
                <c:pt idx="14">
                  <c:v>2.2030629608621668</c:v>
                </c:pt>
                <c:pt idx="15">
                  <c:v>2.2707236042460091</c:v>
                </c:pt>
                <c:pt idx="16">
                  <c:v>2.3383842476298513</c:v>
                </c:pt>
                <c:pt idx="17">
                  <c:v>2.406044891013694</c:v>
                </c:pt>
                <c:pt idx="18">
                  <c:v>2.4737055343975367</c:v>
                </c:pt>
                <c:pt idx="19">
                  <c:v>2.541366177781379</c:v>
                </c:pt>
                <c:pt idx="20">
                  <c:v>2.6090268211652212</c:v>
                </c:pt>
                <c:pt idx="21">
                  <c:v>2.6766874645490639</c:v>
                </c:pt>
                <c:pt idx="22">
                  <c:v>2.7443481079329066</c:v>
                </c:pt>
                <c:pt idx="23">
                  <c:v>2.8120087513167489</c:v>
                </c:pt>
                <c:pt idx="24">
                  <c:v>2.8796693947005911</c:v>
                </c:pt>
                <c:pt idx="25">
                  <c:v>2.9473300380844338</c:v>
                </c:pt>
                <c:pt idx="26">
                  <c:v>3.0149906814682765</c:v>
                </c:pt>
                <c:pt idx="27">
                  <c:v>3.0826513248521188</c:v>
                </c:pt>
                <c:pt idx="28">
                  <c:v>3.150311968235961</c:v>
                </c:pt>
                <c:pt idx="29">
                  <c:v>3.2179726116198037</c:v>
                </c:pt>
                <c:pt idx="30">
                  <c:v>3.2856332550036464</c:v>
                </c:pt>
                <c:pt idx="31">
                  <c:v>3.3532938983874887</c:v>
                </c:pt>
                <c:pt idx="32">
                  <c:v>3.420954541771331</c:v>
                </c:pt>
                <c:pt idx="33">
                  <c:v>3.4886151851551737</c:v>
                </c:pt>
                <c:pt idx="34">
                  <c:v>3.5562758285390164</c:v>
                </c:pt>
                <c:pt idx="35">
                  <c:v>3.6239364719228586</c:v>
                </c:pt>
                <c:pt idx="36">
                  <c:v>3.6915971153067009</c:v>
                </c:pt>
                <c:pt idx="37">
                  <c:v>3.7592577586905436</c:v>
                </c:pt>
                <c:pt idx="38">
                  <c:v>3.8269184020743863</c:v>
                </c:pt>
                <c:pt idx="39">
                  <c:v>3.8945790454582285</c:v>
                </c:pt>
                <c:pt idx="40">
                  <c:v>3.9622396888420708</c:v>
                </c:pt>
                <c:pt idx="41">
                  <c:v>4.0299003322259139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0A-4FF9-A5C9-A4CEF089B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28880"/>
        <c:axId val="785033584"/>
      </c:scatterChart>
      <c:valAx>
        <c:axId val="78502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33584"/>
        <c:crosses val="autoZero"/>
        <c:crossBetween val="midCat"/>
      </c:valAx>
      <c:valAx>
        <c:axId val="78503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028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'2.OPT.Alpha6ways'!$M$1</c:f>
          <c:strCache>
            <c:ptCount val="1"/>
            <c:pt idx="0">
              <c:v>At vs. Ft=(1-α)Ft+αAt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'2.OPT.Alpha6ways'!$B$7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'2.OPT.Alpha6ways'!$A$8:$A$57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'2.OPT.Alpha6ways'!$B$8:$B$57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88-4076-A161-8815A9B0896F}"/>
            </c:ext>
          </c:extLst>
        </c:ser>
        <c:ser>
          <c:idx val="1"/>
          <c:order val="1"/>
          <c:tx>
            <c:strRef>
              <c:f>'2.OPT.Alpha6ways'!$C$7</c:f>
              <c:strCache>
                <c:ptCount val="1"/>
                <c:pt idx="0">
                  <c:v>Ft=(1-α)Ft+αAt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'2.OPT.Alpha6ways'!$A$8:$A$57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'2.OPT.Alpha6ways'!$C$8:$C$57</c:f>
              <c:numCache>
                <c:formatCode>0.0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1.9520035219307101</c:v>
                </c:pt>
                <c:pt idx="4">
                  <c:v>1.858314227699186</c:v>
                </c:pt>
                <c:pt idx="5">
                  <c:v>1.8651146457621524</c:v>
                </c:pt>
                <c:pt idx="6">
                  <c:v>1.8235921896394078</c:v>
                </c:pt>
                <c:pt idx="7">
                  <c:v>1.7360661871020515</c:v>
                </c:pt>
                <c:pt idx="8">
                  <c:v>1.7487340805645519</c:v>
                </c:pt>
                <c:pt idx="9">
                  <c:v>1.7607939597562954</c:v>
                </c:pt>
                <c:pt idx="10">
                  <c:v>1.8202714852901842</c:v>
                </c:pt>
                <c:pt idx="11">
                  <c:v>1.7809013429355902</c:v>
                </c:pt>
                <c:pt idx="12">
                  <c:v>1.8394137848936831</c:v>
                </c:pt>
                <c:pt idx="13">
                  <c:v>1.8951178357145537</c:v>
                </c:pt>
                <c:pt idx="14">
                  <c:v>1.9001518102125399</c:v>
                </c:pt>
                <c:pt idx="15">
                  <c:v>1.8569476935946421</c:v>
                </c:pt>
                <c:pt idx="16">
                  <c:v>2.055799612758948</c:v>
                </c:pt>
                <c:pt idx="17">
                  <c:v>2.0531214278688883</c:v>
                </c:pt>
                <c:pt idx="18">
                  <c:v>2.0025753083518798</c:v>
                </c:pt>
                <c:pt idx="19">
                  <c:v>2.0024517026210473</c:v>
                </c:pt>
                <c:pt idx="20">
                  <c:v>2.0023340295299641</c:v>
                </c:pt>
                <c:pt idx="21">
                  <c:v>2.0502184824021059</c:v>
                </c:pt>
                <c:pt idx="22">
                  <c:v>2.1438011282514005</c:v>
                </c:pt>
                <c:pt idx="23">
                  <c:v>2.2328921366915231</c:v>
                </c:pt>
                <c:pt idx="24">
                  <c:v>2.3657035685681684</c:v>
                </c:pt>
                <c:pt idx="25">
                  <c:v>2.444144041398105</c:v>
                </c:pt>
                <c:pt idx="26">
                  <c:v>2.4228266916555352</c:v>
                </c:pt>
                <c:pt idx="27">
                  <c:v>2.3545360215530899</c:v>
                </c:pt>
                <c:pt idx="28">
                  <c:v>2.4335124973084237</c:v>
                </c:pt>
                <c:pt idx="29">
                  <c:v>2.4607019023078869</c:v>
                </c:pt>
                <c:pt idx="30">
                  <c:v>2.5345827896958664</c:v>
                </c:pt>
                <c:pt idx="31">
                  <c:v>2.5569211766232991</c:v>
                </c:pt>
                <c:pt idx="32">
                  <c:v>2.4821944435138859</c:v>
                </c:pt>
                <c:pt idx="33">
                  <c:v>2.6030402426885084</c:v>
                </c:pt>
                <c:pt idx="34">
                  <c:v>2.5740964349054103</c:v>
                </c:pt>
                <c:pt idx="35">
                  <c:v>2.4505488718192354</c:v>
                </c:pt>
                <c:pt idx="36">
                  <c:v>2.6689065031202701</c:v>
                </c:pt>
                <c:pt idx="37">
                  <c:v>2.6847978248821427</c:v>
                </c:pt>
                <c:pt idx="38">
                  <c:v>2.7959193753061595</c:v>
                </c:pt>
                <c:pt idx="39">
                  <c:v>2.9017074826722249</c:v>
                </c:pt>
                <c:pt idx="40">
                  <c:v>3.0504146115323927</c:v>
                </c:pt>
                <c:pt idx="41">
                  <c:v>2.9999984096663166</c:v>
                </c:pt>
                <c:pt idx="42">
                  <c:v>2.9999984859967324</c:v>
                </c:pt>
                <c:pt idx="43">
                  <c:v>3.0479950367328468</c:v>
                </c:pt>
                <c:pt idx="44">
                  <c:v>2.9976949659355743</c:v>
                </c:pt>
                <c:pt idx="45">
                  <c:v>2.9978055994524966</c:v>
                </c:pt>
                <c:pt idx="46">
                  <c:v>2.9979109229502501</c:v>
                </c:pt>
                <c:pt idx="47">
                  <c:v>3.1420006254989237</c:v>
                </c:pt>
                <c:pt idx="48">
                  <c:v>3.5191569201456594</c:v>
                </c:pt>
                <c:pt idx="49">
                  <c:v>3.5902321725519486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88-4076-A161-8815A9B08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'00.BookData'!$B$1</c:f>
          <c:strCache>
            <c:ptCount val="1"/>
            <c:pt idx="0">
              <c:v>Office 1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'00.BookData'!$K$1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'00.BookData'!$K$2:$K$14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A-423D-A506-AB199EC6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8672104"/>
        <c:axId val="718672496"/>
      </c:barChart>
      <c:catAx>
        <c:axId val="718672104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72496"/>
        <c:crosses val="autoZero"/>
        <c:auto val="1"/>
        <c:lblAlgn val="ctr"/>
        <c:lblOffset val="100"/>
        <c:noMultiLvlLbl val="0"/>
      </c:catAx>
      <c:valAx>
        <c:axId val="71867249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8672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'00.BookData'!$C$1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'00.BookData'!$K$1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'00.BookData'!$K$2:$K$14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0-4F9C-A4D8-A042C346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8673280"/>
        <c:axId val="718673672"/>
      </c:barChart>
      <c:catAx>
        <c:axId val="718673280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73672"/>
        <c:crosses val="autoZero"/>
        <c:auto val="1"/>
        <c:lblAlgn val="ctr"/>
        <c:lblOffset val="100"/>
        <c:noMultiLvlLbl val="0"/>
      </c:catAx>
      <c:valAx>
        <c:axId val="7186736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867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'00.BookData'!$D$1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'00.BookData'!$K$1</c:f>
              <c:strCache>
                <c:ptCount val="1"/>
                <c:pt idx="0">
                  <c:v>Freq</c:v>
                </c:pt>
              </c:strCache>
            </c:strRef>
          </c:tx>
          <c:invertIfNegative val="0"/>
          <c:val>
            <c:numRef>
              <c:f>'00.BookData'!$K$2:$K$14</c:f>
              <c:numCache>
                <c:formatCode>0.00</c:formatCode>
                <c:ptCount val="13"/>
                <c:pt idx="0">
                  <c:v>1.3333333333333334E-2</c:v>
                </c:pt>
                <c:pt idx="1">
                  <c:v>0.13333333333333333</c:v>
                </c:pt>
                <c:pt idx="2">
                  <c:v>0.17333333333333334</c:v>
                </c:pt>
                <c:pt idx="3">
                  <c:v>0.12</c:v>
                </c:pt>
                <c:pt idx="4">
                  <c:v>0.21333333333333335</c:v>
                </c:pt>
                <c:pt idx="5">
                  <c:v>6.6666666666666666E-2</c:v>
                </c:pt>
                <c:pt idx="6">
                  <c:v>9.3333333333333338E-2</c:v>
                </c:pt>
                <c:pt idx="7">
                  <c:v>0.10666666666666667</c:v>
                </c:pt>
                <c:pt idx="8">
                  <c:v>2.6666666666666668E-2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1.3333333333333334E-2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F-4DA7-94EB-870607BEF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18674456"/>
        <c:axId val="718674848"/>
      </c:barChart>
      <c:catAx>
        <c:axId val="718674456"/>
        <c:scaling>
          <c:orientation val="minMax"/>
        </c:scaling>
        <c:delete val="0"/>
        <c:axPos val="b"/>
        <c:majorTickMark val="out"/>
        <c:minorTickMark val="none"/>
        <c:tickLblPos val="nextTo"/>
        <c:crossAx val="718674848"/>
        <c:crosses val="autoZero"/>
        <c:auto val="1"/>
        <c:lblAlgn val="ctr"/>
        <c:lblOffset val="100"/>
        <c:noMultiLvlLbl val="0"/>
      </c:catAx>
      <c:valAx>
        <c:axId val="7186748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718674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'00.BookData'!$B$1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'00.BookData'!$A$3:$A$77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'00.BookData'!$B$3:$B$77</c:f>
              <c:numCache>
                <c:formatCode>0</c:formatCode>
                <c:ptCount val="75"/>
                <c:pt idx="0">
                  <c:v>495</c:v>
                </c:pt>
                <c:pt idx="1">
                  <c:v>204</c:v>
                </c:pt>
                <c:pt idx="2">
                  <c:v>318</c:v>
                </c:pt>
                <c:pt idx="3">
                  <c:v>802</c:v>
                </c:pt>
                <c:pt idx="4">
                  <c:v>446</c:v>
                </c:pt>
                <c:pt idx="5">
                  <c:v>568</c:v>
                </c:pt>
                <c:pt idx="6">
                  <c:v>372</c:v>
                </c:pt>
                <c:pt idx="7">
                  <c:v>281</c:v>
                </c:pt>
                <c:pt idx="8">
                  <c:v>676</c:v>
                </c:pt>
                <c:pt idx="9">
                  <c:v>755</c:v>
                </c:pt>
                <c:pt idx="10">
                  <c:v>503</c:v>
                </c:pt>
                <c:pt idx="11">
                  <c:v>511</c:v>
                </c:pt>
                <c:pt idx="12">
                  <c:v>229</c:v>
                </c:pt>
                <c:pt idx="13">
                  <c:v>439</c:v>
                </c:pt>
                <c:pt idx="14">
                  <c:v>412</c:v>
                </c:pt>
                <c:pt idx="15">
                  <c:v>775</c:v>
                </c:pt>
                <c:pt idx="16">
                  <c:v>330</c:v>
                </c:pt>
                <c:pt idx="17">
                  <c:v>289</c:v>
                </c:pt>
                <c:pt idx="18">
                  <c:v>1045</c:v>
                </c:pt>
                <c:pt idx="19">
                  <c:v>348</c:v>
                </c:pt>
                <c:pt idx="20">
                  <c:v>249</c:v>
                </c:pt>
                <c:pt idx="21">
                  <c:v>218</c:v>
                </c:pt>
                <c:pt idx="22">
                  <c:v>603</c:v>
                </c:pt>
                <c:pt idx="23">
                  <c:v>412</c:v>
                </c:pt>
                <c:pt idx="24">
                  <c:v>608</c:v>
                </c:pt>
                <c:pt idx="25">
                  <c:v>540</c:v>
                </c:pt>
                <c:pt idx="26">
                  <c:v>744</c:v>
                </c:pt>
                <c:pt idx="27">
                  <c:v>465</c:v>
                </c:pt>
                <c:pt idx="28">
                  <c:v>577</c:v>
                </c:pt>
                <c:pt idx="29">
                  <c:v>576</c:v>
                </c:pt>
                <c:pt idx="30">
                  <c:v>681</c:v>
                </c:pt>
                <c:pt idx="31">
                  <c:v>842</c:v>
                </c:pt>
                <c:pt idx="32">
                  <c:v>256</c:v>
                </c:pt>
                <c:pt idx="33">
                  <c:v>851</c:v>
                </c:pt>
                <c:pt idx="34">
                  <c:v>273</c:v>
                </c:pt>
                <c:pt idx="35">
                  <c:v>856</c:v>
                </c:pt>
                <c:pt idx="36">
                  <c:v>532</c:v>
                </c:pt>
                <c:pt idx="37">
                  <c:v>508</c:v>
                </c:pt>
                <c:pt idx="38">
                  <c:v>434</c:v>
                </c:pt>
                <c:pt idx="39">
                  <c:v>597</c:v>
                </c:pt>
                <c:pt idx="40">
                  <c:v>315</c:v>
                </c:pt>
                <c:pt idx="41">
                  <c:v>1045</c:v>
                </c:pt>
                <c:pt idx="42">
                  <c:v>370</c:v>
                </c:pt>
                <c:pt idx="43">
                  <c:v>354</c:v>
                </c:pt>
                <c:pt idx="44">
                  <c:v>500</c:v>
                </c:pt>
                <c:pt idx="45">
                  <c:v>520</c:v>
                </c:pt>
                <c:pt idx="46">
                  <c:v>356</c:v>
                </c:pt>
                <c:pt idx="47">
                  <c:v>572</c:v>
                </c:pt>
                <c:pt idx="48">
                  <c:v>514</c:v>
                </c:pt>
                <c:pt idx="49">
                  <c:v>842</c:v>
                </c:pt>
                <c:pt idx="50">
                  <c:v>176</c:v>
                </c:pt>
                <c:pt idx="51">
                  <c:v>730</c:v>
                </c:pt>
                <c:pt idx="52">
                  <c:v>377</c:v>
                </c:pt>
                <c:pt idx="53">
                  <c:v>866</c:v>
                </c:pt>
                <c:pt idx="54">
                  <c:v>939</c:v>
                </c:pt>
                <c:pt idx="55">
                  <c:v>926</c:v>
                </c:pt>
                <c:pt idx="56">
                  <c:v>229</c:v>
                </c:pt>
                <c:pt idx="57">
                  <c:v>304</c:v>
                </c:pt>
                <c:pt idx="58">
                  <c:v>450</c:v>
                </c:pt>
                <c:pt idx="59">
                  <c:v>843</c:v>
                </c:pt>
                <c:pt idx="60">
                  <c:v>1330</c:v>
                </c:pt>
                <c:pt idx="61">
                  <c:v>455</c:v>
                </c:pt>
                <c:pt idx="62">
                  <c:v>359</c:v>
                </c:pt>
                <c:pt idx="63">
                  <c:v>1133</c:v>
                </c:pt>
                <c:pt idx="64">
                  <c:v>710</c:v>
                </c:pt>
                <c:pt idx="65">
                  <c:v>719</c:v>
                </c:pt>
                <c:pt idx="66">
                  <c:v>346</c:v>
                </c:pt>
                <c:pt idx="67">
                  <c:v>511</c:v>
                </c:pt>
                <c:pt idx="68">
                  <c:v>718</c:v>
                </c:pt>
                <c:pt idx="69">
                  <c:v>381</c:v>
                </c:pt>
                <c:pt idx="70">
                  <c:v>529</c:v>
                </c:pt>
                <c:pt idx="71">
                  <c:v>227</c:v>
                </c:pt>
                <c:pt idx="72">
                  <c:v>612</c:v>
                </c:pt>
                <c:pt idx="73">
                  <c:v>836</c:v>
                </c:pt>
                <c:pt idx="74">
                  <c:v>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37F-930B-8D0ECDDB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68080"/>
        <c:axId val="719468472"/>
      </c:scatterChart>
      <c:valAx>
        <c:axId val="719468080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9468472"/>
        <c:crosses val="autoZero"/>
        <c:crossBetween val="midCat"/>
      </c:valAx>
      <c:valAx>
        <c:axId val="719468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9468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'00.BookData'!$C$1</c:f>
          <c:strCache>
            <c:ptCount val="1"/>
            <c:pt idx="0">
              <c:v>Office 2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'00.BookData'!$B$1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'00.BookData'!$A$3:$A$77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'00.BookData'!$C$3:$C$77</c:f>
              <c:numCache>
                <c:formatCode>0</c:formatCode>
                <c:ptCount val="75"/>
                <c:pt idx="0">
                  <c:v>176</c:v>
                </c:pt>
                <c:pt idx="1">
                  <c:v>204</c:v>
                </c:pt>
                <c:pt idx="2">
                  <c:v>218</c:v>
                </c:pt>
                <c:pt idx="3">
                  <c:v>439</c:v>
                </c:pt>
                <c:pt idx="4">
                  <c:v>229</c:v>
                </c:pt>
                <c:pt idx="5">
                  <c:v>249</c:v>
                </c:pt>
                <c:pt idx="6">
                  <c:v>227</c:v>
                </c:pt>
                <c:pt idx="7">
                  <c:v>256</c:v>
                </c:pt>
                <c:pt idx="8">
                  <c:v>304</c:v>
                </c:pt>
                <c:pt idx="9">
                  <c:v>354</c:v>
                </c:pt>
                <c:pt idx="10">
                  <c:v>289</c:v>
                </c:pt>
                <c:pt idx="11">
                  <c:v>273</c:v>
                </c:pt>
                <c:pt idx="12">
                  <c:v>315</c:v>
                </c:pt>
                <c:pt idx="13">
                  <c:v>346</c:v>
                </c:pt>
                <c:pt idx="14">
                  <c:v>318</c:v>
                </c:pt>
                <c:pt idx="15">
                  <c:v>330</c:v>
                </c:pt>
                <c:pt idx="16">
                  <c:v>359</c:v>
                </c:pt>
                <c:pt idx="17">
                  <c:v>370</c:v>
                </c:pt>
                <c:pt idx="18">
                  <c:v>348</c:v>
                </c:pt>
                <c:pt idx="19">
                  <c:v>281</c:v>
                </c:pt>
                <c:pt idx="20">
                  <c:v>356</c:v>
                </c:pt>
                <c:pt idx="21">
                  <c:v>372</c:v>
                </c:pt>
                <c:pt idx="22">
                  <c:v>377</c:v>
                </c:pt>
                <c:pt idx="23">
                  <c:v>412</c:v>
                </c:pt>
                <c:pt idx="24">
                  <c:v>503</c:v>
                </c:pt>
                <c:pt idx="25">
                  <c:v>381</c:v>
                </c:pt>
                <c:pt idx="26">
                  <c:v>434</c:v>
                </c:pt>
                <c:pt idx="27">
                  <c:v>229</c:v>
                </c:pt>
                <c:pt idx="28">
                  <c:v>446</c:v>
                </c:pt>
                <c:pt idx="29">
                  <c:v>450</c:v>
                </c:pt>
                <c:pt idx="30">
                  <c:v>455</c:v>
                </c:pt>
                <c:pt idx="31">
                  <c:v>465</c:v>
                </c:pt>
                <c:pt idx="32">
                  <c:v>495</c:v>
                </c:pt>
                <c:pt idx="33">
                  <c:v>500</c:v>
                </c:pt>
                <c:pt idx="34">
                  <c:v>412</c:v>
                </c:pt>
                <c:pt idx="35">
                  <c:v>508</c:v>
                </c:pt>
                <c:pt idx="36">
                  <c:v>511</c:v>
                </c:pt>
                <c:pt idx="37">
                  <c:v>612</c:v>
                </c:pt>
                <c:pt idx="38">
                  <c:v>511</c:v>
                </c:pt>
                <c:pt idx="39">
                  <c:v>514</c:v>
                </c:pt>
                <c:pt idx="40">
                  <c:v>520</c:v>
                </c:pt>
                <c:pt idx="41">
                  <c:v>710</c:v>
                </c:pt>
                <c:pt idx="42">
                  <c:v>532</c:v>
                </c:pt>
                <c:pt idx="43">
                  <c:v>540</c:v>
                </c:pt>
                <c:pt idx="44">
                  <c:v>568</c:v>
                </c:pt>
                <c:pt idx="45">
                  <c:v>572</c:v>
                </c:pt>
                <c:pt idx="46">
                  <c:v>576</c:v>
                </c:pt>
                <c:pt idx="47">
                  <c:v>577</c:v>
                </c:pt>
                <c:pt idx="48">
                  <c:v>836</c:v>
                </c:pt>
                <c:pt idx="49">
                  <c:v>603</c:v>
                </c:pt>
                <c:pt idx="50">
                  <c:v>608</c:v>
                </c:pt>
                <c:pt idx="51">
                  <c:v>511</c:v>
                </c:pt>
                <c:pt idx="52">
                  <c:v>676</c:v>
                </c:pt>
                <c:pt idx="53">
                  <c:v>681</c:v>
                </c:pt>
                <c:pt idx="54">
                  <c:v>529</c:v>
                </c:pt>
                <c:pt idx="55">
                  <c:v>718</c:v>
                </c:pt>
                <c:pt idx="56">
                  <c:v>719</c:v>
                </c:pt>
                <c:pt idx="57">
                  <c:v>730</c:v>
                </c:pt>
                <c:pt idx="58">
                  <c:v>866</c:v>
                </c:pt>
                <c:pt idx="59">
                  <c:v>755</c:v>
                </c:pt>
                <c:pt idx="60">
                  <c:v>775</c:v>
                </c:pt>
                <c:pt idx="61">
                  <c:v>802</c:v>
                </c:pt>
                <c:pt idx="62">
                  <c:v>597</c:v>
                </c:pt>
                <c:pt idx="63">
                  <c:v>842</c:v>
                </c:pt>
                <c:pt idx="64">
                  <c:v>851</c:v>
                </c:pt>
                <c:pt idx="65">
                  <c:v>843</c:v>
                </c:pt>
                <c:pt idx="66">
                  <c:v>842</c:v>
                </c:pt>
                <c:pt idx="67">
                  <c:v>856</c:v>
                </c:pt>
                <c:pt idx="68">
                  <c:v>744</c:v>
                </c:pt>
                <c:pt idx="69">
                  <c:v>926</c:v>
                </c:pt>
                <c:pt idx="70">
                  <c:v>939</c:v>
                </c:pt>
                <c:pt idx="71">
                  <c:v>1045</c:v>
                </c:pt>
                <c:pt idx="72">
                  <c:v>1330</c:v>
                </c:pt>
                <c:pt idx="73">
                  <c:v>1133</c:v>
                </c:pt>
                <c:pt idx="74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6A-4625-BC05-91AE3EF7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69256"/>
        <c:axId val="719469648"/>
      </c:scatterChart>
      <c:valAx>
        <c:axId val="71946925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9469648"/>
        <c:crosses val="autoZero"/>
        <c:crossBetween val="midCat"/>
      </c:valAx>
      <c:valAx>
        <c:axId val="7194696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9469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'00.BookData'!$D$1</c:f>
          <c:strCache>
            <c:ptCount val="1"/>
            <c:pt idx="0">
              <c:v>Office 3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'00.BookData'!$B$1</c:f>
              <c:strCache>
                <c:ptCount val="1"/>
                <c:pt idx="0">
                  <c:v>Office 1</c:v>
                </c:pt>
              </c:strCache>
            </c:strRef>
          </c:tx>
          <c:xVal>
            <c:numRef>
              <c:f>'00.BookData'!$A$3:$A$77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'00.BookData'!$D$3:$D$77</c:f>
              <c:numCache>
                <c:formatCode>0</c:formatCode>
                <c:ptCount val="75"/>
                <c:pt idx="0">
                  <c:v>346</c:v>
                </c:pt>
                <c:pt idx="1">
                  <c:v>775</c:v>
                </c:pt>
                <c:pt idx="2">
                  <c:v>572</c:v>
                </c:pt>
                <c:pt idx="3">
                  <c:v>455</c:v>
                </c:pt>
                <c:pt idx="4">
                  <c:v>176</c:v>
                </c:pt>
                <c:pt idx="5">
                  <c:v>412</c:v>
                </c:pt>
                <c:pt idx="6">
                  <c:v>926</c:v>
                </c:pt>
                <c:pt idx="7">
                  <c:v>710</c:v>
                </c:pt>
                <c:pt idx="8">
                  <c:v>514</c:v>
                </c:pt>
                <c:pt idx="9">
                  <c:v>281</c:v>
                </c:pt>
                <c:pt idx="10">
                  <c:v>412</c:v>
                </c:pt>
                <c:pt idx="11">
                  <c:v>939</c:v>
                </c:pt>
                <c:pt idx="12">
                  <c:v>718</c:v>
                </c:pt>
                <c:pt idx="13">
                  <c:v>520</c:v>
                </c:pt>
                <c:pt idx="14">
                  <c:v>289</c:v>
                </c:pt>
                <c:pt idx="15">
                  <c:v>434</c:v>
                </c:pt>
                <c:pt idx="16">
                  <c:v>1045</c:v>
                </c:pt>
                <c:pt idx="17">
                  <c:v>719</c:v>
                </c:pt>
                <c:pt idx="18">
                  <c:v>529</c:v>
                </c:pt>
                <c:pt idx="19">
                  <c:v>304</c:v>
                </c:pt>
                <c:pt idx="20">
                  <c:v>439</c:v>
                </c:pt>
                <c:pt idx="21">
                  <c:v>1045</c:v>
                </c:pt>
                <c:pt idx="22">
                  <c:v>730</c:v>
                </c:pt>
                <c:pt idx="23">
                  <c:v>532</c:v>
                </c:pt>
                <c:pt idx="24">
                  <c:v>315</c:v>
                </c:pt>
                <c:pt idx="25">
                  <c:v>446</c:v>
                </c:pt>
                <c:pt idx="26">
                  <c:v>1133</c:v>
                </c:pt>
                <c:pt idx="27">
                  <c:v>744</c:v>
                </c:pt>
                <c:pt idx="28">
                  <c:v>540</c:v>
                </c:pt>
                <c:pt idx="29">
                  <c:v>318</c:v>
                </c:pt>
                <c:pt idx="30">
                  <c:v>450</c:v>
                </c:pt>
                <c:pt idx="31">
                  <c:v>1330</c:v>
                </c:pt>
                <c:pt idx="32">
                  <c:v>755</c:v>
                </c:pt>
                <c:pt idx="33">
                  <c:v>568</c:v>
                </c:pt>
                <c:pt idx="34">
                  <c:v>330</c:v>
                </c:pt>
                <c:pt idx="35">
                  <c:v>348</c:v>
                </c:pt>
                <c:pt idx="36">
                  <c:v>802</c:v>
                </c:pt>
                <c:pt idx="37">
                  <c:v>576</c:v>
                </c:pt>
                <c:pt idx="38">
                  <c:v>465</c:v>
                </c:pt>
                <c:pt idx="39">
                  <c:v>204</c:v>
                </c:pt>
                <c:pt idx="40">
                  <c:v>354</c:v>
                </c:pt>
                <c:pt idx="41">
                  <c:v>836</c:v>
                </c:pt>
                <c:pt idx="42">
                  <c:v>577</c:v>
                </c:pt>
                <c:pt idx="43">
                  <c:v>495</c:v>
                </c:pt>
                <c:pt idx="44">
                  <c:v>218</c:v>
                </c:pt>
                <c:pt idx="45">
                  <c:v>356</c:v>
                </c:pt>
                <c:pt idx="46">
                  <c:v>842</c:v>
                </c:pt>
                <c:pt idx="47">
                  <c:v>597</c:v>
                </c:pt>
                <c:pt idx="48">
                  <c:v>500</c:v>
                </c:pt>
                <c:pt idx="49">
                  <c:v>227</c:v>
                </c:pt>
                <c:pt idx="50">
                  <c:v>359</c:v>
                </c:pt>
                <c:pt idx="51">
                  <c:v>842</c:v>
                </c:pt>
                <c:pt idx="52">
                  <c:v>603</c:v>
                </c:pt>
                <c:pt idx="53">
                  <c:v>503</c:v>
                </c:pt>
                <c:pt idx="54">
                  <c:v>229</c:v>
                </c:pt>
                <c:pt idx="55">
                  <c:v>370</c:v>
                </c:pt>
                <c:pt idx="56">
                  <c:v>843</c:v>
                </c:pt>
                <c:pt idx="57">
                  <c:v>608</c:v>
                </c:pt>
                <c:pt idx="58">
                  <c:v>508</c:v>
                </c:pt>
                <c:pt idx="59">
                  <c:v>229</c:v>
                </c:pt>
                <c:pt idx="60">
                  <c:v>372</c:v>
                </c:pt>
                <c:pt idx="61">
                  <c:v>851</c:v>
                </c:pt>
                <c:pt idx="62">
                  <c:v>612</c:v>
                </c:pt>
                <c:pt idx="63">
                  <c:v>511</c:v>
                </c:pt>
                <c:pt idx="64">
                  <c:v>249</c:v>
                </c:pt>
                <c:pt idx="65">
                  <c:v>377</c:v>
                </c:pt>
                <c:pt idx="66">
                  <c:v>856</c:v>
                </c:pt>
                <c:pt idx="67">
                  <c:v>676</c:v>
                </c:pt>
                <c:pt idx="68">
                  <c:v>511</c:v>
                </c:pt>
                <c:pt idx="69">
                  <c:v>256</c:v>
                </c:pt>
                <c:pt idx="70">
                  <c:v>381</c:v>
                </c:pt>
                <c:pt idx="71">
                  <c:v>866</c:v>
                </c:pt>
                <c:pt idx="72">
                  <c:v>681</c:v>
                </c:pt>
                <c:pt idx="73">
                  <c:v>511</c:v>
                </c:pt>
                <c:pt idx="74">
                  <c:v>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4-4FCA-B067-77B36B99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470432"/>
        <c:axId val="719470824"/>
      </c:scatterChart>
      <c:valAx>
        <c:axId val="719470432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719470824"/>
        <c:crosses val="autoZero"/>
        <c:crossBetween val="midCat"/>
      </c:valAx>
      <c:valAx>
        <c:axId val="7194708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19470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8</xdr:row>
      <xdr:rowOff>14287</xdr:rowOff>
    </xdr:from>
    <xdr:to>
      <xdr:col>16</xdr:col>
      <xdr:colOff>323850</xdr:colOff>
      <xdr:row>20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119063</xdr:colOff>
      <xdr:row>0</xdr:row>
      <xdr:rowOff>33337</xdr:rowOff>
    </xdr:from>
    <xdr:to>
      <xdr:col>21</xdr:col>
      <xdr:colOff>440531</xdr:colOff>
      <xdr:row>12</xdr:row>
      <xdr:rowOff>204787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214312</xdr:colOff>
      <xdr:row>3</xdr:row>
      <xdr:rowOff>152399</xdr:rowOff>
    </xdr:from>
    <xdr:to>
      <xdr:col>16</xdr:col>
      <xdr:colOff>535782</xdr:colOff>
      <xdr:row>16</xdr:row>
      <xdr:rowOff>109537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2</xdr:row>
      <xdr:rowOff>0</xdr:rowOff>
    </xdr:from>
    <xdr:to>
      <xdr:col>21</xdr:col>
      <xdr:colOff>504825</xdr:colOff>
      <xdr:row>14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523876</xdr:colOff>
      <xdr:row>1</xdr:row>
      <xdr:rowOff>9523</xdr:rowOff>
    </xdr:from>
    <xdr:to>
      <xdr:col>18</xdr:col>
      <xdr:colOff>238125</xdr:colOff>
      <xdr:row>13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595313</xdr:colOff>
      <xdr:row>5</xdr:row>
      <xdr:rowOff>92868</xdr:rowOff>
    </xdr:from>
    <xdr:to>
      <xdr:col>24</xdr:col>
      <xdr:colOff>309564</xdr:colOff>
      <xdr:row>18</xdr:row>
      <xdr:rowOff>50005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278805</xdr:colOff>
      <xdr:row>1</xdr:row>
      <xdr:rowOff>62111</xdr:rowOff>
    </xdr:from>
    <xdr:to>
      <xdr:col>18</xdr:col>
      <xdr:colOff>8930</xdr:colOff>
      <xdr:row>15</xdr:row>
      <xdr:rowOff>156171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333375</xdr:colOff>
      <xdr:row>1</xdr:row>
      <xdr:rowOff>104774</xdr:rowOff>
    </xdr:from>
    <xdr:to>
      <xdr:col>34</xdr:col>
      <xdr:colOff>539562</xdr:colOff>
      <xdr:row>37</xdr:row>
      <xdr:rowOff>132227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161925</xdr:rowOff>
    </xdr:from>
    <xdr:to>
      <xdr:col>19</xdr:col>
      <xdr:colOff>82533</xdr:colOff>
      <xdr:row>18</xdr:row>
      <xdr:rowOff>1862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7</xdr:row>
      <xdr:rowOff>190500</xdr:rowOff>
    </xdr:from>
    <xdr:to>
      <xdr:col>16</xdr:col>
      <xdr:colOff>323850</xdr:colOff>
      <xdr:row>21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12</xdr:row>
      <xdr:rowOff>9525</xdr:rowOff>
    </xdr:from>
    <xdr:to>
      <xdr:col>13</xdr:col>
      <xdr:colOff>587358</xdr:colOff>
      <xdr:row>29</xdr:row>
      <xdr:rowOff>106637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95250</xdr:colOff>
      <xdr:row>14</xdr:row>
      <xdr:rowOff>57150</xdr:rowOff>
    </xdr:from>
    <xdr:to>
      <xdr:col>21</xdr:col>
      <xdr:colOff>400050</xdr:colOff>
      <xdr:row>27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10</xdr:row>
      <xdr:rowOff>85725</xdr:rowOff>
    </xdr:from>
    <xdr:to>
      <xdr:col>19</xdr:col>
      <xdr:colOff>511158</xdr:colOff>
      <xdr:row>27</xdr:row>
      <xdr:rowOff>182837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</xdr:colOff>
      <xdr:row>4</xdr:row>
      <xdr:rowOff>142875</xdr:rowOff>
    </xdr:from>
    <xdr:to>
      <xdr:col>8</xdr:col>
      <xdr:colOff>785812</xdr:colOff>
      <xdr:row>18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402432</xdr:colOff>
      <xdr:row>2</xdr:row>
      <xdr:rowOff>176209</xdr:rowOff>
    </xdr:from>
    <xdr:to>
      <xdr:col>24</xdr:col>
      <xdr:colOff>114301</xdr:colOff>
      <xdr:row>16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00429C-0037-40F6-9B31-4E169127C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14</xdr:row>
      <xdr:rowOff>114299</xdr:rowOff>
    </xdr:from>
    <xdr:to>
      <xdr:col>12</xdr:col>
      <xdr:colOff>523875</xdr:colOff>
      <xdr:row>27</xdr:row>
      <xdr:rowOff>61911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47625</xdr:colOff>
      <xdr:row>14</xdr:row>
      <xdr:rowOff>123825</xdr:rowOff>
    </xdr:from>
    <xdr:to>
      <xdr:col>19</xdr:col>
      <xdr:colOff>257175</xdr:colOff>
      <xdr:row>27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14</xdr:row>
      <xdr:rowOff>123825</xdr:rowOff>
    </xdr:from>
    <xdr:to>
      <xdr:col>25</xdr:col>
      <xdr:colOff>581025</xdr:colOff>
      <xdr:row>27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571500</xdr:colOff>
      <xdr:row>27</xdr:row>
      <xdr:rowOff>157162</xdr:rowOff>
    </xdr:from>
    <xdr:to>
      <xdr:col>12</xdr:col>
      <xdr:colOff>552450</xdr:colOff>
      <xdr:row>43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28</xdr:row>
      <xdr:rowOff>0</xdr:rowOff>
    </xdr:from>
    <xdr:to>
      <xdr:col>19</xdr:col>
      <xdr:colOff>314325</xdr:colOff>
      <xdr:row>43</xdr:row>
      <xdr:rowOff>71438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438150</xdr:colOff>
      <xdr:row>28</xdr:row>
      <xdr:rowOff>19050</xdr:rowOff>
    </xdr:from>
    <xdr:to>
      <xdr:col>26</xdr:col>
      <xdr:colOff>66675</xdr:colOff>
      <xdr:row>43</xdr:row>
      <xdr:rowOff>90488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_html/CourseBase/Games/Game1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.ArdiDbaseForecast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impleExpoWithTr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veInvFlow"/>
      <sheetName val="2. Capacity"/>
      <sheetName val="2a.UStation1"/>
      <sheetName val="2b.Station3"/>
      <sheetName val="2c.UStation2"/>
      <sheetName val="AveFlowTime"/>
      <sheetName val="Game1Data"/>
      <sheetName val="ColumnToMatrix)"/>
    </sheetNames>
    <sheetDataSet>
      <sheetData sheetId="0">
        <row r="4">
          <cell r="B4">
            <v>2</v>
          </cell>
        </row>
        <row r="5">
          <cell r="B5">
            <v>2</v>
          </cell>
        </row>
        <row r="6">
          <cell r="B6">
            <v>1</v>
          </cell>
        </row>
        <row r="7">
          <cell r="B7">
            <v>0</v>
          </cell>
        </row>
        <row r="8">
          <cell r="B8">
            <v>2</v>
          </cell>
        </row>
        <row r="9">
          <cell r="B9">
            <v>1</v>
          </cell>
        </row>
        <row r="10">
          <cell r="B10">
            <v>0</v>
          </cell>
        </row>
        <row r="11">
          <cell r="B11">
            <v>1</v>
          </cell>
        </row>
        <row r="12">
          <cell r="B12">
            <v>3</v>
          </cell>
        </row>
        <row r="13">
          <cell r="B13">
            <v>3</v>
          </cell>
        </row>
        <row r="14">
          <cell r="B14">
            <v>1</v>
          </cell>
        </row>
        <row r="15">
          <cell r="B15">
            <v>2</v>
          </cell>
        </row>
        <row r="16">
          <cell r="B16">
            <v>3</v>
          </cell>
        </row>
        <row r="17">
          <cell r="B17">
            <v>2</v>
          </cell>
        </row>
        <row r="18">
          <cell r="B18">
            <v>2</v>
          </cell>
        </row>
        <row r="19">
          <cell r="B19">
            <v>5</v>
          </cell>
        </row>
        <row r="20">
          <cell r="B20">
            <v>2</v>
          </cell>
        </row>
        <row r="21">
          <cell r="B21">
            <v>2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3</v>
          </cell>
        </row>
        <row r="25">
          <cell r="B25">
            <v>3</v>
          </cell>
        </row>
        <row r="26">
          <cell r="B26">
            <v>3</v>
          </cell>
        </row>
        <row r="27">
          <cell r="B27">
            <v>4</v>
          </cell>
        </row>
        <row r="28">
          <cell r="B28">
            <v>7</v>
          </cell>
        </row>
        <row r="29">
          <cell r="B29">
            <v>1</v>
          </cell>
        </row>
        <row r="30">
          <cell r="B30">
            <v>2</v>
          </cell>
        </row>
        <row r="31">
          <cell r="B31">
            <v>3</v>
          </cell>
        </row>
        <row r="32">
          <cell r="B32">
            <v>2</v>
          </cell>
        </row>
        <row r="33">
          <cell r="B33">
            <v>5</v>
          </cell>
        </row>
        <row r="34">
          <cell r="B34">
            <v>2</v>
          </cell>
        </row>
        <row r="35">
          <cell r="B35">
            <v>3</v>
          </cell>
        </row>
        <row r="36">
          <cell r="B36">
            <v>1</v>
          </cell>
        </row>
        <row r="37">
          <cell r="B37">
            <v>5</v>
          </cell>
        </row>
        <row r="38">
          <cell r="B38">
            <v>2</v>
          </cell>
        </row>
        <row r="39">
          <cell r="B39">
            <v>0</v>
          </cell>
        </row>
        <row r="40">
          <cell r="B40">
            <v>7</v>
          </cell>
        </row>
        <row r="41">
          <cell r="B41">
            <v>3</v>
          </cell>
        </row>
        <row r="42">
          <cell r="B42">
            <v>5</v>
          </cell>
        </row>
        <row r="43">
          <cell r="B43">
            <v>3</v>
          </cell>
        </row>
        <row r="44">
          <cell r="B44">
            <v>7</v>
          </cell>
        </row>
        <row r="45">
          <cell r="B45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ArdiData"/>
      <sheetName val="0.ArdiData28Fixed"/>
    </sheetNames>
    <sheetDataSet>
      <sheetData sheetId="0">
        <row r="1">
          <cell r="K1" t="str">
            <v>Freq</v>
          </cell>
        </row>
        <row r="2">
          <cell r="B2" t="str">
            <v xml:space="preserve">No Trend </v>
          </cell>
          <cell r="C2" t="str">
            <v>Trend</v>
          </cell>
          <cell r="D2" t="str">
            <v>Trend&amp;Seas</v>
          </cell>
          <cell r="F2" t="str">
            <v>0 - 2000</v>
          </cell>
          <cell r="K2">
            <v>1.3333333333333334E-2</v>
          </cell>
        </row>
        <row r="3">
          <cell r="A3">
            <v>1</v>
          </cell>
          <cell r="B3">
            <v>7078</v>
          </cell>
          <cell r="C3">
            <v>1767</v>
          </cell>
          <cell r="D3">
            <v>1767</v>
          </cell>
          <cell r="F3" t="str">
            <v>2000 - 4000</v>
          </cell>
          <cell r="K3">
            <v>0.14666666666666667</v>
          </cell>
        </row>
        <row r="4">
          <cell r="A4">
            <v>2</v>
          </cell>
          <cell r="B4">
            <v>5219</v>
          </cell>
          <cell r="C4">
            <v>2033</v>
          </cell>
          <cell r="D4">
            <v>2033</v>
          </cell>
          <cell r="F4" t="str">
            <v>4000 - 6000</v>
          </cell>
          <cell r="K4">
            <v>0.17333333333333334</v>
          </cell>
        </row>
        <row r="5">
          <cell r="A5">
            <v>3</v>
          </cell>
          <cell r="B5">
            <v>5994</v>
          </cell>
          <cell r="C5">
            <v>2179</v>
          </cell>
          <cell r="D5">
            <v>2179</v>
          </cell>
          <cell r="F5" t="str">
            <v>6000 - 8000</v>
          </cell>
          <cell r="K5">
            <v>0.14666666666666667</v>
          </cell>
        </row>
        <row r="6">
          <cell r="A6">
            <v>4</v>
          </cell>
          <cell r="B6">
            <v>11286</v>
          </cell>
          <cell r="C6">
            <v>2354</v>
          </cell>
          <cell r="D6">
            <v>2679</v>
          </cell>
          <cell r="F6" t="str">
            <v>8000 - 10000</v>
          </cell>
          <cell r="K6">
            <v>0.10666666666666667</v>
          </cell>
        </row>
        <row r="7">
          <cell r="A7">
            <v>5</v>
          </cell>
          <cell r="B7">
            <v>13616</v>
          </cell>
          <cell r="C7">
            <v>2679</v>
          </cell>
          <cell r="D7">
            <v>3062</v>
          </cell>
          <cell r="F7" t="str">
            <v>10000 - 12000</v>
          </cell>
          <cell r="K7">
            <v>0.14666666666666667</v>
          </cell>
        </row>
        <row r="8">
          <cell r="A8">
            <v>6</v>
          </cell>
          <cell r="B8">
            <v>12235</v>
          </cell>
          <cell r="C8">
            <v>2930</v>
          </cell>
          <cell r="D8">
            <v>2354</v>
          </cell>
          <cell r="F8" t="str">
            <v>12000 - 14000</v>
          </cell>
          <cell r="K8">
            <v>0.17333333333333334</v>
          </cell>
        </row>
        <row r="9">
          <cell r="A9">
            <v>7</v>
          </cell>
          <cell r="B9">
            <v>6919</v>
          </cell>
          <cell r="C9">
            <v>3211</v>
          </cell>
          <cell r="D9">
            <v>2930</v>
          </cell>
          <cell r="F9" t="str">
            <v>14000 - 16000</v>
          </cell>
          <cell r="K9">
            <v>5.3333333333333337E-2</v>
          </cell>
        </row>
        <row r="10">
          <cell r="A10">
            <v>8</v>
          </cell>
          <cell r="B10">
            <v>5690</v>
          </cell>
          <cell r="C10">
            <v>3062</v>
          </cell>
          <cell r="D10">
            <v>3374</v>
          </cell>
          <cell r="F10" t="str">
            <v>16000 - 18000</v>
          </cell>
          <cell r="K10">
            <v>0.04</v>
          </cell>
        </row>
        <row r="11">
          <cell r="A11">
            <v>9</v>
          </cell>
          <cell r="B11">
            <v>10500</v>
          </cell>
          <cell r="C11">
            <v>3972</v>
          </cell>
          <cell r="D11">
            <v>3421</v>
          </cell>
          <cell r="F11" t="str">
            <v>18000 - 20000</v>
          </cell>
          <cell r="K11">
            <v>0</v>
          </cell>
        </row>
        <row r="12">
          <cell r="A12">
            <v>10</v>
          </cell>
          <cell r="B12">
            <v>11101</v>
          </cell>
          <cell r="C12">
            <v>3374</v>
          </cell>
          <cell r="D12">
            <v>4050</v>
          </cell>
          <cell r="F12" t="str">
            <v>20000 - 22000</v>
          </cell>
          <cell r="K12">
            <v>0</v>
          </cell>
        </row>
        <row r="13">
          <cell r="A13">
            <v>11</v>
          </cell>
          <cell r="B13">
            <v>3211</v>
          </cell>
          <cell r="C13">
            <v>3421</v>
          </cell>
          <cell r="D13">
            <v>3211</v>
          </cell>
          <cell r="F13" t="str">
            <v>22000 - 24000</v>
          </cell>
          <cell r="K13">
            <v>0</v>
          </cell>
        </row>
        <row r="14">
          <cell r="A14">
            <v>12</v>
          </cell>
          <cell r="B14">
            <v>6625</v>
          </cell>
          <cell r="C14">
            <v>3766</v>
          </cell>
          <cell r="D14">
            <v>3766</v>
          </cell>
          <cell r="F14" t="str">
            <v>24000 - 26000</v>
          </cell>
          <cell r="K14">
            <v>0</v>
          </cell>
        </row>
        <row r="15">
          <cell r="A15">
            <v>13</v>
          </cell>
          <cell r="B15">
            <v>17926</v>
          </cell>
          <cell r="C15">
            <v>4135</v>
          </cell>
          <cell r="D15">
            <v>3972</v>
          </cell>
        </row>
        <row r="16">
          <cell r="A16">
            <v>14</v>
          </cell>
          <cell r="B16">
            <v>10141</v>
          </cell>
          <cell r="C16">
            <v>4948</v>
          </cell>
          <cell r="D16">
            <v>4948</v>
          </cell>
        </row>
        <row r="17">
          <cell r="A17">
            <v>15</v>
          </cell>
          <cell r="B17">
            <v>5349</v>
          </cell>
          <cell r="C17">
            <v>5219</v>
          </cell>
          <cell r="D17">
            <v>5210</v>
          </cell>
        </row>
        <row r="18">
          <cell r="A18">
            <v>16</v>
          </cell>
          <cell r="B18">
            <v>5242</v>
          </cell>
          <cell r="C18">
            <v>4050</v>
          </cell>
          <cell r="D18">
            <v>4584</v>
          </cell>
        </row>
        <row r="19">
          <cell r="A19">
            <v>17</v>
          </cell>
          <cell r="B19">
            <v>2679</v>
          </cell>
          <cell r="C19">
            <v>5210</v>
          </cell>
          <cell r="D19">
            <v>4135</v>
          </cell>
        </row>
        <row r="20">
          <cell r="A20">
            <v>18</v>
          </cell>
          <cell r="B20">
            <v>9760</v>
          </cell>
          <cell r="C20">
            <v>4584</v>
          </cell>
          <cell r="D20">
            <v>5242</v>
          </cell>
        </row>
        <row r="21">
          <cell r="A21">
            <v>19</v>
          </cell>
          <cell r="B21">
            <v>15480</v>
          </cell>
          <cell r="C21">
            <v>5242</v>
          </cell>
          <cell r="D21">
            <v>5647</v>
          </cell>
        </row>
        <row r="22">
          <cell r="A22">
            <v>20</v>
          </cell>
          <cell r="B22">
            <v>11249</v>
          </cell>
          <cell r="C22">
            <v>5349</v>
          </cell>
          <cell r="D22">
            <v>5711</v>
          </cell>
        </row>
        <row r="23">
          <cell r="A23">
            <v>21</v>
          </cell>
          <cell r="B23">
            <v>9455</v>
          </cell>
          <cell r="C23">
            <v>5711</v>
          </cell>
          <cell r="D23">
            <v>5350</v>
          </cell>
        </row>
        <row r="24">
          <cell r="A24">
            <v>22</v>
          </cell>
          <cell r="B24">
            <v>3766</v>
          </cell>
          <cell r="C24">
            <v>5647</v>
          </cell>
          <cell r="D24">
            <v>5219</v>
          </cell>
        </row>
        <row r="25">
          <cell r="A25">
            <v>23</v>
          </cell>
          <cell r="B25">
            <v>2354</v>
          </cell>
          <cell r="C25">
            <v>5690</v>
          </cell>
          <cell r="D25">
            <v>5349</v>
          </cell>
        </row>
        <row r="26">
          <cell r="A26">
            <v>24</v>
          </cell>
          <cell r="B26">
            <v>14632</v>
          </cell>
          <cell r="C26">
            <v>5994</v>
          </cell>
          <cell r="D26">
            <v>6625</v>
          </cell>
        </row>
        <row r="27">
          <cell r="A27">
            <v>25</v>
          </cell>
          <cell r="B27">
            <v>5711</v>
          </cell>
          <cell r="C27">
            <v>5350</v>
          </cell>
          <cell r="D27">
            <v>7078</v>
          </cell>
        </row>
        <row r="28">
          <cell r="A28">
            <v>26</v>
          </cell>
          <cell r="B28">
            <v>9689</v>
          </cell>
          <cell r="C28">
            <v>6292</v>
          </cell>
          <cell r="D28">
            <v>5690</v>
          </cell>
        </row>
        <row r="29">
          <cell r="A29">
            <v>27</v>
          </cell>
          <cell r="B29">
            <v>2930</v>
          </cell>
          <cell r="C29">
            <v>6291</v>
          </cell>
          <cell r="D29">
            <v>5994</v>
          </cell>
        </row>
        <row r="30">
          <cell r="A30">
            <v>28</v>
          </cell>
          <cell r="B30">
            <v>12188</v>
          </cell>
          <cell r="C30">
            <v>7439</v>
          </cell>
          <cell r="D30">
            <v>6291</v>
          </cell>
        </row>
        <row r="31">
          <cell r="A31">
            <v>29</v>
          </cell>
          <cell r="B31">
            <v>16311</v>
          </cell>
          <cell r="C31">
            <v>7700</v>
          </cell>
          <cell r="D31">
            <v>7754</v>
          </cell>
        </row>
        <row r="32">
          <cell r="A32">
            <v>30</v>
          </cell>
          <cell r="B32">
            <v>12222</v>
          </cell>
          <cell r="C32">
            <v>6625</v>
          </cell>
          <cell r="D32">
            <v>7880</v>
          </cell>
        </row>
        <row r="33">
          <cell r="A33">
            <v>31</v>
          </cell>
          <cell r="B33">
            <v>5210</v>
          </cell>
          <cell r="C33">
            <v>7008</v>
          </cell>
          <cell r="D33">
            <v>6292</v>
          </cell>
        </row>
        <row r="34">
          <cell r="A34">
            <v>32</v>
          </cell>
          <cell r="B34">
            <v>5350</v>
          </cell>
          <cell r="C34">
            <v>6919</v>
          </cell>
          <cell r="D34">
            <v>6919</v>
          </cell>
        </row>
        <row r="35">
          <cell r="A35">
            <v>33</v>
          </cell>
          <cell r="B35">
            <v>10600</v>
          </cell>
          <cell r="C35">
            <v>7078</v>
          </cell>
          <cell r="D35">
            <v>7168</v>
          </cell>
        </row>
        <row r="36">
          <cell r="A36">
            <v>34</v>
          </cell>
          <cell r="B36">
            <v>13204</v>
          </cell>
          <cell r="C36">
            <v>7168</v>
          </cell>
          <cell r="D36">
            <v>8152</v>
          </cell>
        </row>
        <row r="37">
          <cell r="A37">
            <v>35</v>
          </cell>
          <cell r="B37">
            <v>7754</v>
          </cell>
          <cell r="C37">
            <v>7754</v>
          </cell>
          <cell r="D37">
            <v>8647</v>
          </cell>
        </row>
        <row r="38">
          <cell r="A38">
            <v>36</v>
          </cell>
          <cell r="B38">
            <v>11839</v>
          </cell>
          <cell r="C38">
            <v>8452</v>
          </cell>
          <cell r="D38">
            <v>7700</v>
          </cell>
        </row>
        <row r="39">
          <cell r="A39">
            <v>37</v>
          </cell>
          <cell r="B39">
            <v>14981</v>
          </cell>
          <cell r="C39">
            <v>7880</v>
          </cell>
          <cell r="D39">
            <v>7008</v>
          </cell>
        </row>
        <row r="40">
          <cell r="A40">
            <v>38</v>
          </cell>
          <cell r="B40">
            <v>8164</v>
          </cell>
          <cell r="C40">
            <v>8152</v>
          </cell>
          <cell r="D40">
            <v>8452</v>
          </cell>
        </row>
        <row r="41">
          <cell r="A41">
            <v>39</v>
          </cell>
          <cell r="B41">
            <v>7008</v>
          </cell>
          <cell r="C41">
            <v>8164</v>
          </cell>
          <cell r="D41">
            <v>9760</v>
          </cell>
        </row>
        <row r="42">
          <cell r="A42">
            <v>40</v>
          </cell>
          <cell r="B42">
            <v>2179</v>
          </cell>
          <cell r="C42">
            <v>9179</v>
          </cell>
          <cell r="D42">
            <v>10600</v>
          </cell>
        </row>
        <row r="43">
          <cell r="A43">
            <v>41</v>
          </cell>
          <cell r="B43">
            <v>6291</v>
          </cell>
          <cell r="C43">
            <v>8647</v>
          </cell>
          <cell r="D43">
            <v>7439</v>
          </cell>
        </row>
        <row r="44">
          <cell r="A44">
            <v>42</v>
          </cell>
          <cell r="B44">
            <v>12889</v>
          </cell>
          <cell r="C44">
            <v>10141</v>
          </cell>
          <cell r="D44">
            <v>8164</v>
          </cell>
        </row>
        <row r="45">
          <cell r="A45">
            <v>43</v>
          </cell>
          <cell r="B45">
            <v>3972</v>
          </cell>
          <cell r="C45">
            <v>9760</v>
          </cell>
          <cell r="D45">
            <v>9689</v>
          </cell>
        </row>
        <row r="46">
          <cell r="A46">
            <v>44</v>
          </cell>
          <cell r="B46">
            <v>3421</v>
          </cell>
          <cell r="C46">
            <v>10043</v>
          </cell>
          <cell r="D46">
            <v>10500</v>
          </cell>
        </row>
        <row r="47">
          <cell r="A47">
            <v>45</v>
          </cell>
          <cell r="B47">
            <v>12322</v>
          </cell>
          <cell r="C47">
            <v>10173</v>
          </cell>
          <cell r="D47">
            <v>11249</v>
          </cell>
        </row>
        <row r="48">
          <cell r="A48">
            <v>46</v>
          </cell>
          <cell r="B48">
            <v>4135</v>
          </cell>
          <cell r="C48">
            <v>10500</v>
          </cell>
          <cell r="D48">
            <v>9179</v>
          </cell>
        </row>
        <row r="49">
          <cell r="A49">
            <v>47</v>
          </cell>
          <cell r="B49">
            <v>4948</v>
          </cell>
          <cell r="C49">
            <v>9455</v>
          </cell>
          <cell r="D49">
            <v>9455</v>
          </cell>
        </row>
        <row r="50">
          <cell r="A50">
            <v>48</v>
          </cell>
          <cell r="B50">
            <v>3062</v>
          </cell>
          <cell r="C50">
            <v>9689</v>
          </cell>
          <cell r="D50">
            <v>10043</v>
          </cell>
        </row>
        <row r="51">
          <cell r="A51">
            <v>49</v>
          </cell>
          <cell r="B51">
            <v>2033</v>
          </cell>
          <cell r="C51">
            <v>10600</v>
          </cell>
          <cell r="D51">
            <v>11286</v>
          </cell>
        </row>
        <row r="52">
          <cell r="A52">
            <v>50</v>
          </cell>
          <cell r="B52">
            <v>12365</v>
          </cell>
          <cell r="C52">
            <v>10545</v>
          </cell>
          <cell r="D52">
            <v>12430</v>
          </cell>
        </row>
        <row r="53">
          <cell r="A53">
            <v>51</v>
          </cell>
          <cell r="B53">
            <v>6292</v>
          </cell>
          <cell r="C53">
            <v>10958</v>
          </cell>
          <cell r="D53">
            <v>10173</v>
          </cell>
        </row>
        <row r="54">
          <cell r="A54">
            <v>52</v>
          </cell>
          <cell r="B54">
            <v>12430</v>
          </cell>
          <cell r="C54">
            <v>11286</v>
          </cell>
          <cell r="D54">
            <v>10545</v>
          </cell>
        </row>
        <row r="55">
          <cell r="A55">
            <v>53</v>
          </cell>
          <cell r="B55">
            <v>4050</v>
          </cell>
          <cell r="C55">
            <v>11249</v>
          </cell>
          <cell r="D55">
            <v>10141</v>
          </cell>
        </row>
        <row r="56">
          <cell r="A56">
            <v>54</v>
          </cell>
          <cell r="B56">
            <v>16948</v>
          </cell>
          <cell r="C56">
            <v>11101</v>
          </cell>
          <cell r="D56">
            <v>12365</v>
          </cell>
        </row>
        <row r="57">
          <cell r="A57">
            <v>55</v>
          </cell>
          <cell r="B57">
            <v>9179</v>
          </cell>
          <cell r="C57">
            <v>11839</v>
          </cell>
          <cell r="D57">
            <v>13050</v>
          </cell>
        </row>
        <row r="58">
          <cell r="A58">
            <v>56</v>
          </cell>
          <cell r="B58">
            <v>12508</v>
          </cell>
          <cell r="C58">
            <v>12188</v>
          </cell>
          <cell r="D58">
            <v>11101</v>
          </cell>
        </row>
        <row r="59">
          <cell r="A59">
            <v>57</v>
          </cell>
          <cell r="B59">
            <v>13050</v>
          </cell>
          <cell r="C59">
            <v>12235</v>
          </cell>
          <cell r="D59">
            <v>11839</v>
          </cell>
        </row>
        <row r="60">
          <cell r="A60">
            <v>58</v>
          </cell>
          <cell r="B60">
            <v>7700</v>
          </cell>
          <cell r="C60">
            <v>12508</v>
          </cell>
          <cell r="D60">
            <v>12222</v>
          </cell>
        </row>
        <row r="61">
          <cell r="A61">
            <v>59</v>
          </cell>
          <cell r="B61">
            <v>5647</v>
          </cell>
          <cell r="C61">
            <v>12222</v>
          </cell>
          <cell r="D61">
            <v>13405</v>
          </cell>
        </row>
        <row r="62">
          <cell r="A62">
            <v>60</v>
          </cell>
          <cell r="B62">
            <v>7880</v>
          </cell>
          <cell r="C62">
            <v>12322</v>
          </cell>
          <cell r="D62">
            <v>13616</v>
          </cell>
        </row>
        <row r="63">
          <cell r="A63">
            <v>61</v>
          </cell>
          <cell r="B63">
            <v>1767</v>
          </cell>
          <cell r="C63">
            <v>12365</v>
          </cell>
          <cell r="D63">
            <v>10958</v>
          </cell>
        </row>
        <row r="64">
          <cell r="A64">
            <v>62</v>
          </cell>
          <cell r="B64">
            <v>10043</v>
          </cell>
          <cell r="C64">
            <v>12430</v>
          </cell>
          <cell r="D64">
            <v>13938</v>
          </cell>
        </row>
        <row r="65">
          <cell r="A65">
            <v>63</v>
          </cell>
          <cell r="B65">
            <v>8452</v>
          </cell>
          <cell r="C65">
            <v>13050</v>
          </cell>
          <cell r="D65">
            <v>12235</v>
          </cell>
        </row>
        <row r="66">
          <cell r="A66">
            <v>64</v>
          </cell>
          <cell r="B66">
            <v>10958</v>
          </cell>
          <cell r="C66">
            <v>12889</v>
          </cell>
          <cell r="D66">
            <v>15480</v>
          </cell>
        </row>
        <row r="67">
          <cell r="A67">
            <v>65</v>
          </cell>
          <cell r="B67">
            <v>13938</v>
          </cell>
          <cell r="C67">
            <v>13938</v>
          </cell>
          <cell r="D67">
            <v>14981</v>
          </cell>
        </row>
        <row r="68">
          <cell r="A68">
            <v>66</v>
          </cell>
          <cell r="B68">
            <v>3374</v>
          </cell>
          <cell r="C68">
            <v>13405</v>
          </cell>
          <cell r="D68">
            <v>12322</v>
          </cell>
        </row>
        <row r="69">
          <cell r="A69">
            <v>67</v>
          </cell>
          <cell r="B69">
            <v>7168</v>
          </cell>
          <cell r="C69">
            <v>13616</v>
          </cell>
          <cell r="D69">
            <v>12188</v>
          </cell>
        </row>
        <row r="70">
          <cell r="A70">
            <v>68</v>
          </cell>
          <cell r="B70">
            <v>4584</v>
          </cell>
          <cell r="C70">
            <v>13204</v>
          </cell>
          <cell r="D70">
            <v>13204</v>
          </cell>
        </row>
        <row r="71">
          <cell r="A71">
            <v>69</v>
          </cell>
          <cell r="B71">
            <v>8647</v>
          </cell>
          <cell r="C71">
            <v>14632</v>
          </cell>
          <cell r="D71">
            <v>14974</v>
          </cell>
        </row>
        <row r="72">
          <cell r="A72">
            <v>70</v>
          </cell>
          <cell r="B72">
            <v>10173</v>
          </cell>
          <cell r="C72">
            <v>14974</v>
          </cell>
          <cell r="D72">
            <v>17926</v>
          </cell>
        </row>
        <row r="73">
          <cell r="A73">
            <v>71</v>
          </cell>
          <cell r="B73">
            <v>10545</v>
          </cell>
          <cell r="C73">
            <v>15480</v>
          </cell>
          <cell r="D73">
            <v>12889</v>
          </cell>
        </row>
        <row r="74">
          <cell r="A74">
            <v>72</v>
          </cell>
          <cell r="B74">
            <v>8152</v>
          </cell>
          <cell r="C74">
            <v>17926</v>
          </cell>
          <cell r="D74">
            <v>12508</v>
          </cell>
        </row>
        <row r="75">
          <cell r="A75">
            <v>73</v>
          </cell>
          <cell r="B75">
            <v>14974</v>
          </cell>
          <cell r="C75">
            <v>14981</v>
          </cell>
          <cell r="D75">
            <v>14632</v>
          </cell>
        </row>
        <row r="76">
          <cell r="A76">
            <v>74</v>
          </cell>
          <cell r="B76">
            <v>13405</v>
          </cell>
          <cell r="C76">
            <v>16311</v>
          </cell>
          <cell r="D76">
            <v>16311</v>
          </cell>
        </row>
        <row r="77">
          <cell r="A77">
            <v>75</v>
          </cell>
          <cell r="B77">
            <v>7439</v>
          </cell>
          <cell r="C77">
            <v>16948</v>
          </cell>
          <cell r="D77">
            <v>16948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OPT.AlphaBeta6ways"/>
      <sheetName val="1.ES-Simp"/>
      <sheetName val="2.ES.Simp.Trend"/>
      <sheetName val="2.ExpoSmoo"/>
      <sheetName val="3.TrendAdj"/>
      <sheetName val="3b.ESLag"/>
      <sheetName val="3.TrenAdExpoSmoo"/>
      <sheetName val="3c.TrAdES"/>
      <sheetName val="3b.OPT.AlphaBeta6ways"/>
      <sheetName val="Prac1.TreAdj.ES"/>
      <sheetName val="Prac2.TreAdj.ES"/>
      <sheetName val="Prac3.TreAdj.ES"/>
      <sheetName val="4.Trend&amp;SeasIravaniMine"/>
      <sheetName val="4b.Trend&amp;SeasonPractice"/>
      <sheetName val="1.Trend&amp;Season"/>
      <sheetName val="TrendAndSeasSocic"/>
      <sheetName val="TrendAndSeasChopra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24"/>
  <sheetViews>
    <sheetView workbookViewId="0">
      <selection activeCell="D28" sqref="D28"/>
    </sheetView>
  </sheetViews>
  <sheetFormatPr defaultColWidth="9.140625" defaultRowHeight="16.5" x14ac:dyDescent="0.3"/>
  <cols>
    <col min="1" max="1" width="3.28515625" style="75" bestFit="1" customWidth="1"/>
    <col min="2" max="2" width="5.85546875" style="75" customWidth="1"/>
    <col min="3" max="3" width="7.42578125" style="75" customWidth="1"/>
    <col min="4" max="4" width="27.28515625" style="75" bestFit="1" customWidth="1"/>
    <col min="5" max="5" width="13.85546875" style="75" bestFit="1" customWidth="1"/>
    <col min="6" max="6" width="16.5703125" style="75" bestFit="1" customWidth="1"/>
    <col min="7" max="7" width="11.140625" style="75" bestFit="1" customWidth="1"/>
    <col min="8" max="8" width="23.28515625" style="75" bestFit="1" customWidth="1"/>
    <col min="9" max="9" width="9.140625" style="75"/>
    <col min="10" max="14" width="8.85546875" customWidth="1"/>
    <col min="15" max="16384" width="9.140625" style="75"/>
  </cols>
  <sheetData>
    <row r="1" spans="1:16" ht="17.25" thickBot="1" x14ac:dyDescent="0.35">
      <c r="A1" s="88" t="s">
        <v>88</v>
      </c>
      <c r="B1" s="88"/>
      <c r="C1" s="88"/>
      <c r="D1" s="88"/>
      <c r="E1" s="88"/>
      <c r="F1" s="88"/>
      <c r="G1" s="88"/>
      <c r="I1" s="88"/>
      <c r="P1" s="75" t="str">
        <f>B8&amp;" vs "&amp;C8</f>
        <v>At vs Ft</v>
      </c>
    </row>
    <row r="2" spans="1:16" ht="17.25" thickBot="1" x14ac:dyDescent="0.35">
      <c r="A2" s="88" t="s">
        <v>79</v>
      </c>
      <c r="B2" s="88"/>
      <c r="C2" s="88"/>
      <c r="D2" s="170" t="s">
        <v>75</v>
      </c>
      <c r="E2" s="177">
        <v>0.4</v>
      </c>
      <c r="I2" s="88"/>
    </row>
    <row r="3" spans="1:16" ht="17.25" thickBot="1" x14ac:dyDescent="0.35">
      <c r="A3" s="88" t="s">
        <v>85</v>
      </c>
      <c r="B3" s="88"/>
      <c r="C3" s="88"/>
      <c r="D3" s="88"/>
      <c r="G3" s="88"/>
      <c r="H3" s="88"/>
    </row>
    <row r="4" spans="1:16" ht="17.25" thickBot="1" x14ac:dyDescent="0.35">
      <c r="A4" s="88" t="s">
        <v>82</v>
      </c>
      <c r="E4" s="178">
        <f>C21</f>
        <v>712.41921689599997</v>
      </c>
      <c r="H4" s="88"/>
    </row>
    <row r="5" spans="1:16" ht="17.25" thickBot="1" x14ac:dyDescent="0.35">
      <c r="A5" s="88" t="s">
        <v>80</v>
      </c>
      <c r="E5" s="178">
        <f>G20</f>
        <v>174.29174911999999</v>
      </c>
      <c r="H5" s="88"/>
      <c r="O5" s="88"/>
    </row>
    <row r="6" spans="1:16" ht="17.25" thickBot="1" x14ac:dyDescent="0.35">
      <c r="A6" s="88" t="s">
        <v>81</v>
      </c>
      <c r="G6" s="178">
        <f>H22</f>
        <v>217.86468639999998</v>
      </c>
      <c r="H6" s="88"/>
      <c r="O6" s="88"/>
      <c r="P6" s="88"/>
    </row>
    <row r="7" spans="1:16" ht="17.25" thickBot="1" x14ac:dyDescent="0.35">
      <c r="A7" s="88" t="s">
        <v>87</v>
      </c>
      <c r="G7" s="190">
        <f>G6/E4</f>
        <v>0.30580967109398483</v>
      </c>
      <c r="H7" s="88"/>
      <c r="O7" s="88"/>
      <c r="P7" s="88"/>
    </row>
    <row r="8" spans="1:16" x14ac:dyDescent="0.3">
      <c r="A8" s="76" t="s">
        <v>74</v>
      </c>
      <c r="B8" s="76" t="s">
        <v>0</v>
      </c>
      <c r="C8" s="75" t="s">
        <v>4</v>
      </c>
      <c r="E8" s="75" t="s">
        <v>73</v>
      </c>
      <c r="G8" s="75" t="s">
        <v>1</v>
      </c>
    </row>
    <row r="9" spans="1:16" x14ac:dyDescent="0.3">
      <c r="A9" s="76">
        <v>1</v>
      </c>
      <c r="B9" s="76">
        <v>323</v>
      </c>
      <c r="C9" s="99">
        <f>B9</f>
        <v>323</v>
      </c>
      <c r="D9" s="75" t="str">
        <f t="shared" ref="D9:D21" ca="1" si="0">_xlfn.FORMULATEXT(C9)</f>
        <v>=B9</v>
      </c>
      <c r="E9" s="169">
        <f t="shared" ref="E9:E20" si="1">ABS(B9-C9)</f>
        <v>0</v>
      </c>
      <c r="F9" s="75" t="str">
        <f t="shared" ref="F9:F20" ca="1" si="2">_xlfn.FORMULATEXT(E9)</f>
        <v>=ABS(B9-C9)</v>
      </c>
      <c r="G9" s="169">
        <f>AVERAGE($E$9:E9)</f>
        <v>0</v>
      </c>
      <c r="H9" s="75" t="str">
        <f t="shared" ref="H9:H20" ca="1" si="3">_xlfn.FORMULATEXT(G9)</f>
        <v>=AVERAGE($E$9:E9)</v>
      </c>
    </row>
    <row r="10" spans="1:16" x14ac:dyDescent="0.3">
      <c r="A10" s="76">
        <v>2</v>
      </c>
      <c r="B10" s="76">
        <v>1098</v>
      </c>
      <c r="C10" s="99">
        <f t="shared" ref="C10:C21" si="4">(1-$E$2)*C9+$E$2*B9</f>
        <v>323</v>
      </c>
      <c r="D10" s="75" t="str">
        <f t="shared" ca="1" si="0"/>
        <v>=(1-$E$2)*C9+$E$2*B9</v>
      </c>
      <c r="E10" s="169">
        <f t="shared" si="1"/>
        <v>775</v>
      </c>
      <c r="F10" s="75" t="str">
        <f t="shared" ca="1" si="2"/>
        <v>=ABS(B10-C10)</v>
      </c>
      <c r="G10" s="169">
        <f>AVERAGE($E$9:E10)</f>
        <v>387.5</v>
      </c>
      <c r="H10" s="75" t="str">
        <f t="shared" ca="1" si="3"/>
        <v>=AVERAGE($E$9:E10)</v>
      </c>
    </row>
    <row r="11" spans="1:16" x14ac:dyDescent="0.3">
      <c r="A11" s="76">
        <v>3</v>
      </c>
      <c r="B11" s="76">
        <v>588</v>
      </c>
      <c r="C11" s="99">
        <f t="shared" si="4"/>
        <v>633</v>
      </c>
      <c r="D11" s="75" t="str">
        <f t="shared" ca="1" si="0"/>
        <v>=(1-$E$2)*C10+$E$2*B10</v>
      </c>
      <c r="E11" s="169">
        <f t="shared" si="1"/>
        <v>45</v>
      </c>
      <c r="F11" s="75" t="str">
        <f t="shared" ca="1" si="2"/>
        <v>=ABS(B11-C11)</v>
      </c>
      <c r="G11" s="169">
        <f>AVERAGE($E$9:E11)</f>
        <v>273.33333333333331</v>
      </c>
      <c r="H11" s="75" t="str">
        <f t="shared" ca="1" si="3"/>
        <v>=AVERAGE($E$9:E11)</v>
      </c>
    </row>
    <row r="12" spans="1:16" x14ac:dyDescent="0.3">
      <c r="A12" s="76">
        <v>4</v>
      </c>
      <c r="B12" s="76">
        <v>329</v>
      </c>
      <c r="C12" s="99">
        <f t="shared" si="4"/>
        <v>615</v>
      </c>
      <c r="D12" s="75" t="str">
        <f t="shared" ca="1" si="0"/>
        <v>=(1-$E$2)*C11+$E$2*B11</v>
      </c>
      <c r="E12" s="169">
        <f t="shared" si="1"/>
        <v>286</v>
      </c>
      <c r="F12" s="75" t="str">
        <f t="shared" ca="1" si="2"/>
        <v>=ABS(B12-C12)</v>
      </c>
      <c r="G12" s="169">
        <f>AVERAGE($E$9:E12)</f>
        <v>276.5</v>
      </c>
      <c r="H12" s="75" t="str">
        <f t="shared" ca="1" si="3"/>
        <v>=AVERAGE($E$9:E12)</v>
      </c>
    </row>
    <row r="13" spans="1:16" x14ac:dyDescent="0.3">
      <c r="A13" s="76">
        <v>5</v>
      </c>
      <c r="B13" s="76">
        <v>495</v>
      </c>
      <c r="C13" s="99">
        <f t="shared" si="4"/>
        <v>500.6</v>
      </c>
      <c r="D13" s="75" t="str">
        <f t="shared" ca="1" si="0"/>
        <v>=(1-$E$2)*C12+$E$2*B12</v>
      </c>
      <c r="E13" s="169">
        <f t="shared" si="1"/>
        <v>5.6000000000000227</v>
      </c>
      <c r="F13" s="75" t="str">
        <f t="shared" ca="1" si="2"/>
        <v>=ABS(B13-C13)</v>
      </c>
      <c r="G13" s="169">
        <f>AVERAGE($E$9:E13)</f>
        <v>222.32</v>
      </c>
      <c r="H13" s="75" t="str">
        <f t="shared" ca="1" si="3"/>
        <v>=AVERAGE($E$9:E13)</v>
      </c>
    </row>
    <row r="14" spans="1:16" x14ac:dyDescent="0.3">
      <c r="A14" s="76">
        <v>6</v>
      </c>
      <c r="B14" s="76">
        <v>391</v>
      </c>
      <c r="C14" s="99">
        <f t="shared" si="4"/>
        <v>498.36</v>
      </c>
      <c r="D14" s="75" t="str">
        <f t="shared" ca="1" si="0"/>
        <v>=(1-$E$2)*C13+$E$2*B13</v>
      </c>
      <c r="E14" s="169">
        <f t="shared" si="1"/>
        <v>107.36000000000001</v>
      </c>
      <c r="F14" s="75" t="str">
        <f t="shared" ca="1" si="2"/>
        <v>=ABS(B14-C14)</v>
      </c>
      <c r="G14" s="169">
        <f>AVERAGE($E$9:E14)</f>
        <v>203.16</v>
      </c>
      <c r="H14" s="75" t="str">
        <f t="shared" ca="1" si="3"/>
        <v>=AVERAGE($E$9:E14)</v>
      </c>
    </row>
    <row r="15" spans="1:16" x14ac:dyDescent="0.3">
      <c r="A15" s="76">
        <v>7</v>
      </c>
      <c r="B15" s="76">
        <v>487</v>
      </c>
      <c r="C15" s="99">
        <f t="shared" si="4"/>
        <v>455.41600000000005</v>
      </c>
      <c r="D15" s="75" t="str">
        <f t="shared" ca="1" si="0"/>
        <v>=(1-$E$2)*C14+$E$2*B14</v>
      </c>
      <c r="E15" s="169">
        <f t="shared" si="1"/>
        <v>31.583999999999946</v>
      </c>
      <c r="F15" s="75" t="str">
        <f t="shared" ca="1" si="2"/>
        <v>=ABS(B15-C15)</v>
      </c>
      <c r="G15" s="169">
        <f>AVERAGE($E$9:E15)</f>
        <v>178.64914285714283</v>
      </c>
      <c r="H15" s="75" t="str">
        <f t="shared" ca="1" si="3"/>
        <v>=AVERAGE($E$9:E15)</v>
      </c>
    </row>
    <row r="16" spans="1:16" x14ac:dyDescent="0.3">
      <c r="A16" s="76">
        <v>8</v>
      </c>
      <c r="B16" s="76">
        <v>552</v>
      </c>
      <c r="C16" s="99">
        <f t="shared" si="4"/>
        <v>468.04960000000005</v>
      </c>
      <c r="D16" s="75" t="str">
        <f t="shared" ca="1" si="0"/>
        <v>=(1-$E$2)*C15+$E$2*B15</v>
      </c>
      <c r="E16" s="169">
        <f t="shared" si="1"/>
        <v>83.950399999999945</v>
      </c>
      <c r="F16" s="75" t="str">
        <f t="shared" ca="1" si="2"/>
        <v>=ABS(B16-C16)</v>
      </c>
      <c r="G16" s="169">
        <f>AVERAGE($E$9:E16)</f>
        <v>166.81179999999998</v>
      </c>
      <c r="H16" s="75" t="str">
        <f t="shared" ca="1" si="3"/>
        <v>=AVERAGE($E$9:E16)</v>
      </c>
    </row>
    <row r="17" spans="1:8" x14ac:dyDescent="0.3">
      <c r="A17" s="76">
        <v>9</v>
      </c>
      <c r="B17" s="76">
        <v>485</v>
      </c>
      <c r="C17" s="99">
        <f t="shared" si="4"/>
        <v>501.62976000000003</v>
      </c>
      <c r="D17" s="75" t="str">
        <f t="shared" ca="1" si="0"/>
        <v>=(1-$E$2)*C16+$E$2*B16</v>
      </c>
      <c r="E17" s="169">
        <f t="shared" si="1"/>
        <v>16.629760000000033</v>
      </c>
      <c r="F17" s="75" t="str">
        <f t="shared" ca="1" si="2"/>
        <v>=ABS(B17-C17)</v>
      </c>
      <c r="G17" s="169">
        <f>AVERAGE($E$9:E17)</f>
        <v>150.12490666666665</v>
      </c>
      <c r="H17" s="75" t="str">
        <f t="shared" ca="1" si="3"/>
        <v>=AVERAGE($E$9:E17)</v>
      </c>
    </row>
    <row r="18" spans="1:8" x14ac:dyDescent="0.3">
      <c r="A18" s="76">
        <v>10</v>
      </c>
      <c r="B18" s="76">
        <v>741</v>
      </c>
      <c r="C18" s="99">
        <f t="shared" si="4"/>
        <v>494.97785600000003</v>
      </c>
      <c r="D18" s="75" t="str">
        <f t="shared" ca="1" si="0"/>
        <v>=(1-$E$2)*C17+$E$2*B17</v>
      </c>
      <c r="E18" s="169">
        <f t="shared" si="1"/>
        <v>246.02214399999997</v>
      </c>
      <c r="F18" s="75" t="str">
        <f t="shared" ca="1" si="2"/>
        <v>=ABS(B18-C18)</v>
      </c>
      <c r="G18" s="169">
        <f>AVERAGE($E$9:E18)</f>
        <v>159.71463039999998</v>
      </c>
      <c r="H18" s="75" t="str">
        <f t="shared" ca="1" si="3"/>
        <v>=AVERAGE($E$9:E18)</v>
      </c>
    </row>
    <row r="19" spans="1:8" ht="17.25" thickBot="1" x14ac:dyDescent="0.35">
      <c r="A19" s="76">
        <v>11</v>
      </c>
      <c r="B19" s="76">
        <v>495</v>
      </c>
      <c r="C19" s="99">
        <f t="shared" si="4"/>
        <v>593.38671360000012</v>
      </c>
      <c r="D19" s="75" t="str">
        <f t="shared" ca="1" si="0"/>
        <v>=(1-$E$2)*C18+$E$2*B18</v>
      </c>
      <c r="E19" s="169">
        <f t="shared" si="1"/>
        <v>98.386713600000121</v>
      </c>
      <c r="F19" s="75" t="str">
        <f t="shared" ca="1" si="2"/>
        <v>=ABS(B19-C19)</v>
      </c>
      <c r="G19" s="169">
        <f>AVERAGE($E$9:E19)</f>
        <v>154.13936523636363</v>
      </c>
      <c r="H19" s="75" t="str">
        <f t="shared" ca="1" si="3"/>
        <v>=AVERAGE($E$9:E19)</v>
      </c>
    </row>
    <row r="20" spans="1:8" ht="17.25" thickBot="1" x14ac:dyDescent="0.35">
      <c r="A20" s="76">
        <v>12</v>
      </c>
      <c r="B20" s="76">
        <v>950</v>
      </c>
      <c r="C20" s="99">
        <f t="shared" si="4"/>
        <v>554.03202815999998</v>
      </c>
      <c r="D20" s="75" t="str">
        <f t="shared" ca="1" si="0"/>
        <v>=(1-$E$2)*C19+$E$2*B19</v>
      </c>
      <c r="E20" s="169">
        <f t="shared" si="1"/>
        <v>395.96797184000002</v>
      </c>
      <c r="F20" s="75" t="str">
        <f t="shared" ca="1" si="2"/>
        <v>=ABS(B20-C20)</v>
      </c>
      <c r="G20" s="171">
        <f>AVERAGE($E$9:E20)</f>
        <v>174.29174911999999</v>
      </c>
      <c r="H20" s="75" t="str">
        <f t="shared" ca="1" si="3"/>
        <v>=AVERAGE($E$9:E20)</v>
      </c>
    </row>
    <row r="21" spans="1:8" ht="17.25" thickBot="1" x14ac:dyDescent="0.35">
      <c r="A21" s="76">
        <v>13</v>
      </c>
      <c r="B21" s="76"/>
      <c r="C21" s="172">
        <f t="shared" si="4"/>
        <v>712.41921689599997</v>
      </c>
      <c r="D21" s="75" t="str">
        <f t="shared" ca="1" si="0"/>
        <v>=(1-$E$2)*C20+$E$2*B20</v>
      </c>
      <c r="E21" s="169"/>
      <c r="G21" s="169"/>
    </row>
    <row r="22" spans="1:8" x14ac:dyDescent="0.3">
      <c r="A22" s="176" t="s">
        <v>76</v>
      </c>
      <c r="C22" s="176"/>
      <c r="E22" s="173" t="s">
        <v>78</v>
      </c>
      <c r="F22" s="174">
        <f>C21</f>
        <v>712.41921689599997</v>
      </c>
      <c r="G22" s="175" t="s">
        <v>77</v>
      </c>
      <c r="H22" s="174">
        <f>1.25*G20</f>
        <v>217.86468639999998</v>
      </c>
    </row>
    <row r="23" spans="1:8" x14ac:dyDescent="0.3">
      <c r="F23" s="75" t="str">
        <f ca="1">_xlfn.FORMULATEXT(F22)</f>
        <v>=C21</v>
      </c>
      <c r="H23" s="75" t="str">
        <f ca="1">_xlfn.FORMULATEXT(H22)</f>
        <v>=1.25*G20</v>
      </c>
    </row>
    <row r="24" spans="1:8" x14ac:dyDescent="0.3">
      <c r="G24" s="170" t="s">
        <v>86</v>
      </c>
      <c r="H24" s="180">
        <f>H22/F22</f>
        <v>0.30580967109398483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X62"/>
  <sheetViews>
    <sheetView zoomScale="80" zoomScaleNormal="80" workbookViewId="0">
      <selection activeCell="M30" sqref="M30"/>
    </sheetView>
  </sheetViews>
  <sheetFormatPr defaultColWidth="9.140625" defaultRowHeight="16.5" x14ac:dyDescent="0.3"/>
  <cols>
    <col min="1" max="1" width="9.140625" style="75"/>
    <col min="2" max="2" width="4.85546875" style="75" customWidth="1"/>
    <col min="3" max="3" width="9.7109375" style="75" bestFit="1" customWidth="1"/>
    <col min="4" max="4" width="15.7109375" style="75" customWidth="1"/>
    <col min="5" max="5" width="11.42578125" style="76" customWidth="1"/>
    <col min="6" max="6" width="10.7109375" style="76" customWidth="1"/>
    <col min="7" max="7" width="18.42578125" style="76" bestFit="1" customWidth="1"/>
    <col min="8" max="8" width="15.42578125" style="75" bestFit="1" customWidth="1"/>
    <col min="9" max="16384" width="9.140625" style="75"/>
  </cols>
  <sheetData>
    <row r="1" spans="1:24" x14ac:dyDescent="0.3">
      <c r="A1" s="88" t="s">
        <v>50</v>
      </c>
      <c r="B1" s="88"/>
      <c r="C1" s="88"/>
      <c r="D1" s="88"/>
      <c r="E1" s="88"/>
      <c r="F1" s="88"/>
      <c r="G1" s="88"/>
      <c r="H1" s="88"/>
      <c r="I1" s="88"/>
      <c r="J1" s="88"/>
      <c r="K1"/>
    </row>
    <row r="2" spans="1:24" ht="17.25" thickBot="1" x14ac:dyDescent="0.35">
      <c r="A2" s="88" t="s">
        <v>51</v>
      </c>
      <c r="B2" s="88"/>
      <c r="C2" s="88"/>
      <c r="D2" s="88"/>
      <c r="E2">
        <v>0.3</v>
      </c>
      <c r="F2"/>
      <c r="G2" s="88"/>
      <c r="H2" s="88"/>
      <c r="I2" s="88"/>
      <c r="J2" s="88"/>
      <c r="K2"/>
    </row>
    <row r="3" spans="1:24" ht="17.25" thickBot="1" x14ac:dyDescent="0.35">
      <c r="A3" s="88" t="s">
        <v>52</v>
      </c>
      <c r="B3"/>
      <c r="C3"/>
      <c r="D3"/>
      <c r="E3"/>
      <c r="F3"/>
      <c r="G3" s="92">
        <f>G60</f>
        <v>18.772602390637807</v>
      </c>
      <c r="H3" s="88"/>
      <c r="I3" s="88"/>
      <c r="N3"/>
      <c r="O3"/>
      <c r="P3"/>
      <c r="Q3"/>
      <c r="R3"/>
      <c r="S3"/>
      <c r="T3"/>
      <c r="U3"/>
      <c r="V3"/>
      <c r="W3" s="88"/>
      <c r="X3"/>
    </row>
    <row r="4" spans="1:24" ht="17.25" thickBot="1" x14ac:dyDescent="0.35">
      <c r="A4" s="89" t="s">
        <v>45</v>
      </c>
      <c r="B4" s="89"/>
      <c r="C4" s="89"/>
      <c r="D4" s="89"/>
      <c r="E4" s="61"/>
      <c r="F4" s="90"/>
      <c r="G4" s="89"/>
      <c r="H4" s="93">
        <f>D61</f>
        <v>68.637112428336991</v>
      </c>
      <c r="I4"/>
    </row>
    <row r="5" spans="1:24" ht="17.25" thickBot="1" x14ac:dyDescent="0.35">
      <c r="A5" s="89" t="s">
        <v>46</v>
      </c>
      <c r="B5"/>
      <c r="C5"/>
      <c r="D5"/>
      <c r="E5"/>
      <c r="F5"/>
      <c r="G5"/>
      <c r="H5"/>
      <c r="I5" s="92">
        <f>1.25*G3</f>
        <v>23.465752988297261</v>
      </c>
      <c r="J5"/>
    </row>
    <row r="6" spans="1:24" x14ac:dyDescent="0.3">
      <c r="A6" s="89" t="s">
        <v>47</v>
      </c>
      <c r="B6"/>
      <c r="C6" s="89" t="s">
        <v>48</v>
      </c>
      <c r="D6"/>
      <c r="E6" s="89" t="s">
        <v>49</v>
      </c>
      <c r="F6" s="75"/>
      <c r="G6"/>
      <c r="J6" s="88"/>
      <c r="K6" s="75">
        <v>0</v>
      </c>
      <c r="L6" s="75">
        <v>4</v>
      </c>
      <c r="M6" s="75">
        <v>0</v>
      </c>
      <c r="N6" s="75">
        <v>-4</v>
      </c>
    </row>
    <row r="7" spans="1:24" x14ac:dyDescent="0.3">
      <c r="A7" s="89" t="s">
        <v>53</v>
      </c>
      <c r="B7"/>
      <c r="C7" t="s">
        <v>40</v>
      </c>
      <c r="D7"/>
      <c r="E7" t="s">
        <v>49</v>
      </c>
      <c r="F7"/>
      <c r="G7"/>
      <c r="H7"/>
      <c r="I7"/>
      <c r="J7"/>
      <c r="K7" s="75">
        <v>50</v>
      </c>
      <c r="L7" s="75">
        <v>4</v>
      </c>
      <c r="M7" s="75">
        <v>0</v>
      </c>
      <c r="N7" s="75">
        <v>-4</v>
      </c>
    </row>
    <row r="8" spans="1:24" x14ac:dyDescent="0.3">
      <c r="E8" s="75"/>
      <c r="F8" s="75"/>
      <c r="G8" s="75"/>
      <c r="H8"/>
      <c r="I8" s="89"/>
      <c r="J8"/>
    </row>
    <row r="9" spans="1:24" ht="17.25" thickBot="1" x14ac:dyDescent="0.35"/>
    <row r="10" spans="1:24" ht="17.25" thickBot="1" x14ac:dyDescent="0.35">
      <c r="A10" s="77" t="s">
        <v>37</v>
      </c>
      <c r="B10" s="79" t="s">
        <v>31</v>
      </c>
      <c r="C10" s="80" t="s">
        <v>0</v>
      </c>
      <c r="D10" s="80" t="s">
        <v>41</v>
      </c>
      <c r="E10" s="108" t="s">
        <v>42</v>
      </c>
      <c r="F10" s="108" t="s">
        <v>2</v>
      </c>
      <c r="G10" s="108" t="s">
        <v>43</v>
      </c>
      <c r="H10" s="114" t="s">
        <v>44</v>
      </c>
    </row>
    <row r="11" spans="1:24" x14ac:dyDescent="0.3">
      <c r="A11" s="100">
        <f ca="1">'0.ArdiData&amp;FixedData'!B3</f>
        <v>3868</v>
      </c>
      <c r="B11" s="85">
        <v>1</v>
      </c>
      <c r="C11" s="103">
        <v>60</v>
      </c>
      <c r="D11" s="105">
        <f>C11</f>
        <v>60</v>
      </c>
      <c r="E11" s="109">
        <f>C11-D11</f>
        <v>0</v>
      </c>
      <c r="F11" s="111">
        <f>ABS(E11)</f>
        <v>0</v>
      </c>
      <c r="G11" s="113">
        <f>AVERAGE($F$11:F11)</f>
        <v>0</v>
      </c>
      <c r="H11" s="115" t="e">
        <f>SUM($E$11:E11)/G11</f>
        <v>#DIV/0!</v>
      </c>
    </row>
    <row r="12" spans="1:24" x14ac:dyDescent="0.3">
      <c r="A12" s="101">
        <f ca="1">'0.ArdiData&amp;FixedData'!B4</f>
        <v>3253</v>
      </c>
      <c r="B12" s="85">
        <v>2</v>
      </c>
      <c r="C12" s="103">
        <v>38</v>
      </c>
      <c r="D12" s="105">
        <f>(1-$E$2)*D11+$E$2*C11</f>
        <v>60</v>
      </c>
      <c r="E12" s="109">
        <f>C12-D12</f>
        <v>-22</v>
      </c>
      <c r="F12" s="111">
        <f>ABS(E12)</f>
        <v>22</v>
      </c>
      <c r="G12" s="113">
        <f>AVERAGE($F$11:F12)</f>
        <v>11</v>
      </c>
      <c r="H12" s="116">
        <f>SUM($E$11:E12)/G12</f>
        <v>-2</v>
      </c>
    </row>
    <row r="13" spans="1:24" x14ac:dyDescent="0.3">
      <c r="A13" s="101">
        <f ca="1">'0.ArdiData&amp;FixedData'!B5</f>
        <v>4764</v>
      </c>
      <c r="B13" s="85">
        <v>3</v>
      </c>
      <c r="C13" s="103">
        <v>29</v>
      </c>
      <c r="D13" s="105">
        <f t="shared" ref="D13:D61" si="0">(1-$E$2)*D12+$E$2*C12</f>
        <v>53.4</v>
      </c>
      <c r="E13" s="109">
        <f t="shared" ref="E13:E60" si="1">C13-D13</f>
        <v>-24.4</v>
      </c>
      <c r="F13" s="111">
        <f t="shared" ref="F13:F60" si="2">ABS(E13)</f>
        <v>24.4</v>
      </c>
      <c r="G13" s="113">
        <f>AVERAGE($F$11:F13)</f>
        <v>15.466666666666667</v>
      </c>
      <c r="H13" s="116">
        <f>SUM($E$11:E13)/G13</f>
        <v>-3</v>
      </c>
    </row>
    <row r="14" spans="1:24" x14ac:dyDescent="0.3">
      <c r="A14" s="101">
        <f ca="1">'0.ArdiData&amp;FixedData'!B6</f>
        <v>6689</v>
      </c>
      <c r="B14" s="85">
        <v>4</v>
      </c>
      <c r="C14" s="103">
        <v>21</v>
      </c>
      <c r="D14" s="105">
        <f t="shared" si="0"/>
        <v>46.08</v>
      </c>
      <c r="E14" s="109">
        <f t="shared" si="1"/>
        <v>-25.08</v>
      </c>
      <c r="F14" s="111">
        <f t="shared" si="2"/>
        <v>25.08</v>
      </c>
      <c r="G14" s="113">
        <f>AVERAGE($F$11:F14)</f>
        <v>17.869999999999997</v>
      </c>
      <c r="H14" s="116">
        <f>SUM($E$11:E14)/G14</f>
        <v>-4</v>
      </c>
    </row>
    <row r="15" spans="1:24" x14ac:dyDescent="0.3">
      <c r="A15" s="101">
        <f ca="1">'0.ArdiData&amp;FixedData'!B7</f>
        <v>5698</v>
      </c>
      <c r="B15" s="85">
        <v>5</v>
      </c>
      <c r="C15" s="103">
        <v>26</v>
      </c>
      <c r="D15" s="105">
        <f t="shared" si="0"/>
        <v>38.555999999999997</v>
      </c>
      <c r="E15" s="109">
        <f t="shared" si="1"/>
        <v>-12.555999999999997</v>
      </c>
      <c r="F15" s="111">
        <f t="shared" si="2"/>
        <v>12.555999999999997</v>
      </c>
      <c r="G15" s="113">
        <f>AVERAGE($F$11:F15)</f>
        <v>16.807199999999998</v>
      </c>
      <c r="H15" s="116">
        <f>SUM($E$11:E15)/G15</f>
        <v>-5</v>
      </c>
    </row>
    <row r="16" spans="1:24" x14ac:dyDescent="0.3">
      <c r="A16" s="101">
        <f ca="1">'0.ArdiData&amp;FixedData'!B8</f>
        <v>2158</v>
      </c>
      <c r="B16" s="85">
        <v>6</v>
      </c>
      <c r="C16" s="103">
        <v>43</v>
      </c>
      <c r="D16" s="105">
        <f t="shared" si="0"/>
        <v>34.789199999999994</v>
      </c>
      <c r="E16" s="109">
        <f t="shared" si="1"/>
        <v>8.2108000000000061</v>
      </c>
      <c r="F16" s="111">
        <f t="shared" si="2"/>
        <v>8.2108000000000061</v>
      </c>
      <c r="G16" s="113">
        <f>AVERAGE($F$11:F16)</f>
        <v>15.374466666666665</v>
      </c>
      <c r="H16" s="116">
        <f>SUM($E$11:E16)/G16</f>
        <v>-4.9318914043630775</v>
      </c>
    </row>
    <row r="17" spans="1:8" x14ac:dyDescent="0.3">
      <c r="A17" s="101">
        <f ca="1">'0.ArdiData&amp;FixedData'!B9</f>
        <v>4628</v>
      </c>
      <c r="B17" s="85">
        <v>7</v>
      </c>
      <c r="C17" s="103">
        <v>39</v>
      </c>
      <c r="D17" s="105">
        <f t="shared" si="0"/>
        <v>37.252439999999993</v>
      </c>
      <c r="E17" s="109">
        <f t="shared" si="1"/>
        <v>1.7475600000000071</v>
      </c>
      <c r="F17" s="111">
        <f t="shared" si="2"/>
        <v>1.7475600000000071</v>
      </c>
      <c r="G17" s="113">
        <f>AVERAGE($F$11:F17)</f>
        <v>13.427765714285714</v>
      </c>
      <c r="H17" s="116">
        <f>SUM($E$11:E17)/G17</f>
        <v>-5.5167510050603017</v>
      </c>
    </row>
    <row r="18" spans="1:8" x14ac:dyDescent="0.3">
      <c r="A18" s="101">
        <f ca="1">'0.ArdiData&amp;FixedData'!B10</f>
        <v>6681</v>
      </c>
      <c r="B18" s="85">
        <v>8</v>
      </c>
      <c r="C18" s="103">
        <v>38</v>
      </c>
      <c r="D18" s="105">
        <f t="shared" si="0"/>
        <v>37.776707999999992</v>
      </c>
      <c r="E18" s="109">
        <f t="shared" si="1"/>
        <v>0.22329200000000782</v>
      </c>
      <c r="F18" s="111">
        <f t="shared" si="2"/>
        <v>0.22329200000000782</v>
      </c>
      <c r="G18" s="113">
        <f>AVERAGE($F$11:F18)</f>
        <v>11.777206500000002</v>
      </c>
      <c r="H18" s="116">
        <f>SUM($E$11:E18)/G18</f>
        <v>-6.2709563596426658</v>
      </c>
    </row>
    <row r="19" spans="1:8" x14ac:dyDescent="0.3">
      <c r="A19" s="101">
        <f ca="1">'0.ArdiData&amp;FixedData'!B11</f>
        <v>2820</v>
      </c>
      <c r="B19" s="85">
        <v>9</v>
      </c>
      <c r="C19" s="103">
        <v>45</v>
      </c>
      <c r="D19" s="105">
        <f t="shared" si="0"/>
        <v>37.843695599999997</v>
      </c>
      <c r="E19" s="109">
        <f t="shared" si="1"/>
        <v>7.1563044000000033</v>
      </c>
      <c r="F19" s="111">
        <f t="shared" si="2"/>
        <v>7.1563044000000033</v>
      </c>
      <c r="G19" s="113">
        <f>AVERAGE($F$11:F19)</f>
        <v>11.263772933333335</v>
      </c>
      <c r="H19" s="116">
        <f>SUM($E$11:E19)/G19</f>
        <v>-5.921465568843078</v>
      </c>
    </row>
    <row r="20" spans="1:8" x14ac:dyDescent="0.3">
      <c r="A20" s="101">
        <f ca="1">'0.ArdiData&amp;FixedData'!B12</f>
        <v>1893</v>
      </c>
      <c r="B20" s="85">
        <v>10</v>
      </c>
      <c r="C20" s="103">
        <v>73</v>
      </c>
      <c r="D20" s="105">
        <f t="shared" si="0"/>
        <v>39.990586919999998</v>
      </c>
      <c r="E20" s="109">
        <f t="shared" si="1"/>
        <v>33.009413080000002</v>
      </c>
      <c r="F20" s="111">
        <f t="shared" si="2"/>
        <v>33.009413080000002</v>
      </c>
      <c r="G20" s="113">
        <f>AVERAGE($F$11:F20)</f>
        <v>13.438336948000003</v>
      </c>
      <c r="H20" s="116">
        <f>SUM($E$11:E20)/G20</f>
        <v>-2.5069047345932005</v>
      </c>
    </row>
    <row r="21" spans="1:8" x14ac:dyDescent="0.3">
      <c r="A21" s="101">
        <f ca="1">'0.ArdiData&amp;FixedData'!B13</f>
        <v>5504</v>
      </c>
      <c r="B21" s="85">
        <v>11</v>
      </c>
      <c r="C21" s="103">
        <v>26</v>
      </c>
      <c r="D21" s="105">
        <f t="shared" si="0"/>
        <v>49.893410843999995</v>
      </c>
      <c r="E21" s="109">
        <f t="shared" si="1"/>
        <v>-23.893410843999995</v>
      </c>
      <c r="F21" s="111">
        <f t="shared" si="2"/>
        <v>23.893410843999995</v>
      </c>
      <c r="G21" s="113">
        <f>AVERAGE($F$11:F21)</f>
        <v>14.388798211272729</v>
      </c>
      <c r="H21" s="116">
        <f>SUM($E$11:E21)/G21</f>
        <v>-4.0018659319920129</v>
      </c>
    </row>
    <row r="22" spans="1:8" x14ac:dyDescent="0.3">
      <c r="A22" s="101">
        <f ca="1">'0.ArdiData&amp;FixedData'!B14</f>
        <v>4428</v>
      </c>
      <c r="B22" s="85">
        <v>12</v>
      </c>
      <c r="C22" s="103">
        <v>96</v>
      </c>
      <c r="D22" s="105">
        <f t="shared" si="0"/>
        <v>42.72538759079999</v>
      </c>
      <c r="E22" s="109">
        <f t="shared" si="1"/>
        <v>53.27461240920001</v>
      </c>
      <c r="F22" s="111">
        <f t="shared" si="2"/>
        <v>53.27461240920001</v>
      </c>
      <c r="G22" s="113">
        <f>AVERAGE($F$11:F22)</f>
        <v>17.629282727766668</v>
      </c>
      <c r="H22" s="116">
        <f>SUM($E$11:E22)/G22</f>
        <v>-0.24433376112435912</v>
      </c>
    </row>
    <row r="23" spans="1:8" x14ac:dyDescent="0.3">
      <c r="A23" s="101">
        <f ca="1">'0.ArdiData&amp;FixedData'!B15</f>
        <v>4065</v>
      </c>
      <c r="B23" s="85">
        <v>13</v>
      </c>
      <c r="C23" s="103">
        <v>50</v>
      </c>
      <c r="D23" s="105">
        <f t="shared" si="0"/>
        <v>58.707771313559988</v>
      </c>
      <c r="E23" s="109">
        <f t="shared" si="1"/>
        <v>-8.7077713135599879</v>
      </c>
      <c r="F23" s="111">
        <f t="shared" si="2"/>
        <v>8.7077713135599879</v>
      </c>
      <c r="G23" s="113">
        <f>AVERAGE($F$11:F23)</f>
        <v>16.943012618981541</v>
      </c>
      <c r="H23" s="116">
        <f>SUM($E$11:E23)/G23</f>
        <v>-0.76817509146978813</v>
      </c>
    </row>
    <row r="24" spans="1:8" x14ac:dyDescent="0.3">
      <c r="A24" s="101">
        <f ca="1">'0.ArdiData&amp;FixedData'!B16</f>
        <v>3099</v>
      </c>
      <c r="B24" s="85">
        <v>14</v>
      </c>
      <c r="C24" s="103">
        <v>57</v>
      </c>
      <c r="D24" s="105">
        <f t="shared" si="0"/>
        <v>56.095439919491987</v>
      </c>
      <c r="E24" s="109">
        <f t="shared" si="1"/>
        <v>0.90456008050801273</v>
      </c>
      <c r="F24" s="111">
        <f t="shared" si="2"/>
        <v>0.90456008050801273</v>
      </c>
      <c r="G24" s="113">
        <f>AVERAGE($F$11:F24)</f>
        <v>15.797408866233431</v>
      </c>
      <c r="H24" s="116">
        <f>SUM($E$11:E24)/G24</f>
        <v>-0.76662193720503746</v>
      </c>
    </row>
    <row r="25" spans="1:8" x14ac:dyDescent="0.3">
      <c r="A25" s="101">
        <f ca="1">'0.ArdiData&amp;FixedData'!B17</f>
        <v>4556</v>
      </c>
      <c r="B25" s="85">
        <v>15</v>
      </c>
      <c r="C25" s="103">
        <v>72</v>
      </c>
      <c r="D25" s="105">
        <f t="shared" si="0"/>
        <v>56.366807943644389</v>
      </c>
      <c r="E25" s="109">
        <f t="shared" si="1"/>
        <v>15.633192056355611</v>
      </c>
      <c r="F25" s="111">
        <f t="shared" si="2"/>
        <v>15.633192056355611</v>
      </c>
      <c r="G25" s="113">
        <f>AVERAGE($F$11:F25)</f>
        <v>15.786461078908243</v>
      </c>
      <c r="H25" s="116">
        <f>SUM($E$11:E25)/G25</f>
        <v>0.22313752594050779</v>
      </c>
    </row>
    <row r="26" spans="1:8" x14ac:dyDescent="0.3">
      <c r="A26" s="101">
        <f ca="1">'0.ArdiData&amp;FixedData'!B18</f>
        <v>6483</v>
      </c>
      <c r="B26" s="85">
        <v>16</v>
      </c>
      <c r="C26" s="103">
        <v>56</v>
      </c>
      <c r="D26" s="105">
        <f t="shared" si="0"/>
        <v>61.056765560551071</v>
      </c>
      <c r="E26" s="109">
        <f t="shared" si="1"/>
        <v>-5.0567655605510708</v>
      </c>
      <c r="F26" s="111">
        <f t="shared" si="2"/>
        <v>5.0567655605510708</v>
      </c>
      <c r="G26" s="113">
        <f>AVERAGE($F$11:F26)</f>
        <v>15.115855109010919</v>
      </c>
      <c r="H26" s="116">
        <f>SUM($E$11:E26)/G26</f>
        <v>-0.10149698319963289</v>
      </c>
    </row>
    <row r="27" spans="1:8" x14ac:dyDescent="0.3">
      <c r="A27" s="101">
        <f ca="1">'0.ArdiData&amp;FixedData'!B19</f>
        <v>5961</v>
      </c>
      <c r="B27" s="85">
        <v>17</v>
      </c>
      <c r="C27" s="103">
        <v>27</v>
      </c>
      <c r="D27" s="105">
        <f t="shared" si="0"/>
        <v>59.53973589238575</v>
      </c>
      <c r="E27" s="109">
        <f t="shared" si="1"/>
        <v>-32.53973589238575</v>
      </c>
      <c r="F27" s="111">
        <f t="shared" si="2"/>
        <v>32.53973589238575</v>
      </c>
      <c r="G27" s="113">
        <f>AVERAGE($F$11:F27)</f>
        <v>16.14078927273885</v>
      </c>
      <c r="H27" s="116">
        <f>SUM($E$11:E27)/G27</f>
        <v>-2.1110460590661857</v>
      </c>
    </row>
    <row r="28" spans="1:8" x14ac:dyDescent="0.3">
      <c r="A28" s="101">
        <f ca="1">'0.ArdiData&amp;FixedData'!B20</f>
        <v>6004</v>
      </c>
      <c r="B28" s="85">
        <v>18</v>
      </c>
      <c r="C28" s="103">
        <v>33</v>
      </c>
      <c r="D28" s="105">
        <f t="shared" si="0"/>
        <v>49.77781512467002</v>
      </c>
      <c r="E28" s="109">
        <f t="shared" si="1"/>
        <v>-16.77781512467002</v>
      </c>
      <c r="F28" s="111">
        <f t="shared" si="2"/>
        <v>16.77781512467002</v>
      </c>
      <c r="G28" s="113">
        <f>AVERAGE($F$11:F28)</f>
        <v>16.17617959784614</v>
      </c>
      <c r="H28" s="116">
        <f>SUM($E$11:E28)/G28</f>
        <v>-3.1436201855643375</v>
      </c>
    </row>
    <row r="29" spans="1:8" x14ac:dyDescent="0.3">
      <c r="A29" s="101">
        <f ca="1">'0.ArdiData&amp;FixedData'!B21</f>
        <v>4759</v>
      </c>
      <c r="B29" s="85">
        <v>19</v>
      </c>
      <c r="C29" s="103">
        <v>73</v>
      </c>
      <c r="D29" s="105">
        <f t="shared" si="0"/>
        <v>44.744470587269014</v>
      </c>
      <c r="E29" s="109">
        <f t="shared" si="1"/>
        <v>28.255529412730986</v>
      </c>
      <c r="F29" s="111">
        <f t="shared" si="2"/>
        <v>28.255529412730986</v>
      </c>
      <c r="G29" s="113">
        <f>AVERAGE($F$11:F29)</f>
        <v>16.811934851261132</v>
      </c>
      <c r="H29" s="116">
        <f>SUM($E$11:E29)/G29</f>
        <v>-1.3440591755967406</v>
      </c>
    </row>
    <row r="30" spans="1:8" x14ac:dyDescent="0.3">
      <c r="A30" s="101">
        <f ca="1">'0.ArdiData&amp;FixedData'!B22</f>
        <v>7957</v>
      </c>
      <c r="B30" s="85">
        <v>20</v>
      </c>
      <c r="C30" s="103">
        <v>55</v>
      </c>
      <c r="D30" s="105">
        <f t="shared" si="0"/>
        <v>53.221129411088306</v>
      </c>
      <c r="E30" s="109">
        <f t="shared" si="1"/>
        <v>1.778870588911694</v>
      </c>
      <c r="F30" s="111">
        <f t="shared" si="2"/>
        <v>1.778870588911694</v>
      </c>
      <c r="G30" s="113">
        <f>AVERAGE($F$11:F30)</f>
        <v>16.060281638143657</v>
      </c>
      <c r="H30" s="116">
        <f>SUM($E$11:E30)/G30</f>
        <v>-1.296201721520162</v>
      </c>
    </row>
    <row r="31" spans="1:8" x14ac:dyDescent="0.3">
      <c r="A31" s="101">
        <f ca="1">'0.ArdiData&amp;FixedData'!B23</f>
        <v>5233</v>
      </c>
      <c r="B31" s="85">
        <v>21</v>
      </c>
      <c r="C31" s="103">
        <v>31</v>
      </c>
      <c r="D31" s="105">
        <f t="shared" si="0"/>
        <v>53.754790587761811</v>
      </c>
      <c r="E31" s="109">
        <f t="shared" si="1"/>
        <v>-22.754790587761811</v>
      </c>
      <c r="F31" s="111">
        <f t="shared" si="2"/>
        <v>22.754790587761811</v>
      </c>
      <c r="G31" s="113">
        <f>AVERAGE($F$11:F31)</f>
        <v>16.379067778601666</v>
      </c>
      <c r="H31" s="116">
        <f>SUM($E$11:E31)/G31</f>
        <v>-2.6602341405624346</v>
      </c>
    </row>
    <row r="32" spans="1:8" x14ac:dyDescent="0.3">
      <c r="A32" s="101">
        <f ca="1">'0.ArdiData&amp;FixedData'!B24</f>
        <v>3285</v>
      </c>
      <c r="B32" s="85">
        <v>22</v>
      </c>
      <c r="C32" s="103">
        <v>60</v>
      </c>
      <c r="D32" s="105">
        <f t="shared" si="0"/>
        <v>46.928353411433264</v>
      </c>
      <c r="E32" s="109">
        <f t="shared" si="1"/>
        <v>13.071646588566736</v>
      </c>
      <c r="F32" s="111">
        <f t="shared" si="2"/>
        <v>13.071646588566736</v>
      </c>
      <c r="G32" s="113">
        <f>AVERAGE($F$11:F32)</f>
        <v>16.228730451781896</v>
      </c>
      <c r="H32" s="116">
        <f>SUM($E$11:E32)/G32</f>
        <v>-1.8794143384953819</v>
      </c>
    </row>
    <row r="33" spans="1:8" x14ac:dyDescent="0.3">
      <c r="A33" s="101">
        <f ca="1">'0.ArdiData&amp;FixedData'!B25</f>
        <v>5644</v>
      </c>
      <c r="B33" s="85">
        <v>23</v>
      </c>
      <c r="C33" s="103">
        <v>26</v>
      </c>
      <c r="D33" s="105">
        <f t="shared" si="0"/>
        <v>50.849847388003283</v>
      </c>
      <c r="E33" s="109">
        <f t="shared" si="1"/>
        <v>-24.849847388003283</v>
      </c>
      <c r="F33" s="111">
        <f t="shared" si="2"/>
        <v>24.849847388003283</v>
      </c>
      <c r="G33" s="113">
        <f>AVERAGE($F$11:F33)</f>
        <v>16.603561622921958</v>
      </c>
      <c r="H33" s="116">
        <f>SUM($E$11:E33)/G33</f>
        <v>-3.3336435489988592</v>
      </c>
    </row>
    <row r="34" spans="1:8" x14ac:dyDescent="0.3">
      <c r="A34" s="101">
        <f ca="1">'0.ArdiData&amp;FixedData'!B26</f>
        <v>2404</v>
      </c>
      <c r="B34" s="85">
        <v>24</v>
      </c>
      <c r="C34" s="103">
        <v>25</v>
      </c>
      <c r="D34" s="105">
        <f t="shared" si="0"/>
        <v>43.394893171602291</v>
      </c>
      <c r="E34" s="109">
        <f t="shared" si="1"/>
        <v>-18.394893171602291</v>
      </c>
      <c r="F34" s="111">
        <f t="shared" si="2"/>
        <v>18.394893171602291</v>
      </c>
      <c r="G34" s="113">
        <f>AVERAGE($F$11:F34)</f>
        <v>16.678200437450304</v>
      </c>
      <c r="H34" s="116">
        <f>SUM($E$11:E34)/G34</f>
        <v>-4.4216550546226072</v>
      </c>
    </row>
    <row r="35" spans="1:8" x14ac:dyDescent="0.3">
      <c r="A35" s="101">
        <f ca="1">'0.ArdiData&amp;FixedData'!B27</f>
        <v>2442</v>
      </c>
      <c r="B35" s="85">
        <v>25</v>
      </c>
      <c r="C35" s="103">
        <v>65</v>
      </c>
      <c r="D35" s="105">
        <f t="shared" si="0"/>
        <v>37.876425220121604</v>
      </c>
      <c r="E35" s="109">
        <f t="shared" si="1"/>
        <v>27.123574779878396</v>
      </c>
      <c r="F35" s="111">
        <f t="shared" si="2"/>
        <v>27.123574779878396</v>
      </c>
      <c r="G35" s="113">
        <f>AVERAGE($F$11:F35)</f>
        <v>17.096015411147427</v>
      </c>
      <c r="H35" s="116">
        <f>SUM($E$11:E35)/G35</f>
        <v>-2.7270491611737278</v>
      </c>
    </row>
    <row r="36" spans="1:8" x14ac:dyDescent="0.3">
      <c r="A36" s="101">
        <f ca="1">'0.ArdiData&amp;FixedData'!B28</f>
        <v>5578</v>
      </c>
      <c r="B36" s="85">
        <v>26</v>
      </c>
      <c r="C36" s="103">
        <v>68</v>
      </c>
      <c r="D36" s="105">
        <f t="shared" si="0"/>
        <v>46.013497654085121</v>
      </c>
      <c r="E36" s="109">
        <f t="shared" si="1"/>
        <v>21.986502345914879</v>
      </c>
      <c r="F36" s="111">
        <f t="shared" si="2"/>
        <v>21.986502345914879</v>
      </c>
      <c r="G36" s="113">
        <f>AVERAGE($F$11:F36)</f>
        <v>17.284111062484637</v>
      </c>
      <c r="H36" s="116">
        <f>SUM($E$11:E36)/G36</f>
        <v>-1.4253074428536139</v>
      </c>
    </row>
    <row r="37" spans="1:8" x14ac:dyDescent="0.3">
      <c r="A37" s="101">
        <f ca="1">'0.ArdiData&amp;FixedData'!B29</f>
        <v>3790</v>
      </c>
      <c r="B37" s="85">
        <v>27</v>
      </c>
      <c r="C37" s="103">
        <v>100</v>
      </c>
      <c r="D37" s="105">
        <f t="shared" si="0"/>
        <v>52.609448357859584</v>
      </c>
      <c r="E37" s="109">
        <f t="shared" si="1"/>
        <v>47.390551642140416</v>
      </c>
      <c r="F37" s="111">
        <f t="shared" si="2"/>
        <v>47.390551642140416</v>
      </c>
      <c r="G37" s="113">
        <f>AVERAGE($F$11:F37)</f>
        <v>18.399164417286702</v>
      </c>
      <c r="H37" s="116">
        <f>SUM($E$11:E37)/G37</f>
        <v>1.2367615716446911</v>
      </c>
    </row>
    <row r="38" spans="1:8" x14ac:dyDescent="0.3">
      <c r="A38" s="101">
        <f ca="1">'0.ArdiData&amp;FixedData'!B30</f>
        <v>2476</v>
      </c>
      <c r="B38" s="85">
        <v>28</v>
      </c>
      <c r="C38" s="103">
        <v>66</v>
      </c>
      <c r="D38" s="105">
        <f t="shared" si="0"/>
        <v>66.826613850501701</v>
      </c>
      <c r="E38" s="109">
        <f t="shared" si="1"/>
        <v>-0.82661385050170111</v>
      </c>
      <c r="F38" s="111">
        <f t="shared" si="2"/>
        <v>0.82661385050170111</v>
      </c>
      <c r="G38" s="113">
        <f>AVERAGE($F$11:F38)</f>
        <v>17.771573325615808</v>
      </c>
      <c r="H38" s="116">
        <f>SUM($E$11:E38)/G38</f>
        <v>1.2339237077880394</v>
      </c>
    </row>
    <row r="39" spans="1:8" x14ac:dyDescent="0.3">
      <c r="A39" s="101">
        <f ca="1">'0.ArdiData&amp;FixedData'!B31</f>
        <v>6077</v>
      </c>
      <c r="B39" s="85">
        <v>29</v>
      </c>
      <c r="C39" s="103">
        <v>50</v>
      </c>
      <c r="D39" s="105">
        <f t="shared" si="0"/>
        <v>66.578629695351182</v>
      </c>
      <c r="E39" s="109">
        <f t="shared" si="1"/>
        <v>-16.578629695351182</v>
      </c>
      <c r="F39" s="111">
        <f t="shared" si="2"/>
        <v>16.578629695351182</v>
      </c>
      <c r="G39" s="113">
        <f>AVERAGE($F$11:F39)</f>
        <v>17.730437338365306</v>
      </c>
      <c r="H39" s="116">
        <f>SUM($E$11:E39)/G39</f>
        <v>0.30174867397337207</v>
      </c>
    </row>
    <row r="40" spans="1:8" x14ac:dyDescent="0.3">
      <c r="A40" s="101">
        <f ca="1">'0.ArdiData&amp;FixedData'!B32</f>
        <v>3379</v>
      </c>
      <c r="B40" s="85">
        <v>30</v>
      </c>
      <c r="C40" s="103">
        <v>57</v>
      </c>
      <c r="D40" s="105">
        <f t="shared" si="0"/>
        <v>61.605040786745825</v>
      </c>
      <c r="E40" s="109">
        <f t="shared" si="1"/>
        <v>-4.6050407867458247</v>
      </c>
      <c r="F40" s="111">
        <f t="shared" si="2"/>
        <v>4.6050407867458247</v>
      </c>
      <c r="G40" s="113">
        <f>AVERAGE($F$11:F40)</f>
        <v>17.29292411997799</v>
      </c>
      <c r="H40" s="116">
        <f>SUM($E$11:E40)/G40</f>
        <v>4.3086707829422831E-2</v>
      </c>
    </row>
    <row r="41" spans="1:8" x14ac:dyDescent="0.3">
      <c r="A41" s="101">
        <f ca="1">'0.ArdiData&amp;FixedData'!B33</f>
        <v>6123</v>
      </c>
      <c r="B41" s="85">
        <v>31</v>
      </c>
      <c r="C41" s="103">
        <v>86</v>
      </c>
      <c r="D41" s="105">
        <f t="shared" si="0"/>
        <v>60.223528550722079</v>
      </c>
      <c r="E41" s="109">
        <f t="shared" si="1"/>
        <v>25.776471449277921</v>
      </c>
      <c r="F41" s="111">
        <f t="shared" si="2"/>
        <v>25.776471449277921</v>
      </c>
      <c r="G41" s="113">
        <f>AVERAGE($F$11:F41)</f>
        <v>17.566586937052179</v>
      </c>
      <c r="H41" s="116">
        <f>SUM($E$11:E41)/G41</f>
        <v>1.5097734530554365</v>
      </c>
    </row>
    <row r="42" spans="1:8" x14ac:dyDescent="0.3">
      <c r="A42" s="101">
        <f ca="1">'0.ArdiData&amp;FixedData'!B34</f>
        <v>2997</v>
      </c>
      <c r="B42" s="85">
        <v>32</v>
      </c>
      <c r="C42" s="103">
        <v>54</v>
      </c>
      <c r="D42" s="105">
        <f t="shared" si="0"/>
        <v>67.95646998550545</v>
      </c>
      <c r="E42" s="109">
        <f t="shared" si="1"/>
        <v>-13.95646998550545</v>
      </c>
      <c r="F42" s="111">
        <f t="shared" si="2"/>
        <v>13.95646998550545</v>
      </c>
      <c r="G42" s="113">
        <f>AVERAGE($F$11:F42)</f>
        <v>17.453770782316344</v>
      </c>
      <c r="H42" s="116">
        <f>SUM($E$11:E42)/G42</f>
        <v>0.71990727903777296</v>
      </c>
    </row>
    <row r="43" spans="1:8" x14ac:dyDescent="0.3">
      <c r="A43" s="101">
        <f ca="1">'0.ArdiData&amp;FixedData'!B35</f>
        <v>3156</v>
      </c>
      <c r="B43" s="85">
        <v>33</v>
      </c>
      <c r="C43" s="103">
        <v>77</v>
      </c>
      <c r="D43" s="105">
        <f t="shared" si="0"/>
        <v>63.769528989853811</v>
      </c>
      <c r="E43" s="109">
        <f t="shared" si="1"/>
        <v>13.230471010146189</v>
      </c>
      <c r="F43" s="111">
        <f t="shared" si="2"/>
        <v>13.230471010146189</v>
      </c>
      <c r="G43" s="113">
        <f>AVERAGE($F$11:F43)</f>
        <v>17.32579200134149</v>
      </c>
      <c r="H43" s="116">
        <f>SUM($E$11:E43)/G43</f>
        <v>1.4888535912814402</v>
      </c>
    </row>
    <row r="44" spans="1:8" x14ac:dyDescent="0.3">
      <c r="A44" s="101">
        <f ca="1">'0.ArdiData&amp;FixedData'!B36</f>
        <v>5673</v>
      </c>
      <c r="B44" s="85">
        <v>34</v>
      </c>
      <c r="C44" s="103">
        <v>28</v>
      </c>
      <c r="D44" s="105">
        <f t="shared" si="0"/>
        <v>67.738670292897666</v>
      </c>
      <c r="E44" s="109">
        <f t="shared" si="1"/>
        <v>-39.738670292897666</v>
      </c>
      <c r="F44" s="111">
        <f t="shared" si="2"/>
        <v>39.738670292897666</v>
      </c>
      <c r="G44" s="113">
        <f>AVERAGE($F$11:F44)</f>
        <v>17.984994304034316</v>
      </c>
      <c r="H44" s="116">
        <f>SUM($E$11:E44)/G44</f>
        <v>-0.77526311180301455</v>
      </c>
    </row>
    <row r="45" spans="1:8" x14ac:dyDescent="0.3">
      <c r="A45" s="101">
        <f ca="1">'0.ArdiData&amp;FixedData'!B37</f>
        <v>5486</v>
      </c>
      <c r="B45" s="85">
        <v>35</v>
      </c>
      <c r="C45" s="103">
        <v>46</v>
      </c>
      <c r="D45" s="105">
        <f t="shared" si="0"/>
        <v>55.817069205028361</v>
      </c>
      <c r="E45" s="109">
        <f t="shared" si="1"/>
        <v>-9.8170692050283606</v>
      </c>
      <c r="F45" s="111">
        <f t="shared" si="2"/>
        <v>9.8170692050283606</v>
      </c>
      <c r="G45" s="113">
        <f>AVERAGE($F$11:F45)</f>
        <v>17.751625015491289</v>
      </c>
      <c r="H45" s="116">
        <f>SUM($E$11:E45)/G45</f>
        <v>-1.3384786933139212</v>
      </c>
    </row>
    <row r="46" spans="1:8" x14ac:dyDescent="0.3">
      <c r="A46" s="101">
        <f ca="1">'0.ArdiData&amp;FixedData'!B38</f>
        <v>4143</v>
      </c>
      <c r="B46" s="85">
        <v>36</v>
      </c>
      <c r="C46" s="103">
        <v>34</v>
      </c>
      <c r="D46" s="105">
        <f t="shared" si="0"/>
        <v>52.871948443519848</v>
      </c>
      <c r="E46" s="109">
        <f t="shared" si="1"/>
        <v>-18.871948443519848</v>
      </c>
      <c r="F46" s="111">
        <f t="shared" si="2"/>
        <v>18.871948443519848</v>
      </c>
      <c r="G46" s="113">
        <f>AVERAGE($F$11:F46)</f>
        <v>17.782745110714306</v>
      </c>
      <c r="H46" s="116">
        <f>SUM($E$11:E46)/G46</f>
        <v>-2.3973869069723666</v>
      </c>
    </row>
    <row r="47" spans="1:8" x14ac:dyDescent="0.3">
      <c r="A47" s="101">
        <f ca="1">'0.ArdiData&amp;FixedData'!B39</f>
        <v>3107</v>
      </c>
      <c r="B47" s="85">
        <v>37</v>
      </c>
      <c r="C47" s="103">
        <v>86</v>
      </c>
      <c r="D47" s="105">
        <f t="shared" si="0"/>
        <v>47.210363910463897</v>
      </c>
      <c r="E47" s="109">
        <f t="shared" si="1"/>
        <v>38.789636089536103</v>
      </c>
      <c r="F47" s="111">
        <f t="shared" si="2"/>
        <v>38.789636089536103</v>
      </c>
      <c r="G47" s="113">
        <f>AVERAGE($F$11:F47)</f>
        <v>18.350498920952731</v>
      </c>
      <c r="H47" s="116">
        <f>SUM($E$11:E47)/G47</f>
        <v>-0.20939399116445087</v>
      </c>
    </row>
    <row r="48" spans="1:8" x14ac:dyDescent="0.3">
      <c r="A48" s="101">
        <f ca="1">'0.ArdiData&amp;FixedData'!B40</f>
        <v>6180</v>
      </c>
      <c r="B48" s="85">
        <v>38</v>
      </c>
      <c r="C48" s="103">
        <v>64</v>
      </c>
      <c r="D48" s="105">
        <f t="shared" si="0"/>
        <v>58.847254737324732</v>
      </c>
      <c r="E48" s="109">
        <f t="shared" si="1"/>
        <v>5.1527452626752677</v>
      </c>
      <c r="F48" s="111">
        <f t="shared" si="2"/>
        <v>5.1527452626752677</v>
      </c>
      <c r="G48" s="113">
        <f>AVERAGE($F$11:F48)</f>
        <v>18.003189614155957</v>
      </c>
      <c r="H48" s="116">
        <f>SUM($E$11:E48)/G48</f>
        <v>7.2779384200217734E-2</v>
      </c>
    </row>
    <row r="49" spans="1:8" x14ac:dyDescent="0.3">
      <c r="A49" s="101">
        <f ca="1">'0.ArdiData&amp;FixedData'!B41</f>
        <v>2932</v>
      </c>
      <c r="B49" s="85">
        <v>39</v>
      </c>
      <c r="C49" s="103">
        <v>69</v>
      </c>
      <c r="D49" s="105">
        <f t="shared" si="0"/>
        <v>60.393078316127315</v>
      </c>
      <c r="E49" s="109">
        <f t="shared" si="1"/>
        <v>8.6069216838726845</v>
      </c>
      <c r="F49" s="111">
        <f t="shared" si="2"/>
        <v>8.6069216838726845</v>
      </c>
      <c r="G49" s="113">
        <f>AVERAGE($F$11:F49)</f>
        <v>17.762259667225614</v>
      </c>
      <c r="H49" s="116">
        <f>SUM($E$11:E49)/G49</f>
        <v>0.55832889077337367</v>
      </c>
    </row>
    <row r="50" spans="1:8" x14ac:dyDescent="0.3">
      <c r="A50" s="101">
        <f ca="1">'0.ArdiData&amp;FixedData'!B42</f>
        <v>2134</v>
      </c>
      <c r="B50" s="85">
        <v>40</v>
      </c>
      <c r="C50" s="103">
        <v>33</v>
      </c>
      <c r="D50" s="105">
        <f t="shared" si="0"/>
        <v>62.975154821289124</v>
      </c>
      <c r="E50" s="109">
        <f t="shared" si="1"/>
        <v>-29.975154821289124</v>
      </c>
      <c r="F50" s="111">
        <f t="shared" si="2"/>
        <v>29.975154821289124</v>
      </c>
      <c r="G50" s="113">
        <f>AVERAGE($F$11:F50)</f>
        <v>18.067582046077202</v>
      </c>
      <c r="H50" s="116">
        <f>SUM($E$11:E50)/G50</f>
        <v>-1.110163608639229</v>
      </c>
    </row>
    <row r="51" spans="1:8" x14ac:dyDescent="0.3">
      <c r="A51" s="101">
        <f ca="1">'0.ArdiData&amp;FixedData'!B43</f>
        <v>6933</v>
      </c>
      <c r="B51" s="85">
        <v>41</v>
      </c>
      <c r="C51" s="103">
        <v>41</v>
      </c>
      <c r="D51" s="105">
        <f t="shared" si="0"/>
        <v>53.982608374902384</v>
      </c>
      <c r="E51" s="109">
        <f t="shared" si="1"/>
        <v>-12.982608374902384</v>
      </c>
      <c r="F51" s="111">
        <f t="shared" si="2"/>
        <v>12.982608374902384</v>
      </c>
      <c r="G51" s="113">
        <f>AVERAGE($F$11:F51)</f>
        <v>17.943558297999768</v>
      </c>
      <c r="H51" s="116">
        <f>SUM($E$11:E51)/G51</f>
        <v>-1.8413616691759487</v>
      </c>
    </row>
    <row r="52" spans="1:8" x14ac:dyDescent="0.3">
      <c r="A52" s="101">
        <f ca="1">'0.ArdiData&amp;FixedData'!B44</f>
        <v>8899</v>
      </c>
      <c r="B52" s="85">
        <v>42</v>
      </c>
      <c r="C52" s="103">
        <v>56</v>
      </c>
      <c r="D52" s="105">
        <f t="shared" si="0"/>
        <v>50.087825862431664</v>
      </c>
      <c r="E52" s="109">
        <f t="shared" si="1"/>
        <v>5.9121741375683357</v>
      </c>
      <c r="F52" s="111">
        <f t="shared" si="2"/>
        <v>5.9121741375683357</v>
      </c>
      <c r="G52" s="113">
        <f>AVERAGE($F$11:F52)</f>
        <v>17.657096770370448</v>
      </c>
      <c r="H52" s="116">
        <f>SUM($E$11:E52)/G52</f>
        <v>-1.5364024263895624</v>
      </c>
    </row>
    <row r="53" spans="1:8" ht="15.75" customHeight="1" x14ac:dyDescent="0.3">
      <c r="A53" s="101">
        <f ca="1">'0.ArdiData&amp;FixedData'!B45</f>
        <v>6678</v>
      </c>
      <c r="B53" s="85">
        <v>43</v>
      </c>
      <c r="C53" s="103">
        <v>28</v>
      </c>
      <c r="D53" s="105">
        <f t="shared" si="0"/>
        <v>51.861478103702169</v>
      </c>
      <c r="E53" s="109">
        <f t="shared" si="1"/>
        <v>-23.861478103702169</v>
      </c>
      <c r="F53" s="111">
        <f t="shared" si="2"/>
        <v>23.861478103702169</v>
      </c>
      <c r="G53" s="113">
        <f>AVERAGE($F$11:F53)</f>
        <v>17.801384708354906</v>
      </c>
      <c r="H53" s="116">
        <f>SUM($E$11:E53)/G53</f>
        <v>-2.8643774211993196</v>
      </c>
    </row>
    <row r="54" spans="1:8" x14ac:dyDescent="0.3">
      <c r="A54" s="101">
        <f ca="1">'0.ArdiData&amp;FixedData'!B46</f>
        <v>2601</v>
      </c>
      <c r="B54" s="85">
        <v>44</v>
      </c>
      <c r="C54" s="103">
        <v>19</v>
      </c>
      <c r="D54" s="105">
        <f t="shared" si="0"/>
        <v>44.703034672591514</v>
      </c>
      <c r="E54" s="109">
        <f t="shared" si="1"/>
        <v>-25.703034672591514</v>
      </c>
      <c r="F54" s="111">
        <f t="shared" si="2"/>
        <v>25.703034672591514</v>
      </c>
      <c r="G54" s="113">
        <f>AVERAGE($F$11:F54)</f>
        <v>17.980967662087554</v>
      </c>
      <c r="H54" s="116">
        <f>SUM($E$11:E54)/G54</f>
        <v>-4.2652275749870432</v>
      </c>
    </row>
    <row r="55" spans="1:8" x14ac:dyDescent="0.3">
      <c r="A55" s="101">
        <f ca="1">'0.ArdiData&amp;FixedData'!B47</f>
        <v>5937</v>
      </c>
      <c r="B55" s="85">
        <v>45</v>
      </c>
      <c r="C55" s="103">
        <v>16</v>
      </c>
      <c r="D55" s="105">
        <f t="shared" si="0"/>
        <v>36.99212427081406</v>
      </c>
      <c r="E55" s="109">
        <f t="shared" si="1"/>
        <v>-20.99212427081406</v>
      </c>
      <c r="F55" s="111">
        <f t="shared" si="2"/>
        <v>20.99212427081406</v>
      </c>
      <c r="G55" s="113">
        <f>AVERAGE($F$11:F55)</f>
        <v>18.04788225339259</v>
      </c>
      <c r="H55" s="116">
        <f>SUM($E$11:E55)/G55</f>
        <v>-5.4125487963961882</v>
      </c>
    </row>
    <row r="56" spans="1:8" x14ac:dyDescent="0.3">
      <c r="A56" s="101">
        <f ca="1">'0.ArdiData&amp;FixedData'!B48</f>
        <v>1850</v>
      </c>
      <c r="B56" s="85">
        <v>46</v>
      </c>
      <c r="C56" s="103">
        <v>53</v>
      </c>
      <c r="D56" s="105">
        <f t="shared" si="0"/>
        <v>30.694486989569842</v>
      </c>
      <c r="E56" s="109">
        <f t="shared" si="1"/>
        <v>22.305513010430158</v>
      </c>
      <c r="F56" s="111">
        <f t="shared" si="2"/>
        <v>22.305513010430158</v>
      </c>
      <c r="G56" s="113">
        <f>AVERAGE($F$11:F56)</f>
        <v>18.140439443762972</v>
      </c>
      <c r="H56" s="116">
        <f>SUM($E$11:E56)/G56</f>
        <v>-4.1553309990837599</v>
      </c>
    </row>
    <row r="57" spans="1:8" x14ac:dyDescent="0.3">
      <c r="A57" s="101">
        <f ca="1">'0.ArdiData&amp;FixedData'!B49</f>
        <v>5368</v>
      </c>
      <c r="B57" s="85">
        <v>47</v>
      </c>
      <c r="C57" s="103">
        <v>63</v>
      </c>
      <c r="D57" s="105">
        <f t="shared" si="0"/>
        <v>37.38614089269889</v>
      </c>
      <c r="E57" s="109">
        <f t="shared" si="1"/>
        <v>25.61385910730111</v>
      </c>
      <c r="F57" s="111">
        <f t="shared" si="2"/>
        <v>25.61385910730111</v>
      </c>
      <c r="G57" s="113">
        <f>AVERAGE($F$11:F57)</f>
        <v>18.299448372774421</v>
      </c>
      <c r="H57" s="116">
        <f>SUM($E$11:E57)/G57</f>
        <v>-2.7195175634042261</v>
      </c>
    </row>
    <row r="58" spans="1:8" x14ac:dyDescent="0.3">
      <c r="A58" s="101">
        <f ca="1">'0.ArdiData&amp;FixedData'!B50</f>
        <v>5321</v>
      </c>
      <c r="B58" s="85">
        <v>48</v>
      </c>
      <c r="C58" s="103">
        <v>84</v>
      </c>
      <c r="D58" s="105">
        <f t="shared" si="0"/>
        <v>45.070298624889219</v>
      </c>
      <c r="E58" s="109">
        <f t="shared" si="1"/>
        <v>38.929701375110781</v>
      </c>
      <c r="F58" s="111">
        <f t="shared" si="2"/>
        <v>38.929701375110781</v>
      </c>
      <c r="G58" s="113">
        <f>AVERAGE($F$11:F58)</f>
        <v>18.729245310323094</v>
      </c>
      <c r="H58" s="116">
        <f>SUM($E$11:E58)/G58</f>
        <v>-0.57855880980349095</v>
      </c>
    </row>
    <row r="59" spans="1:8" x14ac:dyDescent="0.3">
      <c r="A59" s="101">
        <f ca="1">'0.ArdiData&amp;FixedData'!B51</f>
        <v>7537</v>
      </c>
      <c r="B59" s="85">
        <v>49</v>
      </c>
      <c r="C59" s="103">
        <v>83</v>
      </c>
      <c r="D59" s="105">
        <f t="shared" si="0"/>
        <v>56.749209037422446</v>
      </c>
      <c r="E59" s="109">
        <f t="shared" si="1"/>
        <v>26.250790962577554</v>
      </c>
      <c r="F59" s="111">
        <f t="shared" si="2"/>
        <v>26.250790962577554</v>
      </c>
      <c r="G59" s="113">
        <f>AVERAGE($F$11:F59)</f>
        <v>18.882746242001755</v>
      </c>
      <c r="H59" s="116">
        <f>SUM($E$11:E59)/G59</f>
        <v>0.81634423773759768</v>
      </c>
    </row>
    <row r="60" spans="1:8" ht="17.25" thickBot="1" x14ac:dyDescent="0.35">
      <c r="A60" s="102">
        <f ca="1">'0.ArdiData&amp;FixedData'!B52</f>
        <v>3911</v>
      </c>
      <c r="B60" s="85">
        <v>50</v>
      </c>
      <c r="C60" s="104">
        <v>78</v>
      </c>
      <c r="D60" s="106">
        <f t="shared" si="0"/>
        <v>64.624446326195709</v>
      </c>
      <c r="E60" s="110">
        <f t="shared" si="1"/>
        <v>13.375553673804291</v>
      </c>
      <c r="F60" s="112">
        <f t="shared" si="2"/>
        <v>13.375553673804291</v>
      </c>
      <c r="G60" s="102">
        <f>AVERAGE($F$11:F60)</f>
        <v>18.772602390637807</v>
      </c>
      <c r="H60" s="117">
        <f>SUM($E$11:E60)/G60</f>
        <v>1.5336379134883247</v>
      </c>
    </row>
    <row r="61" spans="1:8" ht="17.25" thickBot="1" x14ac:dyDescent="0.35">
      <c r="B61" s="85"/>
      <c r="C61" s="75" t="s">
        <v>60</v>
      </c>
      <c r="D61" s="107">
        <f t="shared" si="0"/>
        <v>68.637112428336991</v>
      </c>
    </row>
    <row r="62" spans="1:8" x14ac:dyDescent="0.3">
      <c r="C62" s="75" t="s">
        <v>19</v>
      </c>
      <c r="D62" s="86">
        <f>1.25*G60</f>
        <v>23.465752988297261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P21"/>
  <sheetViews>
    <sheetView workbookViewId="0">
      <selection activeCell="I25" sqref="I25"/>
    </sheetView>
  </sheetViews>
  <sheetFormatPr defaultColWidth="9.140625" defaultRowHeight="16.5" x14ac:dyDescent="0.3"/>
  <cols>
    <col min="1" max="1" width="3.28515625" style="75" bestFit="1" customWidth="1"/>
    <col min="2" max="2" width="5.85546875" style="75" customWidth="1"/>
    <col min="3" max="3" width="7.42578125" style="75" customWidth="1"/>
    <col min="4" max="4" width="27.28515625" style="75" bestFit="1" customWidth="1"/>
    <col min="5" max="5" width="13.85546875" style="75" bestFit="1" customWidth="1"/>
    <col min="6" max="6" width="16.5703125" style="75" bestFit="1" customWidth="1"/>
    <col min="7" max="7" width="11.140625" style="75" bestFit="1" customWidth="1"/>
    <col min="8" max="8" width="23.28515625" style="75" bestFit="1" customWidth="1"/>
    <col min="9" max="16384" width="9.140625" style="75"/>
  </cols>
  <sheetData>
    <row r="1" spans="1:16" ht="17.25" thickBot="1" x14ac:dyDescent="0.35">
      <c r="A1" s="88" t="s">
        <v>71</v>
      </c>
      <c r="B1" s="88"/>
      <c r="C1" s="88"/>
      <c r="D1" s="88"/>
      <c r="E1" s="88"/>
      <c r="F1" s="88"/>
      <c r="G1" s="88"/>
      <c r="I1" s="88"/>
      <c r="P1" s="75" t="str">
        <f>B5&amp;" vs "&amp;C5</f>
        <v>At vs Ft</v>
      </c>
    </row>
    <row r="2" spans="1:16" ht="17.25" thickBot="1" x14ac:dyDescent="0.35">
      <c r="A2" s="88" t="s">
        <v>79</v>
      </c>
      <c r="B2" s="88"/>
      <c r="C2" s="88"/>
      <c r="D2" s="170" t="s">
        <v>75</v>
      </c>
      <c r="E2" s="177">
        <v>0.4</v>
      </c>
      <c r="I2" s="88"/>
    </row>
    <row r="3" spans="1:16" x14ac:dyDescent="0.3">
      <c r="A3" s="89" t="s">
        <v>83</v>
      </c>
      <c r="B3" s="118"/>
      <c r="C3" s="118"/>
      <c r="D3" s="179"/>
      <c r="E3" s="118"/>
      <c r="G3" s="75" t="e">
        <f>MATCH(K19,$K$8:$K$18)</f>
        <v>#N/A</v>
      </c>
    </row>
    <row r="4" spans="1:16" x14ac:dyDescent="0.3">
      <c r="A4" s="88" t="s">
        <v>84</v>
      </c>
      <c r="D4"/>
    </row>
    <row r="5" spans="1:16" x14ac:dyDescent="0.3">
      <c r="A5" s="76" t="s">
        <v>74</v>
      </c>
      <c r="B5" s="76" t="s">
        <v>0</v>
      </c>
      <c r="C5" s="75" t="s">
        <v>4</v>
      </c>
      <c r="E5" s="75" t="s">
        <v>73</v>
      </c>
      <c r="G5" s="75" t="s">
        <v>1</v>
      </c>
      <c r="J5" s="75">
        <v>0.29499999999999998</v>
      </c>
    </row>
    <row r="6" spans="1:16" ht="17.25" thickBot="1" x14ac:dyDescent="0.35">
      <c r="A6" s="76">
        <v>1</v>
      </c>
      <c r="B6" s="76">
        <v>323</v>
      </c>
      <c r="C6" s="99">
        <f>B6</f>
        <v>323</v>
      </c>
      <c r="D6" s="75" t="str">
        <f t="shared" ref="D6:D18" ca="1" si="0">_xlfn.FORMULATEXT(C6)</f>
        <v>=B6</v>
      </c>
      <c r="E6" s="169">
        <f t="shared" ref="E6:E17" si="1">ABS(B6-C6)</f>
        <v>0</v>
      </c>
      <c r="F6" s="75" t="str">
        <f t="shared" ref="F6:F17" ca="1" si="2">_xlfn.FORMULATEXT(E6)</f>
        <v>=ABS(B6-C6)</v>
      </c>
      <c r="G6" s="169">
        <f>AVERAGE($E$6:E6)</f>
        <v>0</v>
      </c>
      <c r="H6" s="75" t="str">
        <f t="shared" ref="H6:H17" ca="1" si="3">_xlfn.FORMULATEXT(G6)</f>
        <v>=AVERAGE($E$6:E6)</v>
      </c>
      <c r="J6" s="75">
        <v>1E-3</v>
      </c>
    </row>
    <row r="7" spans="1:16" ht="17.25" thickBot="1" x14ac:dyDescent="0.35">
      <c r="A7" s="76">
        <v>2</v>
      </c>
      <c r="B7" s="76">
        <v>1098</v>
      </c>
      <c r="C7" s="99">
        <f t="shared" ref="C7:C18" si="4">(1-$E$2)*C6+$E$2*B6</f>
        <v>323</v>
      </c>
      <c r="D7" s="75" t="str">
        <f t="shared" ca="1" si="0"/>
        <v>=(1-$E$2)*C6+$E$2*B6</v>
      </c>
      <c r="E7" s="169">
        <f t="shared" si="1"/>
        <v>775</v>
      </c>
      <c r="F7" s="75" t="str">
        <f t="shared" ca="1" si="2"/>
        <v>=ABS(B7-C7)</v>
      </c>
      <c r="G7" s="169">
        <f>AVERAGE($E$6:E7)</f>
        <v>387.5</v>
      </c>
      <c r="H7" s="75" t="str">
        <f t="shared" ca="1" si="3"/>
        <v>=AVERAGE($E$6:E7)</v>
      </c>
      <c r="K7" s="184">
        <f>G17</f>
        <v>174.29174911999999</v>
      </c>
    </row>
    <row r="8" spans="1:16" x14ac:dyDescent="0.3">
      <c r="A8" s="76">
        <v>3</v>
      </c>
      <c r="B8" s="76">
        <v>588</v>
      </c>
      <c r="C8" s="99">
        <f t="shared" si="4"/>
        <v>633</v>
      </c>
      <c r="D8" s="75" t="str">
        <f t="shared" ca="1" si="0"/>
        <v>=(1-$E$2)*C7+$E$2*B7</v>
      </c>
      <c r="E8" s="169">
        <f t="shared" si="1"/>
        <v>45</v>
      </c>
      <c r="F8" s="75" t="str">
        <f t="shared" ca="1" si="2"/>
        <v>=ABS(B8-C8)</v>
      </c>
      <c r="G8" s="169">
        <f>AVERAGE($E$6:E8)</f>
        <v>273.33333333333331</v>
      </c>
      <c r="H8" s="75" t="str">
        <f t="shared" ca="1" si="3"/>
        <v>=AVERAGE($E$6:E8)</v>
      </c>
      <c r="J8" s="181">
        <f>J5</f>
        <v>0.29499999999999998</v>
      </c>
      <c r="K8" s="185">
        <f t="dataTable" ref="K8:K18" dt2D="0" dtr="0" r1="E2"/>
        <v>165.71961142591599</v>
      </c>
      <c r="M8" s="75" t="str">
        <f ca="1">_xlfn.FORMULATEXT(J8)</f>
        <v>=J5</v>
      </c>
    </row>
    <row r="9" spans="1:16" x14ac:dyDescent="0.3">
      <c r="A9" s="76">
        <v>4</v>
      </c>
      <c r="B9" s="76">
        <v>329</v>
      </c>
      <c r="C9" s="99">
        <f t="shared" si="4"/>
        <v>615</v>
      </c>
      <c r="D9" s="75" t="str">
        <f t="shared" ca="1" si="0"/>
        <v>=(1-$E$2)*C8+$E$2*B8</v>
      </c>
      <c r="E9" s="169">
        <f t="shared" si="1"/>
        <v>286</v>
      </c>
      <c r="F9" s="75" t="str">
        <f t="shared" ca="1" si="2"/>
        <v>=ABS(B9-C9)</v>
      </c>
      <c r="G9" s="169">
        <f>AVERAGE($E$6:E9)</f>
        <v>276.5</v>
      </c>
      <c r="H9" s="75" t="str">
        <f t="shared" ca="1" si="3"/>
        <v>=AVERAGE($E$6:E9)</v>
      </c>
      <c r="J9" s="182">
        <f t="shared" ref="J9:J18" si="5">J8+$J$6</f>
        <v>0.29599999999999999</v>
      </c>
      <c r="K9" s="186">
        <v>165.71539065816035</v>
      </c>
      <c r="M9" s="75" t="str">
        <f t="shared" ref="M9:M18" ca="1" si="6">_xlfn.FORMULATEXT(J9)</f>
        <v>=J8+$J$6</v>
      </c>
    </row>
    <row r="10" spans="1:16" x14ac:dyDescent="0.3">
      <c r="A10" s="76">
        <v>5</v>
      </c>
      <c r="B10" s="76">
        <v>495</v>
      </c>
      <c r="C10" s="99">
        <f t="shared" si="4"/>
        <v>500.6</v>
      </c>
      <c r="D10" s="75" t="str">
        <f t="shared" ca="1" si="0"/>
        <v>=(1-$E$2)*C9+$E$2*B9</v>
      </c>
      <c r="E10" s="169">
        <f t="shared" si="1"/>
        <v>5.6000000000000227</v>
      </c>
      <c r="F10" s="75" t="str">
        <f t="shared" ca="1" si="2"/>
        <v>=ABS(B10-C10)</v>
      </c>
      <c r="G10" s="169">
        <f>AVERAGE($E$6:E10)</f>
        <v>222.32</v>
      </c>
      <c r="H10" s="75" t="str">
        <f t="shared" ca="1" si="3"/>
        <v>=AVERAGE($E$6:E10)</v>
      </c>
      <c r="J10" s="182">
        <f t="shared" si="5"/>
        <v>0.29699999999999999</v>
      </c>
      <c r="K10" s="186">
        <v>165.71132110708331</v>
      </c>
      <c r="M10" s="75" t="str">
        <f t="shared" ca="1" si="6"/>
        <v>=J9+$J$6</v>
      </c>
    </row>
    <row r="11" spans="1:16" x14ac:dyDescent="0.3">
      <c r="A11" s="76">
        <v>6</v>
      </c>
      <c r="B11" s="76">
        <v>391</v>
      </c>
      <c r="C11" s="99">
        <f t="shared" si="4"/>
        <v>498.36</v>
      </c>
      <c r="D11" s="75" t="str">
        <f t="shared" ca="1" si="0"/>
        <v>=(1-$E$2)*C10+$E$2*B10</v>
      </c>
      <c r="E11" s="169">
        <f t="shared" si="1"/>
        <v>107.36000000000001</v>
      </c>
      <c r="F11" s="75" t="str">
        <f t="shared" ca="1" si="2"/>
        <v>=ABS(B11-C11)</v>
      </c>
      <c r="G11" s="169">
        <f>AVERAGE($E$6:E11)</f>
        <v>203.16</v>
      </c>
      <c r="H11" s="75" t="str">
        <f t="shared" ca="1" si="3"/>
        <v>=AVERAGE($E$6:E11)</v>
      </c>
      <c r="J11" s="182">
        <f t="shared" si="5"/>
        <v>0.29799999999999999</v>
      </c>
      <c r="K11" s="186">
        <v>165.70740121700609</v>
      </c>
      <c r="M11" s="75" t="str">
        <f t="shared" ca="1" si="6"/>
        <v>=J10+$J$6</v>
      </c>
    </row>
    <row r="12" spans="1:16" x14ac:dyDescent="0.3">
      <c r="A12" s="76">
        <v>7</v>
      </c>
      <c r="B12" s="76">
        <v>487</v>
      </c>
      <c r="C12" s="99">
        <f t="shared" si="4"/>
        <v>455.41600000000005</v>
      </c>
      <c r="D12" s="75" t="str">
        <f t="shared" ca="1" si="0"/>
        <v>=(1-$E$2)*C11+$E$2*B11</v>
      </c>
      <c r="E12" s="169">
        <f t="shared" si="1"/>
        <v>31.583999999999946</v>
      </c>
      <c r="F12" s="75" t="str">
        <f t="shared" ca="1" si="2"/>
        <v>=ABS(B12-C12)</v>
      </c>
      <c r="G12" s="169">
        <f>AVERAGE($E$6:E12)</f>
        <v>178.64914285714283</v>
      </c>
      <c r="H12" s="75" t="str">
        <f t="shared" ca="1" si="3"/>
        <v>=AVERAGE($E$6:E12)</v>
      </c>
      <c r="J12" s="182">
        <f t="shared" si="5"/>
        <v>0.29899999999999999</v>
      </c>
      <c r="K12" s="186">
        <v>165.70362944388248</v>
      </c>
      <c r="M12" s="75" t="str">
        <f t="shared" ca="1" si="6"/>
        <v>=J11+$J$6</v>
      </c>
    </row>
    <row r="13" spans="1:16" x14ac:dyDescent="0.3">
      <c r="A13" s="76">
        <v>8</v>
      </c>
      <c r="B13" s="76">
        <v>552</v>
      </c>
      <c r="C13" s="99">
        <f t="shared" si="4"/>
        <v>468.04960000000005</v>
      </c>
      <c r="D13" s="75" t="str">
        <f t="shared" ca="1" si="0"/>
        <v>=(1-$E$2)*C12+$E$2*B12</v>
      </c>
      <c r="E13" s="169">
        <f t="shared" si="1"/>
        <v>83.950399999999945</v>
      </c>
      <c r="F13" s="75" t="str">
        <f t="shared" ca="1" si="2"/>
        <v>=ABS(B13-C13)</v>
      </c>
      <c r="G13" s="169">
        <f>AVERAGE($E$6:E13)</f>
        <v>166.81179999999998</v>
      </c>
      <c r="H13" s="75" t="str">
        <f t="shared" ca="1" si="3"/>
        <v>=AVERAGE($E$6:E13)</v>
      </c>
      <c r="J13" s="182">
        <f t="shared" si="5"/>
        <v>0.3</v>
      </c>
      <c r="K13" s="186">
        <v>165.70000425520831</v>
      </c>
      <c r="M13" s="75" t="str">
        <f t="shared" ca="1" si="6"/>
        <v>=J12+$J$6</v>
      </c>
    </row>
    <row r="14" spans="1:16" x14ac:dyDescent="0.3">
      <c r="A14" s="76">
        <v>9</v>
      </c>
      <c r="B14" s="76">
        <v>485</v>
      </c>
      <c r="C14" s="99">
        <f t="shared" si="4"/>
        <v>501.62976000000003</v>
      </c>
      <c r="D14" s="75" t="str">
        <f t="shared" ca="1" si="0"/>
        <v>=(1-$E$2)*C13+$E$2*B13</v>
      </c>
      <c r="E14" s="169">
        <f t="shared" si="1"/>
        <v>16.629760000000033</v>
      </c>
      <c r="F14" s="75" t="str">
        <f t="shared" ca="1" si="2"/>
        <v>=ABS(B14-C14)</v>
      </c>
      <c r="G14" s="169">
        <f>AVERAGE($E$6:E14)</f>
        <v>150.12490666666665</v>
      </c>
      <c r="H14" s="75" t="str">
        <f t="shared" ca="1" si="3"/>
        <v>=AVERAGE($E$6:E14)</v>
      </c>
      <c r="J14" s="182">
        <f t="shared" si="5"/>
        <v>0.30099999999999999</v>
      </c>
      <c r="K14" s="186">
        <v>165.69652412993153</v>
      </c>
      <c r="M14" s="75" t="str">
        <f t="shared" ca="1" si="6"/>
        <v>=J13+$J$6</v>
      </c>
    </row>
    <row r="15" spans="1:16" x14ac:dyDescent="0.3">
      <c r="A15" s="76">
        <v>10</v>
      </c>
      <c r="B15" s="76">
        <v>741</v>
      </c>
      <c r="C15" s="99">
        <f t="shared" si="4"/>
        <v>494.97785600000003</v>
      </c>
      <c r="D15" s="75" t="str">
        <f t="shared" ca="1" si="0"/>
        <v>=(1-$E$2)*C14+$E$2*B14</v>
      </c>
      <c r="E15" s="169">
        <f t="shared" si="1"/>
        <v>246.02214399999997</v>
      </c>
      <c r="F15" s="75" t="str">
        <f t="shared" ca="1" si="2"/>
        <v>=ABS(B15-C15)</v>
      </c>
      <c r="G15" s="169">
        <f>AVERAGE($E$6:E15)</f>
        <v>159.71463039999998</v>
      </c>
      <c r="H15" s="75" t="str">
        <f t="shared" ca="1" si="3"/>
        <v>=AVERAGE($E$6:E15)</v>
      </c>
      <c r="J15" s="182">
        <f t="shared" si="5"/>
        <v>0.30199999999999999</v>
      </c>
      <c r="K15" s="186">
        <v>165.69318755836312</v>
      </c>
      <c r="M15" s="75" t="str">
        <f t="shared" ca="1" si="6"/>
        <v>=J14+$J$6</v>
      </c>
    </row>
    <row r="16" spans="1:16" ht="17.25" thickBot="1" x14ac:dyDescent="0.35">
      <c r="A16" s="76">
        <v>11</v>
      </c>
      <c r="B16" s="76">
        <v>495</v>
      </c>
      <c r="C16" s="99">
        <f t="shared" si="4"/>
        <v>593.38671360000012</v>
      </c>
      <c r="D16" s="75" t="str">
        <f t="shared" ca="1" si="0"/>
        <v>=(1-$E$2)*C15+$E$2*B15</v>
      </c>
      <c r="E16" s="169">
        <f t="shared" si="1"/>
        <v>98.386713600000121</v>
      </c>
      <c r="F16" s="75" t="str">
        <f t="shared" ca="1" si="2"/>
        <v>=ABS(B16-C16)</v>
      </c>
      <c r="G16" s="169">
        <f>AVERAGE($E$6:E16)</f>
        <v>154.13936523636363</v>
      </c>
      <c r="H16" s="75" t="str">
        <f t="shared" ca="1" si="3"/>
        <v>=AVERAGE($E$6:E16)</v>
      </c>
      <c r="J16" s="182">
        <f t="shared" si="5"/>
        <v>0.30299999999999999</v>
      </c>
      <c r="K16" s="186">
        <v>165.6899930420885</v>
      </c>
      <c r="M16" s="75" t="str">
        <f t="shared" ca="1" si="6"/>
        <v>=J15+$J$6</v>
      </c>
    </row>
    <row r="17" spans="1:13" ht="17.25" thickBot="1" x14ac:dyDescent="0.35">
      <c r="A17" s="76">
        <v>12</v>
      </c>
      <c r="B17" s="76">
        <v>950</v>
      </c>
      <c r="C17" s="99">
        <f t="shared" si="4"/>
        <v>554.03202815999998</v>
      </c>
      <c r="D17" s="75" t="str">
        <f t="shared" ca="1" si="0"/>
        <v>=(1-$E$2)*C16+$E$2*B16</v>
      </c>
      <c r="E17" s="169">
        <f t="shared" si="1"/>
        <v>395.96797184000002</v>
      </c>
      <c r="F17" s="75" t="str">
        <f t="shared" ca="1" si="2"/>
        <v>=ABS(B17-C17)</v>
      </c>
      <c r="G17" s="171">
        <f>AVERAGE($E$6:E17)</f>
        <v>174.29174911999999</v>
      </c>
      <c r="H17" s="75" t="str">
        <f t="shared" ca="1" si="3"/>
        <v>=AVERAGE($E$6:E17)</v>
      </c>
      <c r="J17" s="182">
        <f t="shared" si="5"/>
        <v>0.30399999999999999</v>
      </c>
      <c r="K17" s="186">
        <v>165.69063402721392</v>
      </c>
      <c r="M17" s="75" t="str">
        <f t="shared" ca="1" si="6"/>
        <v>=J16+$J$6</v>
      </c>
    </row>
    <row r="18" spans="1:13" ht="17.25" thickBot="1" x14ac:dyDescent="0.35">
      <c r="A18" s="76">
        <v>13</v>
      </c>
      <c r="B18" s="76"/>
      <c r="C18" s="172">
        <f t="shared" si="4"/>
        <v>712.41921689599997</v>
      </c>
      <c r="D18" s="75" t="str">
        <f t="shared" ca="1" si="0"/>
        <v>=(1-$E$2)*C17+$E$2*B17</v>
      </c>
      <c r="E18" s="169"/>
      <c r="G18" s="169"/>
      <c r="J18" s="183">
        <f t="shared" si="5"/>
        <v>0.30499999999999999</v>
      </c>
      <c r="K18" s="187">
        <v>165.71375913344545</v>
      </c>
      <c r="M18" s="75" t="str">
        <f t="shared" ca="1" si="6"/>
        <v>=J17+$J$6</v>
      </c>
    </row>
    <row r="19" spans="1:13" ht="17.25" thickBot="1" x14ac:dyDescent="0.35">
      <c r="A19" s="176" t="s">
        <v>76</v>
      </c>
      <c r="C19" s="176"/>
      <c r="E19" s="173" t="s">
        <v>78</v>
      </c>
      <c r="F19" s="174">
        <f>C18</f>
        <v>712.41921689599997</v>
      </c>
      <c r="G19" s="175" t="s">
        <v>77</v>
      </c>
      <c r="H19" s="174">
        <f>1.25*G17</f>
        <v>217.86468639999998</v>
      </c>
      <c r="J19" s="188" t="s">
        <v>18</v>
      </c>
      <c r="K19" s="189">
        <f>MIN(K8:K18)</f>
        <v>165.6899930420885</v>
      </c>
    </row>
    <row r="20" spans="1:13" x14ac:dyDescent="0.3">
      <c r="F20" s="75" t="str">
        <f ca="1">_xlfn.FORMULATEXT(F19)</f>
        <v>=C18</v>
      </c>
      <c r="H20" s="75" t="str">
        <f ca="1">_xlfn.FORMULATEXT(H19)</f>
        <v>=1.25*G17</v>
      </c>
    </row>
    <row r="21" spans="1:13" x14ac:dyDescent="0.3">
      <c r="G21" s="170" t="s">
        <v>86</v>
      </c>
      <c r="H21" s="180">
        <f>H19/F19</f>
        <v>0.30580967109398483</v>
      </c>
    </row>
  </sheetData>
  <conditionalFormatting sqref="K8:K18">
    <cfRule type="cellIs" dxfId="11" priority="1" operator="equal">
      <formula>$K$19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X63"/>
  <sheetViews>
    <sheetView zoomScale="80" zoomScaleNormal="80" workbookViewId="0">
      <selection activeCell="O22" sqref="O22"/>
    </sheetView>
  </sheetViews>
  <sheetFormatPr defaultColWidth="9.140625" defaultRowHeight="16.5" x14ac:dyDescent="0.3"/>
  <cols>
    <col min="1" max="1" width="9.140625" style="75"/>
    <col min="2" max="2" width="4.85546875" style="75" customWidth="1"/>
    <col min="3" max="3" width="9.7109375" style="75" bestFit="1" customWidth="1"/>
    <col min="4" max="4" width="15.7109375" style="75" customWidth="1"/>
    <col min="5" max="5" width="11.42578125" style="76" customWidth="1"/>
    <col min="6" max="6" width="10.7109375" style="76" customWidth="1"/>
    <col min="7" max="7" width="18.42578125" style="76" bestFit="1" customWidth="1"/>
    <col min="8" max="8" width="15.42578125" style="75" bestFit="1" customWidth="1"/>
    <col min="9" max="16384" width="9.140625" style="75"/>
  </cols>
  <sheetData>
    <row r="1" spans="1:24" x14ac:dyDescent="0.3">
      <c r="A1" s="88" t="s">
        <v>50</v>
      </c>
      <c r="B1" s="88"/>
      <c r="C1" s="88"/>
      <c r="D1" s="88"/>
      <c r="E1" s="88"/>
      <c r="F1" s="88"/>
      <c r="G1" s="88"/>
      <c r="H1" s="88"/>
      <c r="I1" s="88"/>
      <c r="J1" s="88"/>
      <c r="K1" s="75">
        <v>0</v>
      </c>
      <c r="L1" s="75">
        <v>4</v>
      </c>
      <c r="M1" s="75">
        <v>0</v>
      </c>
      <c r="N1" s="75">
        <v>-4</v>
      </c>
    </row>
    <row r="2" spans="1:24" x14ac:dyDescent="0.3">
      <c r="A2" s="88" t="s">
        <v>54</v>
      </c>
      <c r="B2" s="88"/>
      <c r="C2" s="88"/>
      <c r="D2" s="88"/>
      <c r="E2" s="88"/>
      <c r="F2" s="88"/>
      <c r="G2" s="88"/>
      <c r="H2" s="88"/>
      <c r="I2" s="88"/>
      <c r="J2" s="88"/>
      <c r="K2" s="75">
        <v>50</v>
      </c>
      <c r="L2" s="75">
        <v>4</v>
      </c>
      <c r="M2" s="75">
        <v>0</v>
      </c>
      <c r="N2" s="75">
        <v>-4</v>
      </c>
    </row>
    <row r="3" spans="1:24" ht="17.25" thickBot="1" x14ac:dyDescent="0.35">
      <c r="A3" s="88" t="s">
        <v>55</v>
      </c>
      <c r="B3" s="88"/>
      <c r="C3" s="88"/>
      <c r="D3" s="88"/>
      <c r="E3" s="75"/>
      <c r="F3"/>
      <c r="G3">
        <v>0.58071710164888257</v>
      </c>
      <c r="I3" s="88"/>
      <c r="J3" s="88"/>
      <c r="K3"/>
    </row>
    <row r="4" spans="1:24" ht="17.25" thickBot="1" x14ac:dyDescent="0.35">
      <c r="A4" s="88" t="s">
        <v>56</v>
      </c>
      <c r="B4"/>
      <c r="C4"/>
      <c r="D4"/>
      <c r="E4"/>
      <c r="F4"/>
      <c r="G4" s="75"/>
      <c r="H4" s="92">
        <f>G61</f>
        <v>18.537074057652251</v>
      </c>
      <c r="I4" s="88"/>
      <c r="N4"/>
      <c r="O4"/>
      <c r="P4"/>
      <c r="Q4"/>
      <c r="R4"/>
      <c r="S4"/>
      <c r="T4"/>
      <c r="U4"/>
      <c r="V4"/>
      <c r="W4" s="88"/>
      <c r="X4"/>
    </row>
    <row r="5" spans="1:24" ht="17.25" thickBot="1" x14ac:dyDescent="0.35">
      <c r="A5" s="89" t="s">
        <v>57</v>
      </c>
      <c r="B5" s="89"/>
      <c r="C5" s="89"/>
      <c r="D5" s="89"/>
      <c r="E5" s="61"/>
      <c r="F5" s="90"/>
      <c r="G5" s="89"/>
      <c r="H5" s="93">
        <f>D62</f>
        <v>77.994436327442259</v>
      </c>
      <c r="I5"/>
    </row>
    <row r="6" spans="1:24" ht="17.25" thickBot="1" x14ac:dyDescent="0.35">
      <c r="A6" s="89" t="s">
        <v>58</v>
      </c>
      <c r="B6"/>
      <c r="C6"/>
      <c r="D6"/>
      <c r="E6"/>
      <c r="F6"/>
      <c r="G6"/>
      <c r="H6"/>
      <c r="I6" s="92">
        <f>1.25*H4</f>
        <v>23.171342572065313</v>
      </c>
      <c r="J6"/>
    </row>
    <row r="7" spans="1:24" x14ac:dyDescent="0.3">
      <c r="A7" s="89" t="s">
        <v>47</v>
      </c>
      <c r="B7"/>
      <c r="C7" s="89" t="s">
        <v>48</v>
      </c>
      <c r="D7"/>
      <c r="E7" s="89" t="s">
        <v>49</v>
      </c>
      <c r="F7" s="75"/>
      <c r="G7"/>
      <c r="J7" s="88"/>
    </row>
    <row r="8" spans="1:24" x14ac:dyDescent="0.3">
      <c r="A8" s="89" t="s">
        <v>53</v>
      </c>
      <c r="B8"/>
      <c r="C8" t="s">
        <v>40</v>
      </c>
      <c r="D8"/>
      <c r="E8" t="s">
        <v>49</v>
      </c>
      <c r="F8"/>
      <c r="G8"/>
      <c r="H8"/>
      <c r="I8"/>
      <c r="J8"/>
    </row>
    <row r="9" spans="1:24" x14ac:dyDescent="0.3">
      <c r="E9" s="75"/>
      <c r="F9" s="75"/>
      <c r="G9" s="75"/>
      <c r="H9"/>
      <c r="I9" s="89"/>
      <c r="J9"/>
    </row>
    <row r="10" spans="1:24" ht="17.25" thickBot="1" x14ac:dyDescent="0.35"/>
    <row r="11" spans="1:24" ht="17.25" thickBot="1" x14ac:dyDescent="0.35">
      <c r="A11" s="75" t="s">
        <v>37</v>
      </c>
      <c r="B11" s="79" t="s">
        <v>31</v>
      </c>
      <c r="C11" s="80" t="s">
        <v>0</v>
      </c>
      <c r="D11" s="78" t="s">
        <v>41</v>
      </c>
      <c r="E11" s="81" t="s">
        <v>42</v>
      </c>
      <c r="F11" s="81" t="s">
        <v>2</v>
      </c>
      <c r="G11" s="81" t="s">
        <v>43</v>
      </c>
      <c r="H11" s="96" t="s">
        <v>44</v>
      </c>
    </row>
    <row r="12" spans="1:24" x14ac:dyDescent="0.3">
      <c r="A12" s="75">
        <f ca="1">ROUND('0.ArdiData&amp;FixedData'!B3/100,0)</f>
        <v>39</v>
      </c>
      <c r="B12" s="82">
        <v>1</v>
      </c>
      <c r="C12" s="83">
        <v>60</v>
      </c>
      <c r="D12" s="94">
        <f>C12</f>
        <v>60</v>
      </c>
      <c r="E12" s="84">
        <f>C12-D12</f>
        <v>0</v>
      </c>
      <c r="F12" s="95">
        <f>ABS(E12)</f>
        <v>0</v>
      </c>
      <c r="G12" s="87">
        <f>AVERAGE($F$12:F12)</f>
        <v>0</v>
      </c>
      <c r="H12" s="97" t="e">
        <f>SUM($E$12:E12)/G12</f>
        <v>#DIV/0!</v>
      </c>
      <c r="J12" s="75">
        <v>0</v>
      </c>
    </row>
    <row r="13" spans="1:24" x14ac:dyDescent="0.3">
      <c r="A13" s="75">
        <f ca="1">ROUND('0.ArdiData&amp;FixedData'!B4/100,0)</f>
        <v>33</v>
      </c>
      <c r="B13" s="85">
        <v>2</v>
      </c>
      <c r="C13" s="83">
        <v>38</v>
      </c>
      <c r="D13" s="94">
        <f t="shared" ref="D13:D44" si="0">(1-$G$3)*D12+$G$3*C12</f>
        <v>60</v>
      </c>
      <c r="E13" s="84">
        <f>C13-D13</f>
        <v>-22</v>
      </c>
      <c r="F13" s="95">
        <f>ABS(E13)</f>
        <v>22</v>
      </c>
      <c r="G13" s="87">
        <f>AVERAGE($F$12:F13)</f>
        <v>11</v>
      </c>
      <c r="H13" s="98">
        <f>SUM($E$12:E13)/G13</f>
        <v>-2</v>
      </c>
      <c r="J13" s="75">
        <v>0.1</v>
      </c>
    </row>
    <row r="14" spans="1:24" x14ac:dyDescent="0.3">
      <c r="A14" s="75">
        <f ca="1">ROUND('0.ArdiData&amp;FixedData'!B5/100,0)</f>
        <v>48</v>
      </c>
      <c r="B14" s="85">
        <v>3</v>
      </c>
      <c r="C14" s="83">
        <v>29</v>
      </c>
      <c r="D14" s="94">
        <f t="shared" si="0"/>
        <v>47.224223763724581</v>
      </c>
      <c r="E14" s="84">
        <f t="shared" ref="E14:E61" si="1">C14-D14</f>
        <v>-18.224223763724581</v>
      </c>
      <c r="F14" s="95">
        <f t="shared" ref="F14:F61" si="2">ABS(E14)</f>
        <v>18.224223763724581</v>
      </c>
      <c r="G14" s="87">
        <f>AVERAGE($F$12:F14)</f>
        <v>13.408074587908194</v>
      </c>
      <c r="H14" s="98">
        <f>SUM($E$12:E14)/G14</f>
        <v>-3</v>
      </c>
    </row>
    <row r="15" spans="1:24" x14ac:dyDescent="0.3">
      <c r="A15" s="75">
        <f ca="1">ROUND('0.ArdiData&amp;FixedData'!B6/100,0)</f>
        <v>67</v>
      </c>
      <c r="B15" s="85">
        <v>4</v>
      </c>
      <c r="C15" s="83">
        <v>21</v>
      </c>
      <c r="D15" s="94">
        <f t="shared" si="0"/>
        <v>36.641105359853753</v>
      </c>
      <c r="E15" s="84">
        <f t="shared" si="1"/>
        <v>-15.641105359853753</v>
      </c>
      <c r="F15" s="95">
        <f t="shared" si="2"/>
        <v>15.641105359853753</v>
      </c>
      <c r="G15" s="87">
        <f>AVERAGE($F$12:F15)</f>
        <v>13.966332280894584</v>
      </c>
      <c r="H15" s="98">
        <f>SUM($E$12:E15)/G15</f>
        <v>-4</v>
      </c>
      <c r="K15" s="75" t="s">
        <v>1</v>
      </c>
    </row>
    <row r="16" spans="1:24" x14ac:dyDescent="0.3">
      <c r="A16" s="75">
        <f ca="1">ROUND('0.ArdiData&amp;FixedData'!B7/100,0)</f>
        <v>57</v>
      </c>
      <c r="B16" s="85">
        <v>5</v>
      </c>
      <c r="C16" s="83">
        <v>26</v>
      </c>
      <c r="D16" s="94">
        <f t="shared" si="0"/>
        <v>27.558047988694682</v>
      </c>
      <c r="E16" s="84">
        <f t="shared" si="1"/>
        <v>-1.5580479886946819</v>
      </c>
      <c r="F16" s="95">
        <f t="shared" si="2"/>
        <v>1.5580479886946819</v>
      </c>
      <c r="G16" s="87">
        <f>AVERAGE($F$12:F16)</f>
        <v>11.484675422454604</v>
      </c>
      <c r="H16" s="98">
        <f>SUM($E$12:E16)/G16</f>
        <v>-5</v>
      </c>
      <c r="J16" s="75" t="s">
        <v>59</v>
      </c>
      <c r="K16" s="99">
        <f>H4</f>
        <v>18.537074057652251</v>
      </c>
    </row>
    <row r="17" spans="1:12" x14ac:dyDescent="0.3">
      <c r="A17" s="75">
        <f ca="1">ROUND('0.ArdiData&amp;FixedData'!B8/100,0)</f>
        <v>22</v>
      </c>
      <c r="B17" s="85">
        <v>6</v>
      </c>
      <c r="C17" s="83">
        <v>43</v>
      </c>
      <c r="D17" s="94">
        <f t="shared" si="0"/>
        <v>26.653262876470038</v>
      </c>
      <c r="E17" s="84">
        <f t="shared" si="1"/>
        <v>16.346737123529962</v>
      </c>
      <c r="F17" s="95">
        <f t="shared" si="2"/>
        <v>16.346737123529962</v>
      </c>
      <c r="G17" s="87">
        <f>AVERAGE($F$12:F17)</f>
        <v>12.295019039300497</v>
      </c>
      <c r="H17" s="98">
        <f>SUM($E$12:E17)/G17</f>
        <v>-3.3409171516890988</v>
      </c>
      <c r="J17" s="75">
        <f>J12</f>
        <v>0</v>
      </c>
      <c r="K17" s="75">
        <f t="dataTable" ref="K17:K26" dt2D="0" dtr="0" r1="G3"/>
        <v>19.260000000000002</v>
      </c>
    </row>
    <row r="18" spans="1:12" x14ac:dyDescent="0.3">
      <c r="A18" s="75">
        <f ca="1">ROUND('0.ArdiData&amp;FixedData'!B9/100,0)</f>
        <v>46</v>
      </c>
      <c r="B18" s="85">
        <v>7</v>
      </c>
      <c r="C18" s="83">
        <v>39</v>
      </c>
      <c r="D18" s="94">
        <f t="shared" si="0"/>
        <v>36.146092680262548</v>
      </c>
      <c r="E18" s="84">
        <f t="shared" si="1"/>
        <v>2.853907319737452</v>
      </c>
      <c r="F18" s="95">
        <f t="shared" si="2"/>
        <v>2.853907319737452</v>
      </c>
      <c r="G18" s="87">
        <f>AVERAGE($F$12:F18)</f>
        <v>10.946288793648632</v>
      </c>
      <c r="H18" s="98">
        <f>SUM($E$12:E18)/G18</f>
        <v>-3.4918439837969184</v>
      </c>
      <c r="J18" s="75">
        <f>J17+$J$13</f>
        <v>0.1</v>
      </c>
      <c r="K18" s="75">
        <v>18.861703655418633</v>
      </c>
    </row>
    <row r="19" spans="1:12" x14ac:dyDescent="0.3">
      <c r="A19" s="75">
        <f ca="1">ROUND('0.ArdiData&amp;FixedData'!B10/100,0)</f>
        <v>67</v>
      </c>
      <c r="B19" s="85">
        <v>8</v>
      </c>
      <c r="C19" s="83">
        <v>38</v>
      </c>
      <c r="D19" s="94">
        <f t="shared" si="0"/>
        <v>37.803405467355013</v>
      </c>
      <c r="E19" s="84">
        <f t="shared" si="1"/>
        <v>0.19659453264498694</v>
      </c>
      <c r="F19" s="95">
        <f t="shared" si="2"/>
        <v>0.19659453264498694</v>
      </c>
      <c r="G19" s="87">
        <f>AVERAGE($F$12:F19)</f>
        <v>9.6025770110231754</v>
      </c>
      <c r="H19" s="98">
        <f>SUM($E$12:E19)/G19</f>
        <v>-3.9599930406919848</v>
      </c>
      <c r="J19" s="75">
        <f t="shared" ref="J19:J26" si="3">J18+$J$13</f>
        <v>0.2</v>
      </c>
      <c r="K19" s="75">
        <v>18.766871442934381</v>
      </c>
    </row>
    <row r="20" spans="1:12" x14ac:dyDescent="0.3">
      <c r="A20" s="75">
        <f ca="1">ROUND('0.ArdiData&amp;FixedData'!B11/100,0)</f>
        <v>28</v>
      </c>
      <c r="B20" s="85">
        <v>9</v>
      </c>
      <c r="C20" s="83">
        <v>45</v>
      </c>
      <c r="D20" s="94">
        <f t="shared" si="0"/>
        <v>37.917571274552628</v>
      </c>
      <c r="E20" s="84">
        <f t="shared" si="1"/>
        <v>7.0824287254473717</v>
      </c>
      <c r="F20" s="95">
        <f t="shared" si="2"/>
        <v>7.0824287254473717</v>
      </c>
      <c r="G20" s="87">
        <f>AVERAGE($F$12:F20)</f>
        <v>9.3225605348480869</v>
      </c>
      <c r="H20" s="98">
        <f>SUM($E$12:E20)/G20</f>
        <v>-3.3192285848125604</v>
      </c>
      <c r="J20" s="75">
        <f t="shared" si="3"/>
        <v>0.30000000000000004</v>
      </c>
      <c r="K20" s="75">
        <v>18.772602390637811</v>
      </c>
    </row>
    <row r="21" spans="1:12" x14ac:dyDescent="0.3">
      <c r="A21" s="75">
        <f ca="1">ROUND('0.ArdiData&amp;FixedData'!B12/100,0)</f>
        <v>19</v>
      </c>
      <c r="B21" s="85">
        <v>10</v>
      </c>
      <c r="C21" s="83">
        <v>73</v>
      </c>
      <c r="D21" s="94">
        <f t="shared" si="0"/>
        <v>42.030458756629216</v>
      </c>
      <c r="E21" s="84">
        <f t="shared" si="1"/>
        <v>30.969541243370784</v>
      </c>
      <c r="F21" s="95">
        <f t="shared" si="2"/>
        <v>30.969541243370784</v>
      </c>
      <c r="G21" s="87">
        <f>AVERAGE($F$12:F21)</f>
        <v>11.487258605700356</v>
      </c>
      <c r="H21" s="98">
        <f>SUM($E$12:E21)/G21</f>
        <v>2.2487377836799701E-3</v>
      </c>
      <c r="J21" s="75">
        <f t="shared" si="3"/>
        <v>0.4</v>
      </c>
      <c r="K21" s="75">
        <v>18.819851167347043</v>
      </c>
    </row>
    <row r="22" spans="1:12" x14ac:dyDescent="0.3">
      <c r="A22" s="75">
        <f ca="1">ROUND('0.ArdiData&amp;FixedData'!B13/100,0)</f>
        <v>55</v>
      </c>
      <c r="B22" s="85">
        <v>11</v>
      </c>
      <c r="C22" s="83">
        <v>26</v>
      </c>
      <c r="D22" s="94">
        <f t="shared" si="0"/>
        <v>60.01500098687503</v>
      </c>
      <c r="E22" s="84">
        <f t="shared" si="1"/>
        <v>-34.01500098687503</v>
      </c>
      <c r="F22" s="95">
        <f t="shared" si="2"/>
        <v>34.01500098687503</v>
      </c>
      <c r="G22" s="87">
        <f>AVERAGE($F$12:F22)</f>
        <v>13.535235185807146</v>
      </c>
      <c r="H22" s="98">
        <f>SUM($E$12:E22)/G22</f>
        <v>-2.5111620661056593</v>
      </c>
      <c r="J22" s="75">
        <f t="shared" si="3"/>
        <v>0.5</v>
      </c>
      <c r="K22" s="75">
        <v>18.647428051464125</v>
      </c>
    </row>
    <row r="23" spans="1:12" x14ac:dyDescent="0.3">
      <c r="A23" s="75">
        <f ca="1">ROUND('0.ArdiData&amp;FixedData'!B14/100,0)</f>
        <v>44</v>
      </c>
      <c r="B23" s="85">
        <v>12</v>
      </c>
      <c r="C23" s="83">
        <v>96</v>
      </c>
      <c r="D23" s="94">
        <f t="shared" si="0"/>
        <v>40.26190820119308</v>
      </c>
      <c r="E23" s="84">
        <f t="shared" si="1"/>
        <v>55.73809179880692</v>
      </c>
      <c r="F23" s="95">
        <f t="shared" si="2"/>
        <v>55.73809179880692</v>
      </c>
      <c r="G23" s="87">
        <f>AVERAGE($F$12:F23)</f>
        <v>17.052139903557126</v>
      </c>
      <c r="H23" s="98">
        <f>SUM($E$12:E23)/G23</f>
        <v>1.2754365591295989</v>
      </c>
      <c r="J23" s="75">
        <f t="shared" si="3"/>
        <v>0.6</v>
      </c>
      <c r="K23" s="75">
        <v>18.565016628844077</v>
      </c>
    </row>
    <row r="24" spans="1:12" x14ac:dyDescent="0.3">
      <c r="A24" s="75">
        <f ca="1">ROUND('0.ArdiData&amp;FixedData'!B15/100,0)</f>
        <v>41</v>
      </c>
      <c r="B24" s="85">
        <v>13</v>
      </c>
      <c r="C24" s="83">
        <v>50</v>
      </c>
      <c r="D24" s="94">
        <f t="shared" si="0"/>
        <v>72.629971322035587</v>
      </c>
      <c r="E24" s="84">
        <f t="shared" si="1"/>
        <v>-22.629971322035587</v>
      </c>
      <c r="F24" s="95">
        <f t="shared" si="2"/>
        <v>22.629971322035587</v>
      </c>
      <c r="G24" s="87">
        <f>AVERAGE($F$12:F24)</f>
        <v>17.481203858824699</v>
      </c>
      <c r="H24" s="98">
        <f>SUM($E$12:E24)/G24</f>
        <v>-5.0399771363652E-2</v>
      </c>
      <c r="J24" s="75">
        <f t="shared" si="3"/>
        <v>0.7</v>
      </c>
      <c r="K24" s="75">
        <v>18.7634067734298</v>
      </c>
    </row>
    <row r="25" spans="1:12" x14ac:dyDescent="0.3">
      <c r="A25" s="75">
        <f ca="1">ROUND('0.ArdiData&amp;FixedData'!B16/100,0)</f>
        <v>31</v>
      </c>
      <c r="B25" s="85">
        <v>14</v>
      </c>
      <c r="C25" s="83">
        <v>57</v>
      </c>
      <c r="D25" s="94">
        <f t="shared" si="0"/>
        <v>59.488359965505751</v>
      </c>
      <c r="E25" s="84">
        <f t="shared" si="1"/>
        <v>-2.4883599655057509</v>
      </c>
      <c r="F25" s="95">
        <f t="shared" si="2"/>
        <v>2.4883599655057509</v>
      </c>
      <c r="G25" s="87">
        <f>AVERAGE($F$12:F25)</f>
        <v>16.410286437873346</v>
      </c>
      <c r="H25" s="98">
        <f>SUM($E$12:E25)/G25</f>
        <v>-0.20532296349048723</v>
      </c>
      <c r="J25" s="75">
        <f t="shared" si="3"/>
        <v>0.79999999999999993</v>
      </c>
      <c r="K25" s="75">
        <v>19.121968615470593</v>
      </c>
    </row>
    <row r="26" spans="1:12" x14ac:dyDescent="0.3">
      <c r="A26" s="75">
        <f ca="1">ROUND('0.ArdiData&amp;FixedData'!B17/100,0)</f>
        <v>46</v>
      </c>
      <c r="B26" s="85">
        <v>15</v>
      </c>
      <c r="C26" s="83">
        <v>72</v>
      </c>
      <c r="D26" s="94">
        <f t="shared" si="0"/>
        <v>58.043326778478139</v>
      </c>
      <c r="E26" s="84">
        <f t="shared" si="1"/>
        <v>13.956673221521861</v>
      </c>
      <c r="F26" s="95">
        <f t="shared" si="2"/>
        <v>13.956673221521861</v>
      </c>
      <c r="G26" s="87">
        <f>AVERAGE($F$12:F26)</f>
        <v>16.246712223449915</v>
      </c>
      <c r="H26" s="98">
        <f>SUM($E$12:E26)/G26</f>
        <v>0.65165582012886769</v>
      </c>
      <c r="J26" s="75">
        <f t="shared" si="3"/>
        <v>0.89999999999999991</v>
      </c>
      <c r="K26" s="75">
        <v>19.826101861448908</v>
      </c>
    </row>
    <row r="27" spans="1:12" x14ac:dyDescent="0.3">
      <c r="A27" s="75">
        <f ca="1">ROUND('0.ArdiData&amp;FixedData'!B18/100,0)</f>
        <v>65</v>
      </c>
      <c r="B27" s="85">
        <v>16</v>
      </c>
      <c r="C27" s="83">
        <v>56</v>
      </c>
      <c r="D27" s="94">
        <f t="shared" si="0"/>
        <v>66.148205600340887</v>
      </c>
      <c r="E27" s="84">
        <f t="shared" si="1"/>
        <v>-10.148205600340887</v>
      </c>
      <c r="F27" s="95">
        <f t="shared" si="2"/>
        <v>10.148205600340887</v>
      </c>
      <c r="G27" s="87">
        <f>AVERAGE($F$12:F27)</f>
        <v>15.865555559505601</v>
      </c>
      <c r="H27" s="98">
        <f>SUM($E$12:E27)/G27</f>
        <v>2.7673722258405972E-2</v>
      </c>
      <c r="L27" s="75">
        <f>MIN(K17:K26)</f>
        <v>18.565016628844077</v>
      </c>
    </row>
    <row r="28" spans="1:12" x14ac:dyDescent="0.3">
      <c r="A28" s="75">
        <f ca="1">ROUND('0.ArdiData&amp;FixedData'!B19/100,0)</f>
        <v>60</v>
      </c>
      <c r="B28" s="85">
        <v>17</v>
      </c>
      <c r="C28" s="83">
        <v>27</v>
      </c>
      <c r="D28" s="94">
        <f t="shared" si="0"/>
        <v>60.254969057173966</v>
      </c>
      <c r="E28" s="84">
        <f t="shared" si="1"/>
        <v>-33.254969057173966</v>
      </c>
      <c r="F28" s="95">
        <f t="shared" si="2"/>
        <v>33.254969057173966</v>
      </c>
      <c r="G28" s="87">
        <f>AVERAGE($F$12:F28)</f>
        <v>16.888462235839036</v>
      </c>
      <c r="H28" s="98">
        <f>SUM($E$12:E28)/G28</f>
        <v>-1.9430963945021706</v>
      </c>
    </row>
    <row r="29" spans="1:12" x14ac:dyDescent="0.3">
      <c r="A29" s="75">
        <f ca="1">ROUND('0.ArdiData&amp;FixedData'!B20/100,0)</f>
        <v>60</v>
      </c>
      <c r="B29" s="85">
        <v>18</v>
      </c>
      <c r="C29" s="83">
        <v>33</v>
      </c>
      <c r="D29" s="94">
        <f t="shared" si="0"/>
        <v>40.943239810868626</v>
      </c>
      <c r="E29" s="84">
        <f t="shared" si="1"/>
        <v>-7.9432398108686257</v>
      </c>
      <c r="F29" s="95">
        <f t="shared" si="2"/>
        <v>7.9432398108686257</v>
      </c>
      <c r="G29" s="87">
        <f>AVERAGE($F$12:F29)</f>
        <v>16.391505434451791</v>
      </c>
      <c r="H29" s="98">
        <f>SUM($E$12:E29)/G29</f>
        <v>-2.4866019813131768</v>
      </c>
    </row>
    <row r="30" spans="1:12" x14ac:dyDescent="0.3">
      <c r="A30" s="75">
        <f ca="1">ROUND('0.ArdiData&amp;FixedData'!B21/100,0)</f>
        <v>48</v>
      </c>
      <c r="B30" s="85">
        <v>19</v>
      </c>
      <c r="C30" s="83">
        <v>73</v>
      </c>
      <c r="D30" s="94">
        <f t="shared" si="0"/>
        <v>36.33046461019898</v>
      </c>
      <c r="E30" s="84">
        <f t="shared" si="1"/>
        <v>36.66953538980102</v>
      </c>
      <c r="F30" s="95">
        <f t="shared" si="2"/>
        <v>36.66953538980102</v>
      </c>
      <c r="G30" s="87">
        <f>AVERAGE($F$12:F30)</f>
        <v>17.458770168943857</v>
      </c>
      <c r="H30" s="98">
        <f>SUM($E$12:E30)/G30</f>
        <v>-0.23424413407349989</v>
      </c>
    </row>
    <row r="31" spans="1:12" x14ac:dyDescent="0.3">
      <c r="A31" s="75">
        <f ca="1">ROUND('0.ArdiData&amp;FixedData'!B22/100,0)</f>
        <v>80</v>
      </c>
      <c r="B31" s="85">
        <v>20</v>
      </c>
      <c r="C31" s="83">
        <v>55</v>
      </c>
      <c r="D31" s="94">
        <f t="shared" si="0"/>
        <v>57.62509092057536</v>
      </c>
      <c r="E31" s="84">
        <f t="shared" si="1"/>
        <v>-2.6250909205753601</v>
      </c>
      <c r="F31" s="95">
        <f t="shared" si="2"/>
        <v>2.6250909205753601</v>
      </c>
      <c r="G31" s="87">
        <f>AVERAGE($F$12:F31)</f>
        <v>16.71708620652543</v>
      </c>
      <c r="H31" s="98">
        <f>SUM($E$12:E31)/G31</f>
        <v>-0.40166721268487654</v>
      </c>
    </row>
    <row r="32" spans="1:12" x14ac:dyDescent="0.3">
      <c r="A32" s="75">
        <f ca="1">ROUND('0.ArdiData&amp;FixedData'!B23/100,0)</f>
        <v>52</v>
      </c>
      <c r="B32" s="85">
        <v>21</v>
      </c>
      <c r="C32" s="83">
        <v>31</v>
      </c>
      <c r="D32" s="94">
        <f t="shared" si="0"/>
        <v>56.10065572961404</v>
      </c>
      <c r="E32" s="84">
        <f t="shared" si="1"/>
        <v>-25.10065572961404</v>
      </c>
      <c r="F32" s="95">
        <f t="shared" si="2"/>
        <v>25.10065572961404</v>
      </c>
      <c r="G32" s="87">
        <f>AVERAGE($F$12:F32)</f>
        <v>17.116303802862983</v>
      </c>
      <c r="H32" s="98">
        <f>SUM($E$12:E32)/G32</f>
        <v>-1.8587752073599129</v>
      </c>
    </row>
    <row r="33" spans="1:8" x14ac:dyDescent="0.3">
      <c r="A33" s="75">
        <f ca="1">ROUND('0.ArdiData&amp;FixedData'!B24/100,0)</f>
        <v>33</v>
      </c>
      <c r="B33" s="85">
        <v>22</v>
      </c>
      <c r="C33" s="83">
        <v>60</v>
      </c>
      <c r="D33" s="94">
        <f t="shared" si="0"/>
        <v>41.524275684826158</v>
      </c>
      <c r="E33" s="84">
        <f t="shared" si="1"/>
        <v>18.475724315173842</v>
      </c>
      <c r="F33" s="95">
        <f t="shared" si="2"/>
        <v>18.475724315173842</v>
      </c>
      <c r="G33" s="87">
        <f>AVERAGE($F$12:F33)</f>
        <v>17.178095644331663</v>
      </c>
      <c r="H33" s="98">
        <f>SUM($E$12:E33)/G33</f>
        <v>-0.77654922358228962</v>
      </c>
    </row>
    <row r="34" spans="1:8" x14ac:dyDescent="0.3">
      <c r="A34" s="75">
        <f ca="1">ROUND('0.ArdiData&amp;FixedData'!B25/100,0)</f>
        <v>56</v>
      </c>
      <c r="B34" s="85">
        <v>23</v>
      </c>
      <c r="C34" s="83">
        <v>26</v>
      </c>
      <c r="D34" s="94">
        <f t="shared" si="0"/>
        <v>52.253444759997691</v>
      </c>
      <c r="E34" s="84">
        <f t="shared" si="1"/>
        <v>-26.253444759997691</v>
      </c>
      <c r="F34" s="95">
        <f t="shared" si="2"/>
        <v>26.253444759997691</v>
      </c>
      <c r="G34" s="87">
        <f>AVERAGE($F$12:F34)</f>
        <v>17.572676040664966</v>
      </c>
      <c r="H34" s="98">
        <f>SUM($E$12:E34)/G34</f>
        <v>-2.2531048488917294</v>
      </c>
    </row>
    <row r="35" spans="1:8" x14ac:dyDescent="0.3">
      <c r="A35" s="75">
        <f ca="1">ROUND('0.ArdiData&amp;FixedData'!B26/100,0)</f>
        <v>24</v>
      </c>
      <c r="B35" s="85">
        <v>24</v>
      </c>
      <c r="C35" s="83">
        <v>25</v>
      </c>
      <c r="D35" s="94">
        <f t="shared" si="0"/>
        <v>37.007620410672786</v>
      </c>
      <c r="E35" s="84">
        <f t="shared" si="1"/>
        <v>-12.007620410672786</v>
      </c>
      <c r="F35" s="95">
        <f t="shared" si="2"/>
        <v>12.007620410672786</v>
      </c>
      <c r="G35" s="87">
        <f>AVERAGE($F$12:F35)</f>
        <v>17.340798722748627</v>
      </c>
      <c r="H35" s="98">
        <f>SUM($E$12:E35)/G35</f>
        <v>-2.9756819643034009</v>
      </c>
    </row>
    <row r="36" spans="1:8" x14ac:dyDescent="0.3">
      <c r="A36" s="75">
        <f ca="1">ROUND('0.ArdiData&amp;FixedData'!B27/100,0)</f>
        <v>24</v>
      </c>
      <c r="B36" s="85">
        <v>25</v>
      </c>
      <c r="C36" s="83">
        <v>65</v>
      </c>
      <c r="D36" s="94">
        <f t="shared" si="0"/>
        <v>30.03458988808692</v>
      </c>
      <c r="E36" s="84">
        <f t="shared" si="1"/>
        <v>34.96541011191308</v>
      </c>
      <c r="F36" s="95">
        <f t="shared" si="2"/>
        <v>34.96541011191308</v>
      </c>
      <c r="G36" s="87">
        <f>AVERAGE($F$12:F36)</f>
        <v>18.045783178315205</v>
      </c>
      <c r="H36" s="98">
        <f>SUM($E$12:E36)/G36</f>
        <v>-0.92183817846018079</v>
      </c>
    </row>
    <row r="37" spans="1:8" x14ac:dyDescent="0.3">
      <c r="A37" s="75">
        <f ca="1">ROUND('0.ArdiData&amp;FixedData'!B28/100,0)</f>
        <v>56</v>
      </c>
      <c r="B37" s="85">
        <v>26</v>
      </c>
      <c r="C37" s="83">
        <v>68</v>
      </c>
      <c r="D37" s="94">
        <f t="shared" si="0"/>
        <v>50.339601506241614</v>
      </c>
      <c r="E37" s="84">
        <f t="shared" si="1"/>
        <v>17.660398493758386</v>
      </c>
      <c r="F37" s="95">
        <f t="shared" si="2"/>
        <v>17.660398493758386</v>
      </c>
      <c r="G37" s="87">
        <f>AVERAGE($F$12:F37)</f>
        <v>18.030960690447635</v>
      </c>
      <c r="H37" s="98">
        <f>SUM($E$12:E37)/G37</f>
        <v>5.6852578039061567E-2</v>
      </c>
    </row>
    <row r="38" spans="1:8" x14ac:dyDescent="0.3">
      <c r="A38" s="75">
        <f ca="1">ROUND('0.ArdiData&amp;FixedData'!B29/100,0)</f>
        <v>38</v>
      </c>
      <c r="B38" s="85">
        <v>27</v>
      </c>
      <c r="C38" s="83">
        <v>100</v>
      </c>
      <c r="D38" s="94">
        <f t="shared" si="0"/>
        <v>60.595296933501274</v>
      </c>
      <c r="E38" s="84">
        <f t="shared" si="1"/>
        <v>39.404703066498726</v>
      </c>
      <c r="F38" s="95">
        <f t="shared" si="2"/>
        <v>39.404703066498726</v>
      </c>
      <c r="G38" s="87">
        <f>AVERAGE($F$12:F38)</f>
        <v>18.822580778449524</v>
      </c>
      <c r="H38" s="98">
        <f>SUM($E$12:E38)/G38</f>
        <v>2.1479418865111644</v>
      </c>
    </row>
    <row r="39" spans="1:8" x14ac:dyDescent="0.3">
      <c r="A39" s="75">
        <f ca="1">ROUND('0.ArdiData&amp;FixedData'!B30/100,0)</f>
        <v>25</v>
      </c>
      <c r="B39" s="85">
        <v>28</v>
      </c>
      <c r="C39" s="83">
        <v>66</v>
      </c>
      <c r="D39" s="94">
        <f t="shared" si="0"/>
        <v>83.478281889613243</v>
      </c>
      <c r="E39" s="84">
        <f t="shared" si="1"/>
        <v>-17.478281889613243</v>
      </c>
      <c r="F39" s="95">
        <f t="shared" si="2"/>
        <v>17.478281889613243</v>
      </c>
      <c r="G39" s="87">
        <f>AVERAGE($F$12:F39)</f>
        <v>18.77457010384823</v>
      </c>
      <c r="H39" s="98">
        <f>SUM($E$12:E39)/G39</f>
        <v>1.2224795374650963</v>
      </c>
    </row>
    <row r="40" spans="1:8" x14ac:dyDescent="0.3">
      <c r="A40" s="75">
        <f ca="1">ROUND('0.ArdiData&amp;FixedData'!B31/100,0)</f>
        <v>61</v>
      </c>
      <c r="B40" s="85">
        <v>29</v>
      </c>
      <c r="C40" s="83">
        <v>50</v>
      </c>
      <c r="D40" s="94">
        <f t="shared" si="0"/>
        <v>73.328344688874893</v>
      </c>
      <c r="E40" s="84">
        <f t="shared" si="1"/>
        <v>-23.328344688874893</v>
      </c>
      <c r="F40" s="95">
        <f t="shared" si="2"/>
        <v>23.328344688874893</v>
      </c>
      <c r="G40" s="87">
        <f>AVERAGE($F$12:F40)</f>
        <v>18.931596813676741</v>
      </c>
      <c r="H40" s="98">
        <f>SUM($E$12:E40)/G40</f>
        <v>-1.9904127260108345E-2</v>
      </c>
    </row>
    <row r="41" spans="1:8" x14ac:dyDescent="0.3">
      <c r="A41" s="75">
        <f ca="1">ROUND('0.ArdiData&amp;FixedData'!B32/100,0)</f>
        <v>34</v>
      </c>
      <c r="B41" s="85">
        <v>30</v>
      </c>
      <c r="C41" s="83">
        <v>57</v>
      </c>
      <c r="D41" s="94">
        <f t="shared" si="0"/>
        <v>59.781175974885358</v>
      </c>
      <c r="E41" s="84">
        <f t="shared" si="1"/>
        <v>-2.7811759748853575</v>
      </c>
      <c r="F41" s="95">
        <f t="shared" si="2"/>
        <v>2.7811759748853575</v>
      </c>
      <c r="G41" s="87">
        <f>AVERAGE($F$12:F41)</f>
        <v>18.393249452383696</v>
      </c>
      <c r="H41" s="98">
        <f>SUM($E$12:E41)/G41</f>
        <v>-0.17169303853988546</v>
      </c>
    </row>
    <row r="42" spans="1:8" x14ac:dyDescent="0.3">
      <c r="A42" s="75">
        <f ca="1">ROUND('0.ArdiData&amp;FixedData'!B33/100,0)</f>
        <v>61</v>
      </c>
      <c r="B42" s="85">
        <v>31</v>
      </c>
      <c r="C42" s="83">
        <v>86</v>
      </c>
      <c r="D42" s="94">
        <f t="shared" si="0"/>
        <v>58.166099523574431</v>
      </c>
      <c r="E42" s="84">
        <f t="shared" si="1"/>
        <v>27.833900476425569</v>
      </c>
      <c r="F42" s="95">
        <f t="shared" si="2"/>
        <v>27.833900476425569</v>
      </c>
      <c r="G42" s="87">
        <f>AVERAGE($F$12:F42)</f>
        <v>18.697786582191497</v>
      </c>
      <c r="H42" s="98">
        <f>SUM($E$12:E42)/G42</f>
        <v>1.3197234592904181</v>
      </c>
    </row>
    <row r="43" spans="1:8" x14ac:dyDescent="0.3">
      <c r="A43" s="75">
        <f ca="1">ROUND('0.ArdiData&amp;FixedData'!B34/100,0)</f>
        <v>30</v>
      </c>
      <c r="B43" s="85">
        <v>32</v>
      </c>
      <c r="C43" s="83">
        <v>54</v>
      </c>
      <c r="D43" s="94">
        <f t="shared" si="0"/>
        <v>74.329721535827744</v>
      </c>
      <c r="E43" s="84">
        <f t="shared" si="1"/>
        <v>-20.329721535827744</v>
      </c>
      <c r="F43" s="95">
        <f t="shared" si="2"/>
        <v>20.329721535827744</v>
      </c>
      <c r="G43" s="87">
        <f>AVERAGE($F$12:F43)</f>
        <v>18.74878454949263</v>
      </c>
      <c r="H43" s="98">
        <f>SUM($E$12:E43)/G43</f>
        <v>0.23181161648228543</v>
      </c>
    </row>
    <row r="44" spans="1:8" x14ac:dyDescent="0.3">
      <c r="A44" s="75">
        <f ca="1">ROUND('0.ArdiData&amp;FixedData'!B35/100,0)</f>
        <v>32</v>
      </c>
      <c r="B44" s="85">
        <v>33</v>
      </c>
      <c r="C44" s="83">
        <v>77</v>
      </c>
      <c r="D44" s="94">
        <f t="shared" si="0"/>
        <v>62.523904568212984</v>
      </c>
      <c r="E44" s="84">
        <f t="shared" si="1"/>
        <v>14.476095431787016</v>
      </c>
      <c r="F44" s="95">
        <f t="shared" si="2"/>
        <v>14.476095431787016</v>
      </c>
      <c r="G44" s="87">
        <f>AVERAGE($F$12:F44)</f>
        <v>18.619309121683369</v>
      </c>
      <c r="H44" s="98">
        <f>SUM($E$12:E44)/G44</f>
        <v>1.0109011758853748</v>
      </c>
    </row>
    <row r="45" spans="1:8" x14ac:dyDescent="0.3">
      <c r="A45" s="75">
        <f ca="1">ROUND('0.ArdiData&amp;FixedData'!B36/100,0)</f>
        <v>57</v>
      </c>
      <c r="B45" s="85">
        <v>34</v>
      </c>
      <c r="C45" s="83">
        <v>28</v>
      </c>
      <c r="D45" s="94">
        <f t="shared" ref="D45:D62" si="4">(1-$G$3)*D44+$G$3*C44</f>
        <v>70.930420750552969</v>
      </c>
      <c r="E45" s="84">
        <f t="shared" si="1"/>
        <v>-42.930420750552969</v>
      </c>
      <c r="F45" s="95">
        <f t="shared" si="2"/>
        <v>42.930420750552969</v>
      </c>
      <c r="G45" s="87">
        <f>AVERAGE($F$12:F45)</f>
        <v>19.33434181665012</v>
      </c>
      <c r="H45" s="98">
        <f>SUM($E$12:E45)/G45</f>
        <v>-1.2469076782592519</v>
      </c>
    </row>
    <row r="46" spans="1:8" x14ac:dyDescent="0.3">
      <c r="A46" s="75">
        <f ca="1">ROUND('0.ArdiData&amp;FixedData'!B37/100,0)</f>
        <v>55</v>
      </c>
      <c r="B46" s="85">
        <v>35</v>
      </c>
      <c r="C46" s="83">
        <v>46</v>
      </c>
      <c r="D46" s="94">
        <f t="shared" si="4"/>
        <v>45.9999912397248</v>
      </c>
      <c r="E46" s="84">
        <f t="shared" si="1"/>
        <v>8.7602752003590467E-6</v>
      </c>
      <c r="F46" s="95">
        <f t="shared" si="2"/>
        <v>8.7602752003590467E-6</v>
      </c>
      <c r="G46" s="87">
        <f>AVERAGE($F$12:F46)</f>
        <v>18.781932300753695</v>
      </c>
      <c r="H46" s="98">
        <f>SUM($E$12:E46)/G46</f>
        <v>-1.2835809499764483</v>
      </c>
    </row>
    <row r="47" spans="1:8" x14ac:dyDescent="0.3">
      <c r="A47" s="75">
        <f ca="1">ROUND('0.ArdiData&amp;FixedData'!B38/100,0)</f>
        <v>41</v>
      </c>
      <c r="B47" s="85">
        <v>36</v>
      </c>
      <c r="C47" s="83">
        <v>34</v>
      </c>
      <c r="D47" s="94">
        <f t="shared" si="4"/>
        <v>45.999996326966425</v>
      </c>
      <c r="E47" s="84">
        <f t="shared" si="1"/>
        <v>-11.999996326966425</v>
      </c>
      <c r="F47" s="95">
        <f t="shared" si="2"/>
        <v>11.999996326966425</v>
      </c>
      <c r="G47" s="87">
        <f>AVERAGE($F$12:F47)</f>
        <v>18.593545190370715</v>
      </c>
      <c r="H47" s="98">
        <f>SUM($E$12:E47)/G47</f>
        <v>-1.9419710691138656</v>
      </c>
    </row>
    <row r="48" spans="1:8" x14ac:dyDescent="0.3">
      <c r="A48" s="75">
        <f ca="1">ROUND('0.ArdiData&amp;FixedData'!B39/100,0)</f>
        <v>31</v>
      </c>
      <c r="B48" s="85">
        <v>37</v>
      </c>
      <c r="C48" s="83">
        <v>86</v>
      </c>
      <c r="D48" s="94">
        <f t="shared" si="4"/>
        <v>39.031393240173244</v>
      </c>
      <c r="E48" s="84">
        <f t="shared" si="1"/>
        <v>46.968606759826756</v>
      </c>
      <c r="F48" s="95">
        <f t="shared" si="2"/>
        <v>46.968606759826756</v>
      </c>
      <c r="G48" s="87">
        <f>AVERAGE($F$12:F48)</f>
        <v>19.360438746301963</v>
      </c>
      <c r="H48" s="98">
        <f>SUM($E$12:E48)/G48</f>
        <v>0.56096249006443732</v>
      </c>
    </row>
    <row r="49" spans="1:8" x14ac:dyDescent="0.3">
      <c r="A49" s="75">
        <f ca="1">ROUND('0.ArdiData&amp;FixedData'!B40/100,0)</f>
        <v>62</v>
      </c>
      <c r="B49" s="85">
        <v>38</v>
      </c>
      <c r="C49" s="83">
        <v>64</v>
      </c>
      <c r="D49" s="94">
        <f t="shared" si="4"/>
        <v>66.306866426225952</v>
      </c>
      <c r="E49" s="84">
        <f t="shared" si="1"/>
        <v>-2.3068664262259517</v>
      </c>
      <c r="F49" s="95">
        <f t="shared" si="2"/>
        <v>2.3068664262259517</v>
      </c>
      <c r="G49" s="87">
        <f>AVERAGE($F$12:F49)</f>
        <v>18.911660527352591</v>
      </c>
      <c r="H49" s="98">
        <f>SUM($E$12:E49)/G49</f>
        <v>0.45229309659340711</v>
      </c>
    </row>
    <row r="50" spans="1:8" x14ac:dyDescent="0.3">
      <c r="A50" s="75">
        <f ca="1">ROUND('0.ArdiData&amp;FixedData'!B41/100,0)</f>
        <v>29</v>
      </c>
      <c r="B50" s="85">
        <v>39</v>
      </c>
      <c r="C50" s="83">
        <v>69</v>
      </c>
      <c r="D50" s="94">
        <f t="shared" si="4"/>
        <v>64.967229641296896</v>
      </c>
      <c r="E50" s="84">
        <f t="shared" si="1"/>
        <v>4.0327703587031039</v>
      </c>
      <c r="F50" s="95">
        <f t="shared" si="2"/>
        <v>4.0327703587031039</v>
      </c>
      <c r="G50" s="87">
        <f>AVERAGE($F$12:F50)</f>
        <v>18.530150523028247</v>
      </c>
      <c r="H50" s="98">
        <f>SUM($E$12:E50)/G50</f>
        <v>0.67923807983648332</v>
      </c>
    </row>
    <row r="51" spans="1:8" x14ac:dyDescent="0.3">
      <c r="A51" s="75">
        <f ca="1">ROUND('0.ArdiData&amp;FixedData'!B42/100,0)</f>
        <v>21</v>
      </c>
      <c r="B51" s="85">
        <v>40</v>
      </c>
      <c r="C51" s="83">
        <v>33</v>
      </c>
      <c r="D51" s="94">
        <f t="shared" si="4"/>
        <v>67.309128355618483</v>
      </c>
      <c r="E51" s="84">
        <f t="shared" si="1"/>
        <v>-34.309128355618483</v>
      </c>
      <c r="F51" s="95">
        <f t="shared" si="2"/>
        <v>34.309128355618483</v>
      </c>
      <c r="G51" s="87">
        <f>AVERAGE($F$12:F51)</f>
        <v>18.924624968843002</v>
      </c>
      <c r="H51" s="98">
        <f>SUM($E$12:E51)/G51</f>
        <v>-1.1478560093549814</v>
      </c>
    </row>
    <row r="52" spans="1:8" x14ac:dyDescent="0.3">
      <c r="A52" s="75">
        <f ca="1">ROUND('0.ArdiData&amp;FixedData'!B43/100,0)</f>
        <v>69</v>
      </c>
      <c r="B52" s="85">
        <v>41</v>
      </c>
      <c r="C52" s="83">
        <v>41</v>
      </c>
      <c r="D52" s="94">
        <f t="shared" si="4"/>
        <v>47.385230776844224</v>
      </c>
      <c r="E52" s="84">
        <f t="shared" si="1"/>
        <v>-6.3852307768442245</v>
      </c>
      <c r="F52" s="95">
        <f t="shared" si="2"/>
        <v>6.3852307768442245</v>
      </c>
      <c r="G52" s="87">
        <f>AVERAGE($F$12:F52)</f>
        <v>18.618786086111324</v>
      </c>
      <c r="H52" s="98">
        <f>SUM($E$12:E52)/G52</f>
        <v>-1.509656705980801</v>
      </c>
    </row>
    <row r="53" spans="1:8" x14ac:dyDescent="0.3">
      <c r="A53" s="75">
        <f ca="1">ROUND('0.ArdiData&amp;FixedData'!B44/100,0)</f>
        <v>89</v>
      </c>
      <c r="B53" s="85">
        <v>42</v>
      </c>
      <c r="C53" s="83">
        <v>56</v>
      </c>
      <c r="D53" s="94">
        <f t="shared" si="4"/>
        <v>43.677218066756005</v>
      </c>
      <c r="E53" s="84">
        <f t="shared" si="1"/>
        <v>12.322781933243995</v>
      </c>
      <c r="F53" s="95">
        <f t="shared" si="2"/>
        <v>12.322781933243995</v>
      </c>
      <c r="G53" s="87">
        <f>AVERAGE($F$12:F53)</f>
        <v>18.468881225328769</v>
      </c>
      <c r="H53" s="98">
        <f>SUM($E$12:E53)/G53</f>
        <v>-0.85469136686134073</v>
      </c>
    </row>
    <row r="54" spans="1:8" ht="15.75" customHeight="1" x14ac:dyDescent="0.3">
      <c r="A54" s="75">
        <f ca="1">ROUND('0.ArdiData&amp;FixedData'!B45/100,0)</f>
        <v>67</v>
      </c>
      <c r="B54" s="85">
        <v>43</v>
      </c>
      <c r="C54" s="83">
        <v>28</v>
      </c>
      <c r="D54" s="94">
        <f t="shared" si="4"/>
        <v>50.833268275280673</v>
      </c>
      <c r="E54" s="84">
        <f t="shared" si="1"/>
        <v>-22.833268275280673</v>
      </c>
      <c r="F54" s="95">
        <f t="shared" si="2"/>
        <v>22.833268275280673</v>
      </c>
      <c r="G54" s="87">
        <f>AVERAGE($F$12:F54)</f>
        <v>18.570378598583464</v>
      </c>
      <c r="H54" s="98">
        <f>SUM($E$12:E54)/G54</f>
        <v>-2.0795731982062264</v>
      </c>
    </row>
    <row r="55" spans="1:8" x14ac:dyDescent="0.3">
      <c r="A55" s="75">
        <f ca="1">ROUND('0.ArdiData&amp;FixedData'!B46/100,0)</f>
        <v>26</v>
      </c>
      <c r="B55" s="85">
        <v>44</v>
      </c>
      <c r="C55" s="83">
        <v>19</v>
      </c>
      <c r="D55" s="94">
        <f t="shared" si="4"/>
        <v>37.5735989012883</v>
      </c>
      <c r="E55" s="84">
        <f t="shared" si="1"/>
        <v>-18.5735989012883</v>
      </c>
      <c r="F55" s="95">
        <f t="shared" si="2"/>
        <v>18.5735989012883</v>
      </c>
      <c r="G55" s="87">
        <f>AVERAGE($F$12:F55)</f>
        <v>18.5704517872813</v>
      </c>
      <c r="H55" s="98">
        <f>SUM($E$12:E55)/G55</f>
        <v>-3.0797344712213834</v>
      </c>
    </row>
    <row r="56" spans="1:8" x14ac:dyDescent="0.3">
      <c r="A56" s="75">
        <f ca="1">ROUND('0.ArdiData&amp;FixedData'!B47/100,0)</f>
        <v>59</v>
      </c>
      <c r="B56" s="85">
        <v>45</v>
      </c>
      <c r="C56" s="83">
        <v>16</v>
      </c>
      <c r="D56" s="94">
        <f t="shared" si="4"/>
        <v>26.787592380143288</v>
      </c>
      <c r="E56" s="84">
        <f t="shared" si="1"/>
        <v>-10.787592380143288</v>
      </c>
      <c r="F56" s="95">
        <f t="shared" si="2"/>
        <v>10.787592380143288</v>
      </c>
      <c r="G56" s="87">
        <f>AVERAGE($F$12:F56)</f>
        <v>18.397499356011568</v>
      </c>
      <c r="H56" s="98">
        <f>SUM($E$12:E56)/G56</f>
        <v>-3.6950485269822946</v>
      </c>
    </row>
    <row r="57" spans="1:8" x14ac:dyDescent="0.3">
      <c r="A57" s="75">
        <f ca="1">ROUND('0.ArdiData&amp;FixedData'!B48/100,0)</f>
        <v>19</v>
      </c>
      <c r="B57" s="85">
        <v>46</v>
      </c>
      <c r="C57" s="83">
        <v>53</v>
      </c>
      <c r="D57" s="94">
        <f t="shared" si="4"/>
        <v>20.523052999376908</v>
      </c>
      <c r="E57" s="84">
        <f t="shared" si="1"/>
        <v>32.476947000623092</v>
      </c>
      <c r="F57" s="95">
        <f t="shared" si="2"/>
        <v>32.476947000623092</v>
      </c>
      <c r="G57" s="87">
        <f>AVERAGE($F$12:F57)</f>
        <v>18.703574304807471</v>
      </c>
      <c r="H57" s="98">
        <f>SUM($E$12:E57)/G57</f>
        <v>-1.8981776058621977</v>
      </c>
    </row>
    <row r="58" spans="1:8" x14ac:dyDescent="0.3">
      <c r="A58" s="75">
        <f ca="1">ROUND('0.ArdiData&amp;FixedData'!B49/100,0)</f>
        <v>54</v>
      </c>
      <c r="B58" s="85">
        <v>47</v>
      </c>
      <c r="C58" s="83">
        <v>63</v>
      </c>
      <c r="D58" s="94">
        <f t="shared" si="4"/>
        <v>39.382971531983117</v>
      </c>
      <c r="E58" s="84">
        <f t="shared" si="1"/>
        <v>23.617028468016883</v>
      </c>
      <c r="F58" s="95">
        <f t="shared" si="2"/>
        <v>23.617028468016883</v>
      </c>
      <c r="G58" s="87">
        <f>AVERAGE($F$12:F58)</f>
        <v>18.808115882748098</v>
      </c>
      <c r="H58" s="98">
        <f>SUM($E$12:E58)/G58</f>
        <v>-0.63194407675095843</v>
      </c>
    </row>
    <row r="59" spans="1:8" x14ac:dyDescent="0.3">
      <c r="A59" s="75">
        <f ca="1">ROUND('0.ArdiData&amp;FixedData'!B50/100,0)</f>
        <v>53</v>
      </c>
      <c r="B59" s="85">
        <v>48</v>
      </c>
      <c r="C59" s="83">
        <v>84</v>
      </c>
      <c r="D59" s="94">
        <f t="shared" si="4"/>
        <v>53.097783853489034</v>
      </c>
      <c r="E59" s="84">
        <f t="shared" si="1"/>
        <v>30.902216146510966</v>
      </c>
      <c r="F59" s="95">
        <f t="shared" si="2"/>
        <v>30.902216146510966</v>
      </c>
      <c r="G59" s="87">
        <f>AVERAGE($F$12:F59)</f>
        <v>19.060076304909824</v>
      </c>
      <c r="H59" s="98">
        <f>SUM($E$12:E59)/G59</f>
        <v>0.99771577066898065</v>
      </c>
    </row>
    <row r="60" spans="1:8" x14ac:dyDescent="0.3">
      <c r="A60" s="75">
        <f ca="1">ROUND('0.ArdiData&amp;FixedData'!B51/100,0)</f>
        <v>75</v>
      </c>
      <c r="B60" s="85">
        <v>49</v>
      </c>
      <c r="C60" s="83">
        <v>83</v>
      </c>
      <c r="D60" s="94">
        <f t="shared" si="4"/>
        <v>71.043229248618189</v>
      </c>
      <c r="E60" s="84">
        <f t="shared" si="1"/>
        <v>11.956770751381811</v>
      </c>
      <c r="F60" s="95">
        <f t="shared" si="2"/>
        <v>11.956770751381811</v>
      </c>
      <c r="G60" s="87">
        <f>AVERAGE($F$12:F60)</f>
        <v>18.915110885450066</v>
      </c>
      <c r="H60" s="98">
        <f>SUM($E$12:E60)/G60</f>
        <v>1.6374902403966274</v>
      </c>
    </row>
    <row r="61" spans="1:8" x14ac:dyDescent="0.3">
      <c r="A61" s="75">
        <f ca="1">ROUND('0.ArdiData&amp;FixedData'!B52/100,0)</f>
        <v>39</v>
      </c>
      <c r="B61" s="85">
        <v>50</v>
      </c>
      <c r="C61" s="83">
        <v>78</v>
      </c>
      <c r="D61" s="94">
        <f t="shared" si="4"/>
        <v>77.986730504440771</v>
      </c>
      <c r="E61" s="84">
        <f t="shared" si="1"/>
        <v>1.3269495559228517E-2</v>
      </c>
      <c r="F61" s="95">
        <f t="shared" si="2"/>
        <v>1.3269495559228517E-2</v>
      </c>
      <c r="G61" s="91">
        <f>AVERAGE($F$12:F61)</f>
        <v>18.537074057652251</v>
      </c>
      <c r="H61" s="98">
        <f>SUM($E$12:E61)/G61</f>
        <v>1.6716003221507449</v>
      </c>
    </row>
    <row r="62" spans="1:8" x14ac:dyDescent="0.3">
      <c r="B62" s="85"/>
      <c r="C62" s="75" t="s">
        <v>60</v>
      </c>
      <c r="D62" s="94">
        <f t="shared" si="4"/>
        <v>77.994436327442259</v>
      </c>
    </row>
    <row r="63" spans="1:8" x14ac:dyDescent="0.3">
      <c r="C63" s="75" t="s">
        <v>19</v>
      </c>
      <c r="D63" s="86">
        <f>1.25*G61</f>
        <v>23.171342572065313</v>
      </c>
    </row>
  </sheetData>
  <conditionalFormatting sqref="J17:K26">
    <cfRule type="expression" dxfId="10" priority="3">
      <formula>$K17=$L$27</formula>
    </cfRule>
  </conditionalFormatting>
  <conditionalFormatting sqref="J17:K26">
    <cfRule type="expression" dxfId="9" priority="1">
      <formula>$K17=$L$27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52"/>
  <sheetViews>
    <sheetView zoomScale="96" zoomScaleNormal="96" workbookViewId="0">
      <selection activeCell="K27" sqref="K27"/>
    </sheetView>
  </sheetViews>
  <sheetFormatPr defaultRowHeight="15" x14ac:dyDescent="0.25"/>
  <cols>
    <col min="2" max="3" width="4.85546875" customWidth="1"/>
    <col min="4" max="4" width="7.28515625" customWidth="1"/>
    <col min="5" max="5" width="4.85546875" customWidth="1"/>
    <col min="7" max="7" width="2.7109375" customWidth="1"/>
  </cols>
  <sheetData>
    <row r="1" spans="2:10" x14ac:dyDescent="0.25">
      <c r="B1" s="1" t="s">
        <v>31</v>
      </c>
      <c r="C1" s="1" t="s">
        <v>0</v>
      </c>
      <c r="D1" s="1" t="s">
        <v>32</v>
      </c>
      <c r="E1" s="1" t="s">
        <v>2</v>
      </c>
      <c r="F1" s="1" t="s">
        <v>1</v>
      </c>
      <c r="H1" s="62">
        <v>3.3201298835361014E-2</v>
      </c>
      <c r="I1" t="str">
        <f>C1&amp;" vs "&amp;D1</f>
        <v>At vs Ft (ES)</v>
      </c>
    </row>
    <row r="2" spans="2:10" x14ac:dyDescent="0.25">
      <c r="B2" s="63">
        <v>1</v>
      </c>
      <c r="C2" s="64">
        <v>26</v>
      </c>
      <c r="D2" s="65">
        <f>C2</f>
        <v>26</v>
      </c>
      <c r="E2" s="66">
        <f t="shared" ref="E2:E51" si="0">ABS(C2-D2)</f>
        <v>0</v>
      </c>
      <c r="F2" s="67">
        <f>AVERAGE($E$2:E2)</f>
        <v>0</v>
      </c>
      <c r="H2">
        <v>3.3000000000000002E-2</v>
      </c>
      <c r="I2">
        <v>1E-4</v>
      </c>
    </row>
    <row r="3" spans="2:10" ht="15.75" thickBot="1" x14ac:dyDescent="0.3">
      <c r="B3" s="63">
        <v>2</v>
      </c>
      <c r="C3" s="64">
        <v>22</v>
      </c>
      <c r="D3" s="68">
        <f t="shared" ref="D3:D51" si="1">(1-$H$1)*D2+$H$1*C2</f>
        <v>26</v>
      </c>
      <c r="E3" s="66">
        <f t="shared" si="0"/>
        <v>4</v>
      </c>
      <c r="F3" s="67">
        <f>AVERAGE($E$2:E3)</f>
        <v>2</v>
      </c>
      <c r="H3" s="63"/>
      <c r="I3" s="69">
        <f>F51</f>
        <v>14.534630314876784</v>
      </c>
    </row>
    <row r="4" spans="2:10" x14ac:dyDescent="0.25">
      <c r="B4" s="63">
        <v>3</v>
      </c>
      <c r="C4" s="64">
        <v>11</v>
      </c>
      <c r="D4" s="68">
        <f t="shared" si="1"/>
        <v>25.867194804658556</v>
      </c>
      <c r="E4" s="66">
        <f t="shared" si="0"/>
        <v>14.867194804658556</v>
      </c>
      <c r="F4" s="67">
        <f>AVERAGE($E$2:E4)</f>
        <v>6.2890649348861851</v>
      </c>
      <c r="H4" s="70">
        <f>H2</f>
        <v>3.3000000000000002E-2</v>
      </c>
      <c r="I4" s="70">
        <f t="dataTable" ref="I4:I13" dt2D="0" dtr="0" r1="H1"/>
        <v>14.535584091235551</v>
      </c>
      <c r="J4">
        <f>H4</f>
        <v>3.3000000000000002E-2</v>
      </c>
    </row>
    <row r="5" spans="2:10" x14ac:dyDescent="0.25">
      <c r="B5" s="63">
        <v>4</v>
      </c>
      <c r="C5" s="64">
        <v>3</v>
      </c>
      <c r="D5" s="68">
        <f t="shared" si="1"/>
        <v>25.373584627105558</v>
      </c>
      <c r="E5" s="66">
        <f t="shared" si="0"/>
        <v>22.373584627105558</v>
      </c>
      <c r="F5" s="67">
        <f>AVERAGE($E$2:E5)</f>
        <v>10.310194857941028</v>
      </c>
      <c r="H5" s="71">
        <f>H4+$I$2</f>
        <v>3.3100000000000004E-2</v>
      </c>
      <c r="I5" s="71">
        <v>14.535108230872078</v>
      </c>
      <c r="J5">
        <f t="shared" ref="J5:J13" si="2">H5</f>
        <v>3.3100000000000004E-2</v>
      </c>
    </row>
    <row r="6" spans="2:10" x14ac:dyDescent="0.25">
      <c r="B6" s="63">
        <v>5</v>
      </c>
      <c r="C6" s="64">
        <v>28</v>
      </c>
      <c r="D6" s="68">
        <f t="shared" si="1"/>
        <v>24.630752557882786</v>
      </c>
      <c r="E6" s="66">
        <f t="shared" si="0"/>
        <v>3.3692474421172136</v>
      </c>
      <c r="F6" s="67">
        <f>AVERAGE($E$2:E6)</f>
        <v>8.9220053747762655</v>
      </c>
      <c r="H6" s="71">
        <f t="shared" ref="H6:H13" si="3">H5+$I$2</f>
        <v>3.3200000000000007E-2</v>
      </c>
      <c r="I6" s="71">
        <v>14.534632829046457</v>
      </c>
      <c r="J6">
        <f t="shared" si="2"/>
        <v>3.3200000000000007E-2</v>
      </c>
    </row>
    <row r="7" spans="2:10" x14ac:dyDescent="0.25">
      <c r="B7" s="63">
        <v>6</v>
      </c>
      <c r="C7" s="64">
        <v>13</v>
      </c>
      <c r="D7" s="68">
        <f t="shared" si="1"/>
        <v>24.742615949058795</v>
      </c>
      <c r="E7" s="66">
        <f t="shared" si="0"/>
        <v>11.742615949058795</v>
      </c>
      <c r="F7" s="67">
        <f>AVERAGE($E$2:E7)</f>
        <v>9.3921071371566871</v>
      </c>
      <c r="H7" s="71">
        <f t="shared" si="3"/>
        <v>3.330000000000001E-2</v>
      </c>
      <c r="I7" s="71">
        <v>14.534660744763805</v>
      </c>
      <c r="J7">
        <f t="shared" si="2"/>
        <v>3.330000000000001E-2</v>
      </c>
    </row>
    <row r="8" spans="2:10" x14ac:dyDescent="0.25">
      <c r="B8" s="63">
        <v>7</v>
      </c>
      <c r="C8" s="64">
        <v>8</v>
      </c>
      <c r="D8" s="68">
        <f t="shared" si="1"/>
        <v>24.352745847825215</v>
      </c>
      <c r="E8" s="66">
        <f t="shared" si="0"/>
        <v>16.352745847825215</v>
      </c>
      <c r="F8" s="67">
        <f>AVERAGE($E$2:E8)</f>
        <v>10.386484095823619</v>
      </c>
      <c r="H8" s="71">
        <f t="shared" si="3"/>
        <v>3.3400000000000013E-2</v>
      </c>
      <c r="I8" s="71">
        <v>14.534691348800079</v>
      </c>
      <c r="J8">
        <f t="shared" si="2"/>
        <v>3.3400000000000013E-2</v>
      </c>
    </row>
    <row r="9" spans="2:10" x14ac:dyDescent="0.25">
      <c r="B9" s="63">
        <v>8</v>
      </c>
      <c r="C9" s="64">
        <v>7</v>
      </c>
      <c r="D9" s="68">
        <f t="shared" si="1"/>
        <v>23.809813446152859</v>
      </c>
      <c r="E9" s="66">
        <f t="shared" si="0"/>
        <v>16.809813446152859</v>
      </c>
      <c r="F9" s="67">
        <f>AVERAGE($E$2:E9)</f>
        <v>11.189400264614774</v>
      </c>
      <c r="H9" s="71">
        <f t="shared" si="3"/>
        <v>3.3500000000000016E-2</v>
      </c>
      <c r="I9" s="71">
        <v>14.534721728067307</v>
      </c>
      <c r="J9">
        <f t="shared" si="2"/>
        <v>3.3500000000000016E-2</v>
      </c>
    </row>
    <row r="10" spans="2:10" x14ac:dyDescent="0.25">
      <c r="B10" s="63">
        <v>9</v>
      </c>
      <c r="C10" s="64">
        <v>32</v>
      </c>
      <c r="D10" s="68">
        <f t="shared" si="1"/>
        <v>23.251705806560466</v>
      </c>
      <c r="E10" s="66">
        <f t="shared" si="0"/>
        <v>8.7482941934395342</v>
      </c>
      <c r="F10" s="67">
        <f>AVERAGE($E$2:E10)</f>
        <v>10.918166256706414</v>
      </c>
      <c r="H10" s="71">
        <f t="shared" si="3"/>
        <v>3.3600000000000019E-2</v>
      </c>
      <c r="I10" s="71">
        <v>14.534751885557188</v>
      </c>
      <c r="J10">
        <f t="shared" si="2"/>
        <v>3.3600000000000019E-2</v>
      </c>
    </row>
    <row r="11" spans="2:10" x14ac:dyDescent="0.25">
      <c r="B11" s="63">
        <v>10</v>
      </c>
      <c r="C11" s="64">
        <v>41</v>
      </c>
      <c r="D11" s="68">
        <f t="shared" si="1"/>
        <v>23.542160536376507</v>
      </c>
      <c r="E11" s="66">
        <f t="shared" si="0"/>
        <v>17.457839463623493</v>
      </c>
      <c r="F11" s="67">
        <f>AVERAGE($E$2:E11)</f>
        <v>11.572133577398123</v>
      </c>
      <c r="H11" s="71">
        <f t="shared" si="3"/>
        <v>3.3700000000000022E-2</v>
      </c>
      <c r="I11" s="71">
        <v>14.534781824244186</v>
      </c>
      <c r="J11">
        <f t="shared" si="2"/>
        <v>3.3700000000000022E-2</v>
      </c>
    </row>
    <row r="12" spans="2:10" x14ac:dyDescent="0.25">
      <c r="B12" s="63">
        <v>11</v>
      </c>
      <c r="C12" s="64">
        <v>9</v>
      </c>
      <c r="D12" s="68">
        <f t="shared" si="1"/>
        <v>24.121783481428029</v>
      </c>
      <c r="E12" s="66">
        <f t="shared" si="0"/>
        <v>15.121783481428029</v>
      </c>
      <c r="F12" s="67">
        <f>AVERAGE($E$2:E12)</f>
        <v>11.894829023219023</v>
      </c>
      <c r="H12" s="71">
        <f t="shared" si="3"/>
        <v>3.3800000000000024E-2</v>
      </c>
      <c r="I12" s="71">
        <v>14.534811547085589</v>
      </c>
      <c r="J12">
        <f t="shared" si="2"/>
        <v>3.3800000000000024E-2</v>
      </c>
    </row>
    <row r="13" spans="2:10" x14ac:dyDescent="0.25">
      <c r="B13" s="63">
        <v>12</v>
      </c>
      <c r="C13" s="64">
        <v>14</v>
      </c>
      <c r="D13" s="68">
        <f t="shared" si="1"/>
        <v>23.619720629137511</v>
      </c>
      <c r="E13" s="66">
        <f t="shared" si="0"/>
        <v>9.619720629137511</v>
      </c>
      <c r="F13" s="67">
        <f>AVERAGE($E$2:E13)</f>
        <v>11.705236657045562</v>
      </c>
      <c r="H13" s="71">
        <f t="shared" si="3"/>
        <v>3.3900000000000027E-2</v>
      </c>
      <c r="I13" s="71">
        <v>14.53484105702163</v>
      </c>
      <c r="J13">
        <f t="shared" si="2"/>
        <v>3.3900000000000027E-2</v>
      </c>
    </row>
    <row r="14" spans="2:10" ht="15.75" thickBot="1" x14ac:dyDescent="0.3">
      <c r="B14" s="63">
        <v>13</v>
      </c>
      <c r="C14" s="64">
        <v>35</v>
      </c>
      <c r="D14" s="68">
        <f t="shared" si="1"/>
        <v>23.30033340981683</v>
      </c>
      <c r="E14" s="66">
        <f t="shared" si="0"/>
        <v>11.69966659018317</v>
      </c>
      <c r="F14" s="67">
        <f>AVERAGE($E$2:E14)</f>
        <v>11.70480819036384</v>
      </c>
      <c r="H14" s="72">
        <f t="shared" ref="H14" si="4">H13+$I$2</f>
        <v>3.400000000000003E-2</v>
      </c>
      <c r="I14" s="72">
        <v>18.518364686657335</v>
      </c>
      <c r="J14">
        <f>H14</f>
        <v>3.400000000000003E-2</v>
      </c>
    </row>
    <row r="15" spans="2:10" x14ac:dyDescent="0.25">
      <c r="B15" s="63">
        <v>14</v>
      </c>
      <c r="C15" s="64">
        <v>39</v>
      </c>
      <c r="D15" s="68">
        <f t="shared" si="1"/>
        <v>23.688777536551591</v>
      </c>
      <c r="E15" s="66">
        <f t="shared" si="0"/>
        <v>15.311222463448409</v>
      </c>
      <c r="F15" s="67">
        <f>AVERAGE($E$2:E15)</f>
        <v>11.962409209869881</v>
      </c>
      <c r="H15" s="63"/>
    </row>
    <row r="16" spans="2:10" x14ac:dyDescent="0.25">
      <c r="B16" s="63">
        <v>15</v>
      </c>
      <c r="C16" s="64">
        <v>28</v>
      </c>
      <c r="D16" s="68">
        <f t="shared" si="1"/>
        <v>24.197130009095233</v>
      </c>
      <c r="E16" s="66">
        <f t="shared" si="0"/>
        <v>3.8028699909047674</v>
      </c>
      <c r="F16" s="67">
        <f>AVERAGE($E$2:E16)</f>
        <v>11.41843992860554</v>
      </c>
      <c r="I16" s="63">
        <f>MIN(I4:I14)</f>
        <v>14.534632829046457</v>
      </c>
      <c r="J16" t="b">
        <f>I5=I16</f>
        <v>0</v>
      </c>
    </row>
    <row r="17" spans="2:9" x14ac:dyDescent="0.25">
      <c r="B17" s="63">
        <v>16</v>
      </c>
      <c r="C17" s="64">
        <v>19</v>
      </c>
      <c r="D17" s="68">
        <f t="shared" si="1"/>
        <v>24.323390232095289</v>
      </c>
      <c r="E17" s="66">
        <f t="shared" si="0"/>
        <v>5.3233902320952886</v>
      </c>
      <c r="F17" s="67">
        <f>AVERAGE($E$2:E17)</f>
        <v>11.037499322573648</v>
      </c>
      <c r="I17" s="63">
        <f>INDEX(J4:J14,MATCH(I16,I4:I14,0))</f>
        <v>3.3200000000000007E-2</v>
      </c>
    </row>
    <row r="18" spans="2:9" x14ac:dyDescent="0.25">
      <c r="B18" s="63">
        <v>17</v>
      </c>
      <c r="C18" s="64">
        <v>68</v>
      </c>
      <c r="D18" s="68">
        <f t="shared" si="1"/>
        <v>24.14664676218225</v>
      </c>
      <c r="E18" s="66">
        <f t="shared" si="0"/>
        <v>43.85335323781775</v>
      </c>
      <c r="F18" s="67">
        <f>AVERAGE($E$2:E18)</f>
        <v>12.967843670529183</v>
      </c>
    </row>
    <row r="19" spans="2:9" x14ac:dyDescent="0.25">
      <c r="B19" s="63">
        <v>18</v>
      </c>
      <c r="C19" s="64">
        <v>16</v>
      </c>
      <c r="D19" s="68">
        <f t="shared" si="1"/>
        <v>25.60263504796368</v>
      </c>
      <c r="E19" s="66">
        <f t="shared" si="0"/>
        <v>9.6026350479636804</v>
      </c>
      <c r="F19" s="67">
        <f>AVERAGE($E$2:E19)</f>
        <v>12.780887635942211</v>
      </c>
    </row>
    <row r="20" spans="2:9" x14ac:dyDescent="0.25">
      <c r="B20" s="63">
        <v>19</v>
      </c>
      <c r="C20" s="64">
        <v>27</v>
      </c>
      <c r="D20" s="68">
        <f t="shared" si="1"/>
        <v>25.283815092129323</v>
      </c>
      <c r="E20" s="66">
        <f t="shared" si="0"/>
        <v>1.7161849078706766</v>
      </c>
      <c r="F20" s="67">
        <f>AVERAGE($E$2:E20)</f>
        <v>12.198534860780551</v>
      </c>
    </row>
    <row r="21" spans="2:9" x14ac:dyDescent="0.25">
      <c r="B21" s="63">
        <v>20</v>
      </c>
      <c r="C21" s="64">
        <v>10</v>
      </c>
      <c r="D21" s="68">
        <f t="shared" si="1"/>
        <v>25.340794660112273</v>
      </c>
      <c r="E21" s="66">
        <f t="shared" si="0"/>
        <v>15.340794660112273</v>
      </c>
      <c r="F21" s="67">
        <f>AVERAGE($E$2:E21)</f>
        <v>12.355647850747136</v>
      </c>
    </row>
    <row r="22" spans="2:9" x14ac:dyDescent="0.25">
      <c r="B22" s="63">
        <v>21</v>
      </c>
      <c r="C22" s="64">
        <v>27</v>
      </c>
      <c r="D22" s="68">
        <f t="shared" si="1"/>
        <v>24.831460352229975</v>
      </c>
      <c r="E22" s="66">
        <f t="shared" si="0"/>
        <v>2.1685396477700252</v>
      </c>
      <c r="F22" s="67">
        <f>AVERAGE($E$2:E22)</f>
        <v>11.870547460129179</v>
      </c>
    </row>
    <row r="23" spans="2:9" x14ac:dyDescent="0.25">
      <c r="B23" s="63">
        <v>22</v>
      </c>
      <c r="C23" s="64">
        <v>38</v>
      </c>
      <c r="D23" s="68">
        <f t="shared" si="1"/>
        <v>24.903458685111914</v>
      </c>
      <c r="E23" s="66">
        <f t="shared" si="0"/>
        <v>13.096541314888086</v>
      </c>
      <c r="F23" s="67">
        <f>AVERAGE($E$2:E23)</f>
        <v>11.926274453527311</v>
      </c>
    </row>
    <row r="24" spans="2:9" x14ac:dyDescent="0.25">
      <c r="B24" s="63">
        <v>23</v>
      </c>
      <c r="C24" s="64">
        <v>38</v>
      </c>
      <c r="D24" s="68">
        <f t="shared" si="1"/>
        <v>25.338280867017165</v>
      </c>
      <c r="E24" s="66">
        <f t="shared" si="0"/>
        <v>12.661719132982835</v>
      </c>
      <c r="F24" s="67">
        <f>AVERAGE($E$2:E24)</f>
        <v>11.958250309155813</v>
      </c>
    </row>
    <row r="25" spans="2:9" x14ac:dyDescent="0.25">
      <c r="B25" s="63">
        <v>24</v>
      </c>
      <c r="C25" s="64">
        <v>32</v>
      </c>
      <c r="D25" s="68">
        <f t="shared" si="1"/>
        <v>25.758666387720734</v>
      </c>
      <c r="E25" s="66">
        <f t="shared" si="0"/>
        <v>6.2413336122792664</v>
      </c>
      <c r="F25" s="67">
        <f>AVERAGE($E$2:E25)</f>
        <v>11.720045446785958</v>
      </c>
    </row>
    <row r="26" spans="2:9" x14ac:dyDescent="0.25">
      <c r="B26" s="63">
        <v>25</v>
      </c>
      <c r="C26" s="64">
        <v>36</v>
      </c>
      <c r="D26" s="68">
        <f t="shared" si="1"/>
        <v>25.965886770113201</v>
      </c>
      <c r="E26" s="66">
        <f t="shared" si="0"/>
        <v>10.034113229886799</v>
      </c>
      <c r="F26" s="67">
        <f>AVERAGE($E$2:E26)</f>
        <v>11.652608158109992</v>
      </c>
    </row>
    <row r="27" spans="2:9" x14ac:dyDescent="0.25">
      <c r="B27" s="63">
        <v>26</v>
      </c>
      <c r="C27" s="64">
        <v>53</v>
      </c>
      <c r="D27" s="68">
        <f t="shared" si="1"/>
        <v>26.299032362006521</v>
      </c>
      <c r="E27" s="66">
        <f t="shared" si="0"/>
        <v>26.700967637993479</v>
      </c>
      <c r="F27" s="67">
        <f>AVERAGE($E$2:E27)</f>
        <v>12.231391215028587</v>
      </c>
    </row>
    <row r="28" spans="2:9" x14ac:dyDescent="0.25">
      <c r="B28" s="63">
        <v>27</v>
      </c>
      <c r="C28" s="64">
        <v>45</v>
      </c>
      <c r="D28" s="68">
        <f t="shared" si="1"/>
        <v>27.185539167748846</v>
      </c>
      <c r="E28" s="66">
        <f t="shared" si="0"/>
        <v>17.814460832251154</v>
      </c>
      <c r="F28" s="67">
        <f>AVERAGE($E$2:E28)</f>
        <v>12.438171571222016</v>
      </c>
    </row>
    <row r="29" spans="2:9" x14ac:dyDescent="0.25">
      <c r="B29" s="63">
        <v>28</v>
      </c>
      <c r="C29" s="64">
        <v>23</v>
      </c>
      <c r="D29" s="68">
        <f t="shared" si="1"/>
        <v>27.777002405431251</v>
      </c>
      <c r="E29" s="66">
        <f t="shared" si="0"/>
        <v>4.7770024054312508</v>
      </c>
      <c r="F29" s="67">
        <f>AVERAGE($E$2:E29)</f>
        <v>12.164558386729487</v>
      </c>
    </row>
    <row r="30" spans="2:9" x14ac:dyDescent="0.25">
      <c r="B30" s="63">
        <v>29</v>
      </c>
      <c r="C30" s="64">
        <v>16</v>
      </c>
      <c r="D30" s="68">
        <f t="shared" si="1"/>
        <v>27.618399721031288</v>
      </c>
      <c r="E30" s="66">
        <f t="shared" si="0"/>
        <v>11.618399721031288</v>
      </c>
      <c r="F30" s="67">
        <f>AVERAGE($E$2:E30)</f>
        <v>12.145725329291619</v>
      </c>
    </row>
    <row r="31" spans="2:9" x14ac:dyDescent="0.25">
      <c r="B31" s="63">
        <v>30</v>
      </c>
      <c r="C31" s="64">
        <v>20</v>
      </c>
      <c r="D31" s="68">
        <f t="shared" si="1"/>
        <v>27.23265375990465</v>
      </c>
      <c r="E31" s="66">
        <f t="shared" si="0"/>
        <v>7.2326537599046503</v>
      </c>
      <c r="F31" s="67">
        <f>AVERAGE($E$2:E31)</f>
        <v>11.981956276978719</v>
      </c>
    </row>
    <row r="32" spans="2:9" x14ac:dyDescent="0.25">
      <c r="B32" s="63">
        <v>31</v>
      </c>
      <c r="C32" s="64">
        <v>29</v>
      </c>
      <c r="D32" s="68">
        <f t="shared" si="1"/>
        <v>26.992520261049357</v>
      </c>
      <c r="E32" s="66">
        <f t="shared" si="0"/>
        <v>2.0074797389506429</v>
      </c>
      <c r="F32" s="67">
        <f>AVERAGE($E$2:E32)</f>
        <v>11.660198969300394</v>
      </c>
    </row>
    <row r="33" spans="2:6" x14ac:dyDescent="0.25">
      <c r="B33" s="63">
        <v>32</v>
      </c>
      <c r="C33" s="64">
        <v>78</v>
      </c>
      <c r="D33" s="68">
        <f t="shared" si="1"/>
        <v>27.059171195768187</v>
      </c>
      <c r="E33" s="66">
        <f t="shared" si="0"/>
        <v>50.940828804231813</v>
      </c>
      <c r="F33" s="67">
        <f>AVERAGE($E$2:E33)</f>
        <v>12.887718651642</v>
      </c>
    </row>
    <row r="34" spans="2:6" x14ac:dyDescent="0.25">
      <c r="B34" s="63">
        <v>33</v>
      </c>
      <c r="C34" s="64">
        <v>3</v>
      </c>
      <c r="D34" s="68">
        <f t="shared" si="1"/>
        <v>28.750472875818453</v>
      </c>
      <c r="E34" s="66">
        <f t="shared" si="0"/>
        <v>25.750472875818453</v>
      </c>
      <c r="F34" s="67">
        <f>AVERAGE($E$2:E34)</f>
        <v>13.27749908267765</v>
      </c>
    </row>
    <row r="35" spans="2:6" x14ac:dyDescent="0.25">
      <c r="B35" s="63">
        <v>34</v>
      </c>
      <c r="C35" s="64">
        <v>31</v>
      </c>
      <c r="D35" s="68">
        <f t="shared" si="1"/>
        <v>27.895523730716544</v>
      </c>
      <c r="E35" s="66">
        <f t="shared" si="0"/>
        <v>3.104476269283456</v>
      </c>
      <c r="F35" s="67">
        <f>AVERAGE($E$2:E35)</f>
        <v>12.978292529342527</v>
      </c>
    </row>
    <row r="36" spans="2:6" x14ac:dyDescent="0.25">
      <c r="B36" s="63">
        <v>35</v>
      </c>
      <c r="C36" s="64">
        <v>12</v>
      </c>
      <c r="D36" s="68">
        <f t="shared" si="1"/>
        <v>27.998596375060309</v>
      </c>
      <c r="E36" s="66">
        <f t="shared" si="0"/>
        <v>15.998596375060309</v>
      </c>
      <c r="F36" s="67">
        <f>AVERAGE($E$2:E36)</f>
        <v>13.064586924934463</v>
      </c>
    </row>
    <row r="37" spans="2:6" x14ac:dyDescent="0.25">
      <c r="B37" s="63">
        <v>36</v>
      </c>
      <c r="C37" s="64">
        <v>55</v>
      </c>
      <c r="D37" s="68">
        <f t="shared" si="1"/>
        <v>27.467422195865606</v>
      </c>
      <c r="E37" s="66">
        <f t="shared" si="0"/>
        <v>27.532577804134394</v>
      </c>
      <c r="F37" s="67">
        <f>AVERAGE($E$2:E37)</f>
        <v>13.466475560467794</v>
      </c>
    </row>
    <row r="38" spans="2:6" x14ac:dyDescent="0.25">
      <c r="B38" s="63">
        <v>37</v>
      </c>
      <c r="C38" s="64">
        <v>20</v>
      </c>
      <c r="D38" s="68">
        <f t="shared" si="1"/>
        <v>28.381539539248497</v>
      </c>
      <c r="E38" s="66">
        <f t="shared" si="0"/>
        <v>8.3815395392484966</v>
      </c>
      <c r="F38" s="67">
        <f>AVERAGE($E$2:E38)</f>
        <v>13.329044857191597</v>
      </c>
    </row>
    <row r="39" spans="2:6" x14ac:dyDescent="0.25">
      <c r="B39" s="63">
        <v>38</v>
      </c>
      <c r="C39" s="64">
        <v>6</v>
      </c>
      <c r="D39" s="68">
        <f t="shared" si="1"/>
        <v>28.10326154030551</v>
      </c>
      <c r="E39" s="66">
        <f t="shared" si="0"/>
        <v>22.10326154030551</v>
      </c>
      <c r="F39" s="67">
        <f>AVERAGE($E$2:E39)</f>
        <v>13.559945296220912</v>
      </c>
    </row>
    <row r="40" spans="2:6" x14ac:dyDescent="0.25">
      <c r="B40" s="63">
        <v>39</v>
      </c>
      <c r="C40" s="64">
        <v>59</v>
      </c>
      <c r="D40" s="68">
        <f t="shared" si="1"/>
        <v>27.369404548669685</v>
      </c>
      <c r="E40" s="66">
        <f t="shared" si="0"/>
        <v>31.630595451330315</v>
      </c>
      <c r="F40" s="67">
        <f>AVERAGE($E$2:E40)</f>
        <v>14.023295300198075</v>
      </c>
    </row>
    <row r="41" spans="2:6" x14ac:dyDescent="0.25">
      <c r="B41" s="63">
        <v>40</v>
      </c>
      <c r="C41" s="64">
        <v>51</v>
      </c>
      <c r="D41" s="68">
        <f t="shared" si="1"/>
        <v>28.419581400589713</v>
      </c>
      <c r="E41" s="66">
        <f t="shared" si="0"/>
        <v>22.580418599410287</v>
      </c>
      <c r="F41" s="67">
        <f>AVERAGE($E$2:E41)</f>
        <v>14.237223382678383</v>
      </c>
    </row>
    <row r="42" spans="2:6" x14ac:dyDescent="0.25">
      <c r="B42" s="63">
        <v>41</v>
      </c>
      <c r="C42" s="64">
        <v>2</v>
      </c>
      <c r="D42" s="68">
        <f t="shared" si="1"/>
        <v>29.169280626336278</v>
      </c>
      <c r="E42" s="66">
        <f t="shared" si="0"/>
        <v>27.169280626336278</v>
      </c>
      <c r="F42" s="67">
        <f>AVERAGE($E$2:E42)</f>
        <v>14.552639413011503</v>
      </c>
    </row>
    <row r="43" spans="2:6" x14ac:dyDescent="0.25">
      <c r="B43" s="63">
        <v>42</v>
      </c>
      <c r="C43" s="64">
        <v>67</v>
      </c>
      <c r="D43" s="68">
        <f t="shared" si="1"/>
        <v>28.267225221119503</v>
      </c>
      <c r="E43" s="66">
        <f t="shared" si="0"/>
        <v>38.732774778880497</v>
      </c>
      <c r="F43" s="67">
        <f>AVERAGE($E$2:E43)</f>
        <v>15.12835692172267</v>
      </c>
    </row>
    <row r="44" spans="2:6" x14ac:dyDescent="0.25">
      <c r="B44" s="63">
        <v>43</v>
      </c>
      <c r="C44" s="64">
        <v>65</v>
      </c>
      <c r="D44" s="68">
        <f t="shared" si="1"/>
        <v>29.553203651275847</v>
      </c>
      <c r="E44" s="66">
        <f t="shared" si="0"/>
        <v>35.446796348724149</v>
      </c>
      <c r="F44" s="67">
        <f>AVERAGE($E$2:E44)</f>
        <v>15.600878768862241</v>
      </c>
    </row>
    <row r="45" spans="2:6" x14ac:dyDescent="0.25">
      <c r="B45" s="63">
        <v>44</v>
      </c>
      <c r="C45" s="64">
        <v>43</v>
      </c>
      <c r="D45" s="68">
        <f t="shared" si="1"/>
        <v>30.730083329606021</v>
      </c>
      <c r="E45" s="66">
        <f t="shared" si="0"/>
        <v>12.269916670393979</v>
      </c>
      <c r="F45" s="67">
        <f>AVERAGE($E$2:E45)</f>
        <v>15.525175084806143</v>
      </c>
    </row>
    <row r="46" spans="2:6" x14ac:dyDescent="0.25">
      <c r="B46" s="63">
        <v>45</v>
      </c>
      <c r="C46" s="64">
        <v>27</v>
      </c>
      <c r="D46" s="68">
        <f t="shared" si="1"/>
        <v>31.137460499664748</v>
      </c>
      <c r="E46" s="66">
        <f t="shared" si="0"/>
        <v>4.1374604996647477</v>
      </c>
      <c r="F46" s="67">
        <f>AVERAGE($E$2:E46)</f>
        <v>15.27211476069189</v>
      </c>
    </row>
    <row r="47" spans="2:6" x14ac:dyDescent="0.25">
      <c r="B47" s="63">
        <v>46</v>
      </c>
      <c r="C47" s="64">
        <v>31</v>
      </c>
      <c r="D47" s="68">
        <f t="shared" si="1"/>
        <v>31.000091437195877</v>
      </c>
      <c r="E47" s="66">
        <f t="shared" si="0"/>
        <v>9.1437195877119848E-5</v>
      </c>
      <c r="F47" s="67">
        <f>AVERAGE($E$2:E47)</f>
        <v>14.940114253659369</v>
      </c>
    </row>
    <row r="48" spans="2:6" x14ac:dyDescent="0.25">
      <c r="B48" s="63">
        <v>47</v>
      </c>
      <c r="C48" s="64">
        <v>43</v>
      </c>
      <c r="D48" s="68">
        <f t="shared" si="1"/>
        <v>31.000088401362213</v>
      </c>
      <c r="E48" s="66">
        <f t="shared" si="0"/>
        <v>11.999911598637787</v>
      </c>
      <c r="F48" s="67">
        <f>AVERAGE($E$2:E48)</f>
        <v>14.877556750361038</v>
      </c>
    </row>
    <row r="49" spans="2:6" x14ac:dyDescent="0.25">
      <c r="B49" s="63">
        <v>48</v>
      </c>
      <c r="C49" s="64">
        <v>15</v>
      </c>
      <c r="D49" s="68">
        <f t="shared" si="1"/>
        <v>31.3985010523465</v>
      </c>
      <c r="E49" s="66">
        <f t="shared" si="0"/>
        <v>16.3985010523465</v>
      </c>
      <c r="F49" s="67">
        <f>AVERAGE($E$2:E49)</f>
        <v>14.909243089985736</v>
      </c>
    </row>
    <row r="50" spans="2:6" x14ac:dyDescent="0.25">
      <c r="B50" s="63">
        <v>49</v>
      </c>
      <c r="C50" s="64">
        <v>37</v>
      </c>
      <c r="D50" s="68">
        <f t="shared" si="1"/>
        <v>30.854049518455561</v>
      </c>
      <c r="E50" s="66">
        <f t="shared" si="0"/>
        <v>6.145950481544439</v>
      </c>
      <c r="F50" s="67">
        <f>AVERAGE($E$2:E50)</f>
        <v>14.730400383691016</v>
      </c>
    </row>
    <row r="51" spans="2:6" x14ac:dyDescent="0.25">
      <c r="B51" s="63">
        <v>50</v>
      </c>
      <c r="C51" s="64">
        <v>36</v>
      </c>
      <c r="D51" s="68">
        <f t="shared" si="1"/>
        <v>31.058103057020649</v>
      </c>
      <c r="E51" s="66">
        <f t="shared" si="0"/>
        <v>4.9418969429793513</v>
      </c>
      <c r="F51" s="73">
        <f>AVERAGE($E$2:E51)</f>
        <v>14.534630314876784</v>
      </c>
    </row>
    <row r="52" spans="2:6" ht="15.75" customHeight="1" x14ac:dyDescent="0.25">
      <c r="B52" s="63">
        <v>51</v>
      </c>
    </row>
  </sheetData>
  <conditionalFormatting sqref="I4:I14">
    <cfRule type="cellIs" dxfId="8" priority="4" operator="equal">
      <formula>$I$16</formula>
    </cfRule>
  </conditionalFormatting>
  <conditionalFormatting sqref="H4:H14">
    <cfRule type="cellIs" dxfId="7" priority="6" operator="equal">
      <formula>$I$17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8"/>
  <sheetViews>
    <sheetView zoomScaleNormal="100" workbookViewId="0">
      <selection activeCell="N27" sqref="N27"/>
    </sheetView>
  </sheetViews>
  <sheetFormatPr defaultColWidth="9.140625" defaultRowHeight="16.5" x14ac:dyDescent="0.3"/>
  <cols>
    <col min="1" max="1" width="4.5703125" style="136" bestFit="1" customWidth="1"/>
    <col min="2" max="4" width="8.42578125" style="136" bestFit="1" customWidth="1"/>
    <col min="5" max="5" width="8" style="136" bestFit="1" customWidth="1"/>
    <col min="6" max="6" width="7.28515625" style="136" bestFit="1" customWidth="1"/>
    <col min="7" max="7" width="6.42578125" style="136" bestFit="1" customWidth="1"/>
    <col min="8" max="8" width="10.7109375" style="136" bestFit="1" customWidth="1"/>
    <col min="9" max="9" width="6.140625" style="136" bestFit="1" customWidth="1"/>
    <col min="10" max="10" width="13.7109375" style="136" bestFit="1" customWidth="1"/>
    <col min="11" max="11" width="6.140625" style="136" bestFit="1" customWidth="1"/>
    <col min="12" max="12" width="7.42578125" style="136" bestFit="1" customWidth="1"/>
    <col min="13" max="13" width="9.28515625" style="136" bestFit="1" customWidth="1"/>
    <col min="14" max="14" width="13.7109375" style="136" bestFit="1" customWidth="1"/>
    <col min="15" max="15" width="9.140625" style="136"/>
    <col min="16" max="16" width="9.28515625" style="136" bestFit="1" customWidth="1"/>
    <col min="17" max="17" width="10.7109375" style="136" bestFit="1" customWidth="1"/>
    <col min="18" max="18" width="11.85546875" style="136" bestFit="1" customWidth="1"/>
    <col min="19" max="16384" width="9.140625" style="136"/>
  </cols>
  <sheetData>
    <row r="1" spans="1:19" ht="17.25" thickBot="1" x14ac:dyDescent="0.35">
      <c r="A1" s="124" t="str">
        <f>[1]ArdiData!A2</f>
        <v>Per.</v>
      </c>
      <c r="B1" s="125" t="s">
        <v>37</v>
      </c>
      <c r="C1" s="126" t="s">
        <v>27</v>
      </c>
      <c r="D1" s="127" t="s">
        <v>61</v>
      </c>
      <c r="E1" s="128" t="s">
        <v>3</v>
      </c>
      <c r="F1" s="129" t="s">
        <v>2</v>
      </c>
      <c r="G1" s="130" t="s">
        <v>1</v>
      </c>
      <c r="H1" s="131" t="s">
        <v>72</v>
      </c>
      <c r="I1" s="132" t="s">
        <v>35</v>
      </c>
      <c r="J1" s="133" t="s">
        <v>36</v>
      </c>
      <c r="K1" s="134" t="s">
        <v>35</v>
      </c>
      <c r="L1" s="135" t="s">
        <v>62</v>
      </c>
      <c r="N1" s="137">
        <v>0.54204157976182277</v>
      </c>
      <c r="O1" s="138" t="s">
        <v>1</v>
      </c>
      <c r="P1" s="139">
        <f>G76</f>
        <v>633.21827240836194</v>
      </c>
      <c r="Q1" s="140" t="s">
        <v>38</v>
      </c>
      <c r="R1" s="141">
        <f>AVERAGE(E2:E76)</f>
        <v>263.06772030991112</v>
      </c>
      <c r="S1" s="136" t="str">
        <f>" F(next) ~ N ( "&amp;ROUND(P1,0)&amp;", "&amp;ROUND(1.25*G76,0)&amp;")"</f>
        <v xml:space="preserve"> F(next) ~ N ( 633, 792)</v>
      </c>
    </row>
    <row r="2" spans="1:19" x14ac:dyDescent="0.3">
      <c r="A2" s="142">
        <f>[1]ArdiData!A3</f>
        <v>1</v>
      </c>
      <c r="B2" s="143">
        <f>'[3]0.ArdiData'!C3</f>
        <v>1767</v>
      </c>
      <c r="C2" s="144">
        <v>814</v>
      </c>
      <c r="D2" s="145">
        <f>C2</f>
        <v>814</v>
      </c>
      <c r="E2" s="146">
        <f t="shared" ref="E2:E33" si="0">C2-D2</f>
        <v>0</v>
      </c>
      <c r="F2" s="147">
        <f t="shared" ref="F2:F33" si="1">ABS(E2)</f>
        <v>0</v>
      </c>
      <c r="G2" s="148">
        <f>AVERAGE(F$2:F2)</f>
        <v>0</v>
      </c>
      <c r="H2" s="149">
        <f>E2^2</f>
        <v>0</v>
      </c>
      <c r="I2" s="150">
        <f>IFERROR(SQRT(SUM($H$2:H2)/(COUNT($H$2:H2)-1)),0)</f>
        <v>0</v>
      </c>
      <c r="J2" s="151">
        <f t="shared" ref="J2:J33" si="2">(E2-$R$1)^2</f>
        <v>69204.62546905363</v>
      </c>
      <c r="K2" s="152">
        <f>IFERROR(SQRT(SUM(J$2:J2)/(COUNT(J$2:J2)-1)),0)</f>
        <v>0</v>
      </c>
      <c r="L2" s="153">
        <f>2*K2</f>
        <v>0</v>
      </c>
      <c r="Q2" s="136" t="s">
        <v>39</v>
      </c>
      <c r="R2" s="154">
        <f>K76</f>
        <v>821.18475332967296</v>
      </c>
    </row>
    <row r="3" spans="1:19" x14ac:dyDescent="0.3">
      <c r="A3" s="142">
        <f>[1]ArdiData!A4</f>
        <v>2</v>
      </c>
      <c r="B3" s="143">
        <f>'[3]0.ArdiData'!C4</f>
        <v>2033</v>
      </c>
      <c r="C3" s="144">
        <v>972</v>
      </c>
      <c r="D3" s="145">
        <f t="shared" ref="D3:D34" si="3">$N$1*C2+(1-$N$1)*D2</f>
        <v>814</v>
      </c>
      <c r="E3" s="146">
        <f t="shared" si="0"/>
        <v>158</v>
      </c>
      <c r="F3" s="147">
        <f t="shared" si="1"/>
        <v>158</v>
      </c>
      <c r="G3" s="148">
        <f>AVERAGE(F$2:F3)</f>
        <v>79</v>
      </c>
      <c r="H3" s="149">
        <f t="shared" ref="H3:H66" si="4">E3^2</f>
        <v>24964</v>
      </c>
      <c r="I3" s="150">
        <f>IFERROR(SQRT(SUM($H$2:H3)/(COUNT($H$2:H3)-1)),"")</f>
        <v>158</v>
      </c>
      <c r="J3" s="151">
        <f t="shared" si="2"/>
        <v>11039.22585112171</v>
      </c>
      <c r="K3" s="152">
        <f>IFERROR(SQRT(SUM(J$2:J3)/(COUNT(J$2:J3)-1)),0)</f>
        <v>283.27345678721002</v>
      </c>
      <c r="L3" s="153">
        <f t="shared" ref="L3:L66" si="5">2*K3</f>
        <v>566.54691357442005</v>
      </c>
      <c r="N3" s="155">
        <f>G76</f>
        <v>633.21827240836194</v>
      </c>
      <c r="R3" s="156"/>
    </row>
    <row r="4" spans="1:19" x14ac:dyDescent="0.3">
      <c r="A4" s="142">
        <f>[1]ArdiData!A5</f>
        <v>3</v>
      </c>
      <c r="B4" s="143">
        <f>'[3]0.ArdiData'!C5</f>
        <v>2179</v>
      </c>
      <c r="C4" s="144">
        <v>1198</v>
      </c>
      <c r="D4" s="145">
        <f t="shared" si="3"/>
        <v>899.64256960236798</v>
      </c>
      <c r="E4" s="146">
        <f t="shared" si="0"/>
        <v>298.35743039763202</v>
      </c>
      <c r="F4" s="147">
        <f t="shared" si="1"/>
        <v>298.35743039763202</v>
      </c>
      <c r="G4" s="148">
        <f>AVERAGE(F$2:F4)</f>
        <v>152.11914346587733</v>
      </c>
      <c r="H4" s="149">
        <f t="shared" si="4"/>
        <v>89017.156273477827</v>
      </c>
      <c r="I4" s="150">
        <f>IFERROR(SQRT(SUM($H$2:H4)/(COUNT($H$2:H4)-1)),"")</f>
        <v>238.7269949895464</v>
      </c>
      <c r="J4" s="151">
        <f t="shared" si="2"/>
        <v>1245.3636380753896</v>
      </c>
      <c r="K4" s="152">
        <f>IFERROR(SQRT(SUM(J$2:J4)/(COUNT(J$2:J4)-1)),0)</f>
        <v>201.85293527498024</v>
      </c>
      <c r="L4" s="153">
        <f t="shared" si="5"/>
        <v>403.70587054996048</v>
      </c>
      <c r="M4" s="136">
        <v>0.1</v>
      </c>
      <c r="N4" s="136">
        <f t="dataTable" ref="N4:N13" dt2D="0" dtr="0" r1="N1"/>
        <v>1091.0715462831258</v>
      </c>
      <c r="R4" s="154"/>
    </row>
    <row r="5" spans="1:19" x14ac:dyDescent="0.3">
      <c r="A5" s="142">
        <f>[1]ArdiData!A6</f>
        <v>4</v>
      </c>
      <c r="B5" s="143">
        <f>'[3]0.ArdiData'!C6</f>
        <v>2354</v>
      </c>
      <c r="C5" s="144">
        <v>1273</v>
      </c>
      <c r="D5" s="145">
        <f t="shared" si="3"/>
        <v>1061.3647025087785</v>
      </c>
      <c r="E5" s="146">
        <f t="shared" si="0"/>
        <v>211.63529749122154</v>
      </c>
      <c r="F5" s="147">
        <f t="shared" si="1"/>
        <v>211.63529749122154</v>
      </c>
      <c r="G5" s="148">
        <f>AVERAGE(F$2:F5)</f>
        <v>166.99818197221339</v>
      </c>
      <c r="H5" s="149">
        <f t="shared" si="4"/>
        <v>44789.499144197842</v>
      </c>
      <c r="I5" s="150">
        <f>IFERROR(SQRT(SUM($H$2:H5)/(COUNT($H$2:H5)-1)),"")</f>
        <v>230.05119388060538</v>
      </c>
      <c r="J5" s="151">
        <f t="shared" si="2"/>
        <v>2645.2941170004615</v>
      </c>
      <c r="K5" s="152">
        <f>IFERROR(SQRT(SUM(J$2:J5)/(COUNT(J$2:J5)-1)),0)</f>
        <v>167.46592596231946</v>
      </c>
      <c r="L5" s="153">
        <f t="shared" si="5"/>
        <v>334.93185192463892</v>
      </c>
      <c r="M5" s="136">
        <v>0.2</v>
      </c>
      <c r="N5" s="136">
        <v>766.09391146651762</v>
      </c>
    </row>
    <row r="6" spans="1:19" x14ac:dyDescent="0.3">
      <c r="A6" s="142">
        <f>[1]ArdiData!A7</f>
        <v>5</v>
      </c>
      <c r="B6" s="143">
        <f>'[3]0.ArdiData'!C7</f>
        <v>2679</v>
      </c>
      <c r="C6" s="144">
        <v>1793</v>
      </c>
      <c r="D6" s="145">
        <f t="shared" si="3"/>
        <v>1176.0798334942835</v>
      </c>
      <c r="E6" s="146">
        <f t="shared" si="0"/>
        <v>616.92016650571645</v>
      </c>
      <c r="F6" s="147">
        <f t="shared" si="1"/>
        <v>616.92016650571645</v>
      </c>
      <c r="G6" s="148">
        <f>AVERAGE(F$2:F6)</f>
        <v>256.98257887891401</v>
      </c>
      <c r="H6" s="149">
        <f t="shared" si="4"/>
        <v>380590.4918414409</v>
      </c>
      <c r="I6" s="150">
        <f>IFERROR(SQRT(SUM($H$2:H6)/(COUNT($H$2:H6)-1)),"")</f>
        <v>367.20605498109529</v>
      </c>
      <c r="J6" s="151">
        <f t="shared" si="2"/>
        <v>125211.5536787553</v>
      </c>
      <c r="K6" s="152">
        <f>IFERROR(SQRT(SUM(J$2:J6)/(COUNT(J$2:J6)-1)),0)</f>
        <v>228.77175456883137</v>
      </c>
      <c r="L6" s="153">
        <f t="shared" si="5"/>
        <v>457.54350913766274</v>
      </c>
      <c r="M6" s="136">
        <v>0.30000000000000004</v>
      </c>
      <c r="N6" s="136">
        <v>681.99744974119938</v>
      </c>
    </row>
    <row r="7" spans="1:19" x14ac:dyDescent="0.3">
      <c r="A7" s="142">
        <f>[1]ArdiData!A8</f>
        <v>6</v>
      </c>
      <c r="B7" s="143">
        <f>'[3]0.ArdiData'!C8</f>
        <v>2930</v>
      </c>
      <c r="C7" s="144">
        <v>1969</v>
      </c>
      <c r="D7" s="145">
        <f t="shared" si="3"/>
        <v>1510.4762151339689</v>
      </c>
      <c r="E7" s="146">
        <f t="shared" si="0"/>
        <v>458.52378486603106</v>
      </c>
      <c r="F7" s="147">
        <f t="shared" si="1"/>
        <v>458.52378486603106</v>
      </c>
      <c r="G7" s="148">
        <f>AVERAGE(F$2:F7)</f>
        <v>290.57277987676684</v>
      </c>
      <c r="H7" s="149">
        <f t="shared" si="4"/>
        <v>210244.06128787034</v>
      </c>
      <c r="I7" s="150">
        <f>IFERROR(SQRT(SUM($H$2:H7)/(COUNT($H$2:H7)-1)),"")</f>
        <v>387.19638648804226</v>
      </c>
      <c r="J7" s="151">
        <f t="shared" si="2"/>
        <v>38203.073171766126</v>
      </c>
      <c r="K7" s="152">
        <f>IFERROR(SQRT(SUM(J$2:J7)/(COUNT(J$2:J7)-1)),0)</f>
        <v>222.50803847311792</v>
      </c>
      <c r="L7" s="153">
        <f t="shared" si="5"/>
        <v>445.01607694623584</v>
      </c>
      <c r="M7" s="136">
        <v>0.4</v>
      </c>
      <c r="N7" s="136">
        <v>650.92786786448812</v>
      </c>
    </row>
    <row r="8" spans="1:19" x14ac:dyDescent="0.3">
      <c r="A8" s="142">
        <f>[1]ArdiData!A9</f>
        <v>7</v>
      </c>
      <c r="B8" s="143">
        <f>'[3]0.ArdiData'!C9</f>
        <v>3211</v>
      </c>
      <c r="C8" s="144">
        <v>2092</v>
      </c>
      <c r="D8" s="145">
        <f t="shared" si="3"/>
        <v>1759.0151718411225</v>
      </c>
      <c r="E8" s="146">
        <f t="shared" si="0"/>
        <v>332.98482815887746</v>
      </c>
      <c r="F8" s="147">
        <f t="shared" si="1"/>
        <v>332.98482815887746</v>
      </c>
      <c r="G8" s="148">
        <f>AVERAGE(F$2:F8)</f>
        <v>296.63164391706835</v>
      </c>
      <c r="H8" s="149">
        <f t="shared" si="4"/>
        <v>110878.89578399716</v>
      </c>
      <c r="I8" s="150">
        <f>IFERROR(SQRT(SUM($H$2:H8)/(COUNT($H$2:H8)-1)),"")</f>
        <v>378.70043225285252</v>
      </c>
      <c r="J8" s="151">
        <f t="shared" si="2"/>
        <v>4888.4019699639903</v>
      </c>
      <c r="K8" s="152">
        <f>IFERROR(SQRT(SUM(J$2:J8)/(COUNT(J$2:J8)-1)),0)</f>
        <v>205.11685202006871</v>
      </c>
      <c r="L8" s="153">
        <f t="shared" si="5"/>
        <v>410.23370404013741</v>
      </c>
      <c r="M8" s="136">
        <v>0.5</v>
      </c>
      <c r="N8" s="136">
        <v>636.3291255879102</v>
      </c>
    </row>
    <row r="9" spans="1:19" x14ac:dyDescent="0.3">
      <c r="A9" s="142">
        <f>[1]ArdiData!A10</f>
        <v>8</v>
      </c>
      <c r="B9" s="143">
        <f>'[3]0.ArdiData'!C10</f>
        <v>3062</v>
      </c>
      <c r="C9" s="144">
        <v>1790</v>
      </c>
      <c r="D9" s="145">
        <f t="shared" si="3"/>
        <v>1939.5067941330797</v>
      </c>
      <c r="E9" s="146">
        <f t="shared" si="0"/>
        <v>-149.50679413307967</v>
      </c>
      <c r="F9" s="147">
        <f t="shared" si="1"/>
        <v>149.50679413307967</v>
      </c>
      <c r="G9" s="148">
        <f>AVERAGE(F$2:F9)</f>
        <v>278.24103769406975</v>
      </c>
      <c r="H9" s="149">
        <f t="shared" si="4"/>
        <v>22352.281491951064</v>
      </c>
      <c r="I9" s="150">
        <f>IFERROR(SQRT(SUM($H$2:H9)/(COUNT($H$2:H9)-1)),"")</f>
        <v>355.13305068521959</v>
      </c>
      <c r="J9" s="151">
        <f t="shared" si="2"/>
        <v>170217.72996786961</v>
      </c>
      <c r="K9" s="152">
        <f>IFERROR(SQRT(SUM(J$2:J9)/(COUNT(J$2:J9)-1)),0)</f>
        <v>245.72204618331497</v>
      </c>
      <c r="L9" s="153">
        <f t="shared" si="5"/>
        <v>491.44409236662995</v>
      </c>
      <c r="M9" s="136">
        <v>0.6</v>
      </c>
      <c r="N9" s="136">
        <v>633.69577835514633</v>
      </c>
    </row>
    <row r="10" spans="1:19" x14ac:dyDescent="0.3">
      <c r="A10" s="142">
        <f>[1]ArdiData!A11</f>
        <v>9</v>
      </c>
      <c r="B10" s="143">
        <f>'[3]0.ArdiData'!C11</f>
        <v>3972</v>
      </c>
      <c r="C10" s="144">
        <v>2115</v>
      </c>
      <c r="D10" s="145">
        <f t="shared" si="3"/>
        <v>1858.4678952560596</v>
      </c>
      <c r="E10" s="146">
        <f t="shared" si="0"/>
        <v>256.53210474394041</v>
      </c>
      <c r="F10" s="147">
        <f t="shared" si="1"/>
        <v>256.53210474394041</v>
      </c>
      <c r="G10" s="148">
        <f>AVERAGE(F$2:F10)</f>
        <v>275.82893403294423</v>
      </c>
      <c r="H10" s="149">
        <f t="shared" si="4"/>
        <v>65808.72076435601</v>
      </c>
      <c r="I10" s="150">
        <f>IFERROR(SQRT(SUM($H$2:H10)/(COUNT($H$2:H10)-1)),"")</f>
        <v>344.35539537433039</v>
      </c>
      <c r="J10" s="151">
        <f t="shared" si="2"/>
        <v>42.714270826158717</v>
      </c>
      <c r="K10" s="152">
        <f>IFERROR(SQRT(SUM(J$2:J10)/(COUNT(J$2:J10)-1)),0)</f>
        <v>229.86354162155433</v>
      </c>
      <c r="L10" s="153">
        <f t="shared" si="5"/>
        <v>459.72708324310867</v>
      </c>
      <c r="M10" s="136">
        <v>0.70000000000000007</v>
      </c>
      <c r="N10" s="136">
        <v>643.74284904727222</v>
      </c>
    </row>
    <row r="11" spans="1:19" x14ac:dyDescent="0.3">
      <c r="A11" s="142">
        <f>[1]ArdiData!A12</f>
        <v>10</v>
      </c>
      <c r="B11" s="143">
        <f>'[3]0.ArdiData'!C12</f>
        <v>3374</v>
      </c>
      <c r="C11" s="144">
        <v>2081</v>
      </c>
      <c r="D11" s="145">
        <f t="shared" si="3"/>
        <v>1997.5189625710905</v>
      </c>
      <c r="E11" s="146">
        <f t="shared" si="0"/>
        <v>83.481037428909531</v>
      </c>
      <c r="F11" s="147">
        <f t="shared" si="1"/>
        <v>83.481037428909531</v>
      </c>
      <c r="G11" s="148">
        <f>AVERAGE(F$2:F11)</f>
        <v>256.59414437254077</v>
      </c>
      <c r="H11" s="149">
        <f t="shared" si="4"/>
        <v>6969.0836102069943</v>
      </c>
      <c r="I11" s="150">
        <f>IFERROR(SQRT(SUM($H$2:H11)/(COUNT($H$2:H11)-1)),"")</f>
        <v>325.85173693934593</v>
      </c>
      <c r="J11" s="151">
        <f t="shared" si="2"/>
        <v>32251.376668201432</v>
      </c>
      <c r="K11" s="152">
        <f>IFERROR(SQRT(SUM(J$2:J11)/(COUNT(J$2:J11)-1)),0)</f>
        <v>224.8331131213732</v>
      </c>
      <c r="L11" s="153">
        <f t="shared" si="5"/>
        <v>449.6662262427464</v>
      </c>
      <c r="M11" s="136">
        <v>0.8</v>
      </c>
      <c r="N11" s="136">
        <v>660.75978281535038</v>
      </c>
    </row>
    <row r="12" spans="1:19" x14ac:dyDescent="0.3">
      <c r="A12" s="142">
        <f>[1]ArdiData!A13</f>
        <v>11</v>
      </c>
      <c r="B12" s="143">
        <f>'[3]0.ArdiData'!C13</f>
        <v>3421</v>
      </c>
      <c r="C12" s="144">
        <v>2380</v>
      </c>
      <c r="D12" s="145">
        <f t="shared" si="3"/>
        <v>2042.7691559792124</v>
      </c>
      <c r="E12" s="146">
        <f t="shared" si="0"/>
        <v>337.23084402078757</v>
      </c>
      <c r="F12" s="147">
        <f t="shared" si="1"/>
        <v>337.23084402078757</v>
      </c>
      <c r="G12" s="148">
        <f>AVERAGE(F$2:F12)</f>
        <v>263.92475343147231</v>
      </c>
      <c r="H12" s="149">
        <f t="shared" si="4"/>
        <v>113724.64215897275</v>
      </c>
      <c r="I12" s="150">
        <f>IFERROR(SQRT(SUM($H$2:H12)/(COUNT($H$2:H12)-1)),"")</f>
        <v>327.00746663592724</v>
      </c>
      <c r="J12" s="151">
        <f t="shared" si="2"/>
        <v>5500.1689185547648</v>
      </c>
      <c r="K12" s="152">
        <f>IFERROR(SQRT(SUM(J$2:J12)/(COUNT(J$2:J12)-1)),0)</f>
        <v>214.58087699540903</v>
      </c>
      <c r="L12" s="153">
        <f t="shared" si="5"/>
        <v>429.16175399081806</v>
      </c>
      <c r="M12" s="136">
        <v>0.9</v>
      </c>
      <c r="N12" s="136">
        <v>688.1740564000246</v>
      </c>
    </row>
    <row r="13" spans="1:19" x14ac:dyDescent="0.3">
      <c r="A13" s="142">
        <f>[1]ArdiData!A14</f>
        <v>12</v>
      </c>
      <c r="B13" s="143">
        <f>'[3]0.ArdiData'!C14</f>
        <v>3766</v>
      </c>
      <c r="C13" s="144">
        <v>2083</v>
      </c>
      <c r="D13" s="145">
        <f t="shared" si="3"/>
        <v>2225.5622954166529</v>
      </c>
      <c r="E13" s="146">
        <f t="shared" si="0"/>
        <v>-142.56229541665289</v>
      </c>
      <c r="F13" s="147">
        <f t="shared" si="1"/>
        <v>142.56229541665289</v>
      </c>
      <c r="G13" s="148">
        <f>AVERAGE(F$2:F13)</f>
        <v>253.81121526357069</v>
      </c>
      <c r="H13" s="149">
        <f t="shared" si="4"/>
        <v>20324.008074465008</v>
      </c>
      <c r="I13" s="150">
        <f>IFERROR(SQRT(SUM($H$2:H13)/(COUNT($H$2:H13)-1)),"")</f>
        <v>314.73839648348303</v>
      </c>
      <c r="J13" s="151">
        <f t="shared" si="2"/>
        <v>164535.70965833258</v>
      </c>
      <c r="K13" s="152">
        <f>IFERROR(SQRT(SUM(J$2:J13)/(COUNT(J$2:J13)-1)),0)</f>
        <v>238.3628321735053</v>
      </c>
      <c r="L13" s="153">
        <f t="shared" si="5"/>
        <v>476.72566434701059</v>
      </c>
      <c r="M13" s="136">
        <v>1</v>
      </c>
      <c r="N13" s="136">
        <v>724.86666666666667</v>
      </c>
    </row>
    <row r="14" spans="1:19" x14ac:dyDescent="0.3">
      <c r="A14" s="142">
        <f>[1]ArdiData!A15</f>
        <v>13</v>
      </c>
      <c r="B14" s="143">
        <f>'[3]0.ArdiData'!C15</f>
        <v>4135</v>
      </c>
      <c r="C14" s="144">
        <v>2580</v>
      </c>
      <c r="D14" s="145">
        <f t="shared" si="3"/>
        <v>2148.2876035945387</v>
      </c>
      <c r="E14" s="146">
        <f t="shared" si="0"/>
        <v>431.71239640546128</v>
      </c>
      <c r="F14" s="147">
        <f t="shared" si="1"/>
        <v>431.71239640546128</v>
      </c>
      <c r="G14" s="148">
        <f>AVERAGE(F$2:F14)</f>
        <v>267.49592150525456</v>
      </c>
      <c r="H14" s="149">
        <f t="shared" si="4"/>
        <v>186375.59321014612</v>
      </c>
      <c r="I14" s="150">
        <f>IFERROR(SQRT(SUM($H$2:H14)/(COUNT($H$2:H14)-1)),"")</f>
        <v>326.09283361760163</v>
      </c>
      <c r="J14" s="151">
        <f t="shared" si="2"/>
        <v>28441.026775373026</v>
      </c>
      <c r="K14" s="152">
        <f>IFERROR(SQRT(SUM(J$2:J14)/(COUNT(J$2:J14)-1)),0)</f>
        <v>233.34992753282464</v>
      </c>
      <c r="L14" s="153">
        <f t="shared" si="5"/>
        <v>466.69985506564927</v>
      </c>
    </row>
    <row r="15" spans="1:19" x14ac:dyDescent="0.3">
      <c r="A15" s="142">
        <f>[1]ArdiData!A16</f>
        <v>14</v>
      </c>
      <c r="B15" s="143">
        <f>'[3]0.ArdiData'!C16</f>
        <v>4948</v>
      </c>
      <c r="C15" s="144">
        <v>1957</v>
      </c>
      <c r="D15" s="145">
        <f t="shared" si="3"/>
        <v>2382.2936729449175</v>
      </c>
      <c r="E15" s="146">
        <f t="shared" si="0"/>
        <v>-425.29367294491749</v>
      </c>
      <c r="F15" s="147">
        <f t="shared" si="1"/>
        <v>425.29367294491749</v>
      </c>
      <c r="G15" s="148">
        <f>AVERAGE(F$2:F15)</f>
        <v>278.7671894652305</v>
      </c>
      <c r="H15" s="149">
        <f t="shared" si="4"/>
        <v>180874.70824697844</v>
      </c>
      <c r="I15" s="150">
        <f>IFERROR(SQRT(SUM($H$2:H15)/(COUNT($H$2:H15)-1)),"")</f>
        <v>334.76893775214114</v>
      </c>
      <c r="J15" s="151">
        <f t="shared" si="2"/>
        <v>473841.4077237288</v>
      </c>
      <c r="K15" s="152">
        <f>IFERROR(SQRT(SUM(J$2:J15)/(COUNT(J$2:J15)-1)),0)</f>
        <v>294.47053814739621</v>
      </c>
      <c r="L15" s="153">
        <f t="shared" si="5"/>
        <v>588.94107629479242</v>
      </c>
      <c r="N15" s="136">
        <f>MIN(N4:N13)</f>
        <v>633.69577835514633</v>
      </c>
    </row>
    <row r="16" spans="1:19" x14ac:dyDescent="0.3">
      <c r="A16" s="142">
        <f>[1]ArdiData!A17</f>
        <v>15</v>
      </c>
      <c r="B16" s="143">
        <f>'[3]0.ArdiData'!C17</f>
        <v>5219</v>
      </c>
      <c r="C16" s="144">
        <v>2860</v>
      </c>
      <c r="D16" s="145">
        <f t="shared" si="3"/>
        <v>2151.7668185991465</v>
      </c>
      <c r="E16" s="146">
        <f t="shared" si="0"/>
        <v>708.23318140085348</v>
      </c>
      <c r="F16" s="147">
        <f t="shared" si="1"/>
        <v>708.23318140085348</v>
      </c>
      <c r="G16" s="148">
        <f>AVERAGE(F$2:F16)</f>
        <v>307.39825559427203</v>
      </c>
      <c r="H16" s="149">
        <f t="shared" si="4"/>
        <v>501594.23923717422</v>
      </c>
      <c r="I16" s="150">
        <f>IFERROR(SQRT(SUM($H$2:H16)/(COUNT($H$2:H16)-1)),"")</f>
        <v>374.0232404090529</v>
      </c>
      <c r="J16" s="151">
        <f t="shared" si="2"/>
        <v>198172.28774831133</v>
      </c>
      <c r="K16" s="152">
        <f>IFERROR(SQRT(SUM(J$2:J16)/(COUNT(J$2:J16)-1)),0)</f>
        <v>307.69186344538798</v>
      </c>
      <c r="L16" s="153">
        <f t="shared" si="5"/>
        <v>615.38372689077596</v>
      </c>
    </row>
    <row r="17" spans="1:12" x14ac:dyDescent="0.3">
      <c r="A17" s="142">
        <f>[1]ArdiData!A18</f>
        <v>16</v>
      </c>
      <c r="B17" s="143">
        <f>'[3]0.ArdiData'!C18</f>
        <v>4050</v>
      </c>
      <c r="C17" s="144">
        <v>3016</v>
      </c>
      <c r="D17" s="145">
        <f t="shared" si="3"/>
        <v>2535.6586510854067</v>
      </c>
      <c r="E17" s="146">
        <f t="shared" si="0"/>
        <v>480.34134891459325</v>
      </c>
      <c r="F17" s="147">
        <f t="shared" si="1"/>
        <v>480.34134891459325</v>
      </c>
      <c r="G17" s="148">
        <f>AVERAGE(F$2:F17)</f>
        <v>318.2071989267921</v>
      </c>
      <c r="H17" s="149">
        <f t="shared" si="4"/>
        <v>230727.81147709102</v>
      </c>
      <c r="I17" s="150">
        <f>IFERROR(SQRT(SUM($H$2:H17)/(COUNT($H$2:H17)-1)),"")</f>
        <v>382.0327379167328</v>
      </c>
      <c r="J17" s="151">
        <f t="shared" si="2"/>
        <v>47207.829687045341</v>
      </c>
      <c r="K17" s="152">
        <f>IFERROR(SQRT(SUM(J$2:J17)/(COUNT(J$2:J17)-1)),0)</f>
        <v>302.50595468673339</v>
      </c>
      <c r="L17" s="153">
        <f t="shared" si="5"/>
        <v>605.01190937346678</v>
      </c>
    </row>
    <row r="18" spans="1:12" x14ac:dyDescent="0.3">
      <c r="A18" s="142">
        <f>[1]ArdiData!A19</f>
        <v>17</v>
      </c>
      <c r="B18" s="143">
        <f>'[3]0.ArdiData'!C19</f>
        <v>5210</v>
      </c>
      <c r="C18" s="144">
        <v>2492</v>
      </c>
      <c r="D18" s="145">
        <f t="shared" si="3"/>
        <v>2796.0236346759975</v>
      </c>
      <c r="E18" s="146">
        <f t="shared" si="0"/>
        <v>-304.02363467599753</v>
      </c>
      <c r="F18" s="147">
        <f t="shared" si="1"/>
        <v>304.02363467599753</v>
      </c>
      <c r="G18" s="148">
        <f>AVERAGE(F$2:F18)</f>
        <v>317.37287161792182</v>
      </c>
      <c r="H18" s="149">
        <f t="shared" si="4"/>
        <v>92430.370441604406</v>
      </c>
      <c r="I18" s="150">
        <f>IFERROR(SQRT(SUM($H$2:H18)/(COUNT($H$2:H18)-1)),"")</f>
        <v>377.62957735093477</v>
      </c>
      <c r="J18" s="151">
        <f t="shared" si="2"/>
        <v>321592.60489975387</v>
      </c>
      <c r="K18" s="152">
        <f>IFERROR(SQRT(SUM(J$2:J18)/(COUNT(J$2:J18)-1)),0)</f>
        <v>325.40747477333451</v>
      </c>
      <c r="L18" s="153">
        <f t="shared" si="5"/>
        <v>650.81494954666903</v>
      </c>
    </row>
    <row r="19" spans="1:12" x14ac:dyDescent="0.3">
      <c r="A19" s="142">
        <f>[1]ArdiData!A20</f>
        <v>18</v>
      </c>
      <c r="B19" s="143">
        <f>'[3]0.ArdiData'!C20</f>
        <v>4584</v>
      </c>
      <c r="C19" s="144">
        <v>2604</v>
      </c>
      <c r="D19" s="145">
        <f t="shared" si="3"/>
        <v>2631.2301834512887</v>
      </c>
      <c r="E19" s="146">
        <f t="shared" si="0"/>
        <v>-27.230183451288667</v>
      </c>
      <c r="F19" s="147">
        <f t="shared" si="1"/>
        <v>27.230183451288667</v>
      </c>
      <c r="G19" s="148">
        <f>AVERAGE(F$2:F19)</f>
        <v>301.25383338644224</v>
      </c>
      <c r="H19" s="149">
        <f t="shared" si="4"/>
        <v>741.4828907908352</v>
      </c>
      <c r="I19" s="150">
        <f>IFERROR(SQRT(SUM($H$2:H19)/(COUNT($H$2:H19)-1)),"")</f>
        <v>366.41402538134378</v>
      </c>
      <c r="J19" s="151">
        <f t="shared" si="2"/>
        <v>84272.872928146811</v>
      </c>
      <c r="K19" s="152">
        <f>IFERROR(SQRT(SUM(J$2:J19)/(COUNT(J$2:J19)-1)),0)</f>
        <v>323.44771985428207</v>
      </c>
      <c r="L19" s="153">
        <f t="shared" si="5"/>
        <v>646.89543970856414</v>
      </c>
    </row>
    <row r="20" spans="1:12" x14ac:dyDescent="0.3">
      <c r="A20" s="142">
        <f>[1]ArdiData!A21</f>
        <v>19</v>
      </c>
      <c r="B20" s="143">
        <f>'[3]0.ArdiData'!C21</f>
        <v>5242</v>
      </c>
      <c r="C20" s="144">
        <v>2502</v>
      </c>
      <c r="D20" s="145">
        <f t="shared" si="3"/>
        <v>2616.4702917961481</v>
      </c>
      <c r="E20" s="146">
        <f t="shared" si="0"/>
        <v>-114.4702917961481</v>
      </c>
      <c r="F20" s="147">
        <f t="shared" si="1"/>
        <v>114.4702917961481</v>
      </c>
      <c r="G20" s="148">
        <f>AVERAGE(F$2:F20)</f>
        <v>291.42312067116359</v>
      </c>
      <c r="H20" s="149">
        <f t="shared" si="4"/>
        <v>13103.447703895292</v>
      </c>
      <c r="I20" s="150">
        <f>IFERROR(SQRT(SUM($H$2:H20)/(COUNT($H$2:H20)-1)),"")</f>
        <v>357.11113222315106</v>
      </c>
      <c r="J20" s="151">
        <f t="shared" si="2"/>
        <v>142534.95058499492</v>
      </c>
      <c r="K20" s="152">
        <f>IFERROR(SQRT(SUM(J$2:J20)/(COUNT(J$2:J20)-1)),0)</f>
        <v>326.68777293438211</v>
      </c>
      <c r="L20" s="153">
        <f t="shared" si="5"/>
        <v>653.37554586876422</v>
      </c>
    </row>
    <row r="21" spans="1:12" x14ac:dyDescent="0.3">
      <c r="A21" s="142">
        <f>[1]ArdiData!A22</f>
        <v>20</v>
      </c>
      <c r="B21" s="143">
        <f>'[3]0.ArdiData'!C22</f>
        <v>5349</v>
      </c>
      <c r="C21" s="144">
        <v>2652</v>
      </c>
      <c r="D21" s="145">
        <f t="shared" si="3"/>
        <v>2554.422633995167</v>
      </c>
      <c r="E21" s="146">
        <f t="shared" si="0"/>
        <v>97.577366004833038</v>
      </c>
      <c r="F21" s="147">
        <f t="shared" si="1"/>
        <v>97.577366004833038</v>
      </c>
      <c r="G21" s="148">
        <f>AVERAGE(F$2:F21)</f>
        <v>281.73083293784703</v>
      </c>
      <c r="H21" s="149">
        <f t="shared" si="4"/>
        <v>9521.342356441146</v>
      </c>
      <c r="I21" s="150">
        <f>IFERROR(SQRT(SUM($H$2:H21)/(COUNT($H$2:H21)-1)),"")</f>
        <v>348.30656762738687</v>
      </c>
      <c r="J21" s="151">
        <f t="shared" si="2"/>
        <v>27387.057368020276</v>
      </c>
      <c r="K21" s="152">
        <f>IFERROR(SQRT(SUM(J$2:J21)/(COUNT(J$2:J21)-1)),0)</f>
        <v>320.23307918607424</v>
      </c>
      <c r="L21" s="153">
        <f t="shared" si="5"/>
        <v>640.46615837214847</v>
      </c>
    </row>
    <row r="22" spans="1:12" x14ac:dyDescent="0.3">
      <c r="A22" s="142">
        <f>[1]ArdiData!A23</f>
        <v>21</v>
      </c>
      <c r="B22" s="143">
        <f>'[3]0.ArdiData'!C23</f>
        <v>5711</v>
      </c>
      <c r="C22" s="144">
        <v>2891</v>
      </c>
      <c r="D22" s="145">
        <f t="shared" si="3"/>
        <v>2607.3136236134242</v>
      </c>
      <c r="E22" s="146">
        <f t="shared" si="0"/>
        <v>283.68637638657583</v>
      </c>
      <c r="F22" s="147">
        <f t="shared" si="1"/>
        <v>283.68637638657583</v>
      </c>
      <c r="G22" s="148">
        <f>AVERAGE(F$2:F22)</f>
        <v>281.82395405445317</v>
      </c>
      <c r="H22" s="149">
        <f t="shared" si="4"/>
        <v>80477.960147345962</v>
      </c>
      <c r="I22" s="150">
        <f>IFERROR(SQRT(SUM($H$2:H22)/(COUNT($H$2:H22)-1)),"")</f>
        <v>345.36283790691806</v>
      </c>
      <c r="J22" s="151">
        <f t="shared" si="2"/>
        <v>425.12897840778243</v>
      </c>
      <c r="K22" s="152">
        <f>IFERROR(SQRT(SUM(J$2:J22)/(COUNT(J$2:J22)-1)),0)</f>
        <v>312.15864588965843</v>
      </c>
      <c r="L22" s="153">
        <f t="shared" si="5"/>
        <v>624.31729177931686</v>
      </c>
    </row>
    <row r="23" spans="1:12" x14ac:dyDescent="0.3">
      <c r="A23" s="142">
        <f>[1]ArdiData!A24</f>
        <v>22</v>
      </c>
      <c r="B23" s="143">
        <f>'[3]0.ArdiData'!C24</f>
        <v>5647</v>
      </c>
      <c r="C23" s="144">
        <v>2619</v>
      </c>
      <c r="D23" s="145">
        <f t="shared" si="3"/>
        <v>2761.0834352269108</v>
      </c>
      <c r="E23" s="146">
        <f t="shared" si="0"/>
        <v>-142.08343522691075</v>
      </c>
      <c r="F23" s="147">
        <f t="shared" si="1"/>
        <v>142.08343522691075</v>
      </c>
      <c r="G23" s="148">
        <f>AVERAGE(F$2:F23)</f>
        <v>275.4721122895649</v>
      </c>
      <c r="H23" s="149">
        <f t="shared" si="4"/>
        <v>20187.702565879743</v>
      </c>
      <c r="I23" s="150">
        <f>IFERROR(SQRT(SUM($H$2:H23)/(COUNT($H$2:H23)-1)),"")</f>
        <v>338.46273612912466</v>
      </c>
      <c r="J23" s="151">
        <f t="shared" si="2"/>
        <v>164147.45883282204</v>
      </c>
      <c r="K23" s="152">
        <f>IFERROR(SQRT(SUM(J$2:J23)/(COUNT(J$2:J23)-1)),0)</f>
        <v>317.20564629771144</v>
      </c>
      <c r="L23" s="153">
        <f t="shared" si="5"/>
        <v>634.41129259542288</v>
      </c>
    </row>
    <row r="24" spans="1:12" x14ac:dyDescent="0.3">
      <c r="A24" s="142">
        <f>[1]ArdiData!A25</f>
        <v>23</v>
      </c>
      <c r="B24" s="143">
        <f>'[3]0.ArdiData'!C25</f>
        <v>5690</v>
      </c>
      <c r="C24" s="144">
        <v>3341</v>
      </c>
      <c r="D24" s="145">
        <f t="shared" si="3"/>
        <v>2684.0683055385293</v>
      </c>
      <c r="E24" s="146">
        <f t="shared" si="0"/>
        <v>656.93169446147067</v>
      </c>
      <c r="F24" s="147">
        <f t="shared" si="1"/>
        <v>656.93169446147067</v>
      </c>
      <c r="G24" s="148">
        <f>AVERAGE(F$2:F24)</f>
        <v>292.05731151443035</v>
      </c>
      <c r="H24" s="149">
        <f t="shared" si="4"/>
        <v>431559.25118801906</v>
      </c>
      <c r="I24" s="150">
        <f>IFERROR(SQRT(SUM($H$2:H24)/(COUNT($H$2:H24)-1)),"")</f>
        <v>359.11866549147425</v>
      </c>
      <c r="J24" s="151">
        <f t="shared" si="2"/>
        <v>155128.83013446035</v>
      </c>
      <c r="K24" s="152">
        <f>IFERROR(SQRT(SUM(J$2:J24)/(COUNT(J$2:J24)-1)),0)</f>
        <v>321.08740618550536</v>
      </c>
      <c r="L24" s="153">
        <f t="shared" si="5"/>
        <v>642.17481237101072</v>
      </c>
    </row>
    <row r="25" spans="1:12" x14ac:dyDescent="0.3">
      <c r="A25" s="142">
        <f>[1]ArdiData!A26</f>
        <v>24</v>
      </c>
      <c r="B25" s="143">
        <f>'[3]0.ArdiData'!C26</f>
        <v>5994</v>
      </c>
      <c r="C25" s="144">
        <v>3297</v>
      </c>
      <c r="D25" s="145">
        <f t="shared" si="3"/>
        <v>3040.1525990000359</v>
      </c>
      <c r="E25" s="146">
        <f t="shared" si="0"/>
        <v>256.84740099996407</v>
      </c>
      <c r="F25" s="147">
        <f t="shared" si="1"/>
        <v>256.84740099996407</v>
      </c>
      <c r="G25" s="148">
        <f>AVERAGE(F$2:F25)</f>
        <v>290.59023190966099</v>
      </c>
      <c r="H25" s="149">
        <f t="shared" si="4"/>
        <v>65970.587400436343</v>
      </c>
      <c r="I25" s="150">
        <f>IFERROR(SQRT(SUM($H$2:H25)/(COUNT($H$2:H25)-1)),"")</f>
        <v>355.28478089363858</v>
      </c>
      <c r="J25" s="151">
        <f t="shared" si="2"/>
        <v>38.692372317700247</v>
      </c>
      <c r="K25" s="152">
        <f>IFERROR(SQRT(SUM(J$2:J25)/(COUNT(J$2:J25)-1)),0)</f>
        <v>314.03235678017137</v>
      </c>
      <c r="L25" s="153">
        <f t="shared" si="5"/>
        <v>628.06471356034274</v>
      </c>
    </row>
    <row r="26" spans="1:12" x14ac:dyDescent="0.3">
      <c r="A26" s="142">
        <f>[1]ArdiData!A27</f>
        <v>25</v>
      </c>
      <c r="B26" s="143">
        <f>'[3]0.ArdiData'!C27</f>
        <v>5350</v>
      </c>
      <c r="C26" s="144">
        <v>3012</v>
      </c>
      <c r="D26" s="145">
        <f t="shared" si="3"/>
        <v>3179.3745699957749</v>
      </c>
      <c r="E26" s="146">
        <f t="shared" si="0"/>
        <v>-167.37456999577489</v>
      </c>
      <c r="F26" s="147">
        <f t="shared" si="1"/>
        <v>167.37456999577489</v>
      </c>
      <c r="G26" s="148">
        <f>AVERAGE(F$2:F26)</f>
        <v>285.66160543310548</v>
      </c>
      <c r="H26" s="149">
        <f t="shared" si="4"/>
        <v>28014.24668127055</v>
      </c>
      <c r="I26" s="150">
        <f>IFERROR(SQRT(SUM($H$2:H26)/(COUNT($H$2:H26)-1)),"")</f>
        <v>349.47827686293135</v>
      </c>
      <c r="J26" s="151">
        <f t="shared" si="2"/>
        <v>185280.56528360449</v>
      </c>
      <c r="K26" s="152">
        <f>IFERROR(SQRT(SUM(J$2:J26)/(COUNT(J$2:J26)-1)),0)</f>
        <v>319.73009129423707</v>
      </c>
      <c r="L26" s="153">
        <f t="shared" si="5"/>
        <v>639.46018258847414</v>
      </c>
    </row>
    <row r="27" spans="1:12" x14ac:dyDescent="0.3">
      <c r="A27" s="142">
        <f>[1]ArdiData!A28</f>
        <v>26</v>
      </c>
      <c r="B27" s="143">
        <f>'[3]0.ArdiData'!C28</f>
        <v>6292</v>
      </c>
      <c r="C27" s="144">
        <v>4254</v>
      </c>
      <c r="D27" s="145">
        <f t="shared" si="3"/>
        <v>3088.6505936633093</v>
      </c>
      <c r="E27" s="146">
        <f t="shared" si="0"/>
        <v>1165.3494063366907</v>
      </c>
      <c r="F27" s="147">
        <f t="shared" si="1"/>
        <v>1165.3494063366907</v>
      </c>
      <c r="G27" s="148">
        <f>AVERAGE(F$2:F27)</f>
        <v>319.49575162170493</v>
      </c>
      <c r="H27" s="149">
        <f t="shared" si="4"/>
        <v>1358039.2388492774</v>
      </c>
      <c r="I27" s="150">
        <f>IFERROR(SQRT(SUM($H$2:H27)/(COUNT($H$2:H27)-1)),"")</f>
        <v>414.21157988773251</v>
      </c>
      <c r="J27" s="151">
        <f t="shared" si="2"/>
        <v>814112.24093932798</v>
      </c>
      <c r="K27" s="152">
        <f>IFERROR(SQRT(SUM(J$2:J27)/(COUNT(J$2:J27)-1)),0)</f>
        <v>361.52832207924382</v>
      </c>
      <c r="L27" s="153">
        <f t="shared" si="5"/>
        <v>723.05664415848764</v>
      </c>
    </row>
    <row r="28" spans="1:12" x14ac:dyDescent="0.3">
      <c r="A28" s="142">
        <f>[1]ArdiData!A29</f>
        <v>27</v>
      </c>
      <c r="B28" s="143">
        <f>'[3]0.ArdiData'!C29</f>
        <v>6291</v>
      </c>
      <c r="C28" s="144">
        <v>3925</v>
      </c>
      <c r="D28" s="145">
        <f t="shared" si="3"/>
        <v>3720.3184268485516</v>
      </c>
      <c r="E28" s="146">
        <f t="shared" si="0"/>
        <v>204.68157315144845</v>
      </c>
      <c r="F28" s="147">
        <f t="shared" si="1"/>
        <v>204.68157315144845</v>
      </c>
      <c r="G28" s="148">
        <f>AVERAGE(F$2:F28)</f>
        <v>315.24337464132509</v>
      </c>
      <c r="H28" s="149">
        <f t="shared" si="4"/>
        <v>41894.54638775174</v>
      </c>
      <c r="I28" s="150">
        <f>IFERROR(SQRT(SUM($H$2:H28)/(COUNT($H$2:H28)-1)),"")</f>
        <v>408.14662567113334</v>
      </c>
      <c r="J28" s="151">
        <f t="shared" si="2"/>
        <v>3408.9421800096593</v>
      </c>
      <c r="K28" s="152">
        <f>IFERROR(SQRT(SUM(J$2:J28)/(COUNT(J$2:J28)-1)),0)</f>
        <v>354.69256101456506</v>
      </c>
      <c r="L28" s="153">
        <f t="shared" si="5"/>
        <v>709.38512202913012</v>
      </c>
    </row>
    <row r="29" spans="1:12" x14ac:dyDescent="0.3">
      <c r="A29" s="142">
        <f>[1]ArdiData!A30</f>
        <v>28</v>
      </c>
      <c r="B29" s="143">
        <f>'[3]0.ArdiData'!C30</f>
        <v>7439</v>
      </c>
      <c r="C29" s="144">
        <v>4513</v>
      </c>
      <c r="D29" s="145">
        <f t="shared" si="3"/>
        <v>3831.2643501076977</v>
      </c>
      <c r="E29" s="146">
        <f t="shared" si="0"/>
        <v>681.73564989230226</v>
      </c>
      <c r="F29" s="147">
        <f t="shared" si="1"/>
        <v>681.73564989230226</v>
      </c>
      <c r="G29" s="148">
        <f>AVERAGE(F$2:F29)</f>
        <v>328.33238447171709</v>
      </c>
      <c r="H29" s="149">
        <f t="shared" si="4"/>
        <v>464763.49633407971</v>
      </c>
      <c r="I29" s="150">
        <f>IFERROR(SQRT(SUM($H$2:H29)/(COUNT($H$2:H29)-1)),"")</f>
        <v>421.45861646276501</v>
      </c>
      <c r="J29" s="151">
        <f t="shared" si="2"/>
        <v>175282.83526080602</v>
      </c>
      <c r="K29" s="152">
        <f>IFERROR(SQRT(SUM(J$2:J29)/(COUNT(J$2:J29)-1)),0)</f>
        <v>357.26636857385563</v>
      </c>
      <c r="L29" s="153">
        <f t="shared" si="5"/>
        <v>714.53273714771126</v>
      </c>
    </row>
    <row r="30" spans="1:12" x14ac:dyDescent="0.3">
      <c r="A30" s="142">
        <f>[1]ArdiData!A31</f>
        <v>29</v>
      </c>
      <c r="B30" s="143">
        <f>'[3]0.ArdiData'!C31</f>
        <v>7700</v>
      </c>
      <c r="C30" s="144">
        <v>4529</v>
      </c>
      <c r="D30" s="145">
        <f t="shared" si="3"/>
        <v>4200.7934187552746</v>
      </c>
      <c r="E30" s="146">
        <f t="shared" si="0"/>
        <v>328.20658124472538</v>
      </c>
      <c r="F30" s="147">
        <f t="shared" si="1"/>
        <v>328.20658124472538</v>
      </c>
      <c r="G30" s="148">
        <f>AVERAGE(F$2:F30)</f>
        <v>328.32804642940704</v>
      </c>
      <c r="H30" s="149">
        <f t="shared" si="4"/>
        <v>107719.55997235053</v>
      </c>
      <c r="I30" s="150">
        <f>IFERROR(SQRT(SUM($H$2:H30)/(COUNT($H$2:H30)-1)),"")</f>
        <v>418.48615037338828</v>
      </c>
      <c r="J30" s="151">
        <f t="shared" si="2"/>
        <v>4243.0712038850716</v>
      </c>
      <c r="K30" s="152">
        <f>IFERROR(SQRT(SUM(J$2:J30)/(COUNT(J$2:J30)-1)),0)</f>
        <v>351.04451489603224</v>
      </c>
      <c r="L30" s="153">
        <f t="shared" si="5"/>
        <v>702.08902979206448</v>
      </c>
    </row>
    <row r="31" spans="1:12" x14ac:dyDescent="0.3">
      <c r="A31" s="142">
        <f>[1]ArdiData!A32</f>
        <v>30</v>
      </c>
      <c r="B31" s="143">
        <f>'[3]0.ArdiData'!C32</f>
        <v>6625</v>
      </c>
      <c r="C31" s="144">
        <v>4092</v>
      </c>
      <c r="D31" s="145">
        <f t="shared" si="3"/>
        <v>4378.6950325413927</v>
      </c>
      <c r="E31" s="146">
        <f t="shared" si="0"/>
        <v>-286.69503254139272</v>
      </c>
      <c r="F31" s="147">
        <f t="shared" si="1"/>
        <v>286.69503254139272</v>
      </c>
      <c r="G31" s="148">
        <f>AVERAGE(F$2:F31)</f>
        <v>326.94027929980655</v>
      </c>
      <c r="H31" s="149">
        <f t="shared" si="4"/>
        <v>82194.041683910225</v>
      </c>
      <c r="I31" s="150">
        <f>IFERROR(SQRT(SUM($H$2:H31)/(COUNT($H$2:H31)-1)),"")</f>
        <v>414.63953881053487</v>
      </c>
      <c r="J31" s="151">
        <f t="shared" si="2"/>
        <v>302239.08442264382</v>
      </c>
      <c r="K31" s="152">
        <f>IFERROR(SQRT(SUM(J$2:J31)/(COUNT(J$2:J31)-1)),0)</f>
        <v>359.72892690445929</v>
      </c>
      <c r="L31" s="153">
        <f t="shared" si="5"/>
        <v>719.45785380891857</v>
      </c>
    </row>
    <row r="32" spans="1:12" x14ac:dyDescent="0.3">
      <c r="A32" s="142">
        <f>[1]ArdiData!A33</f>
        <v>31</v>
      </c>
      <c r="B32" s="143">
        <f>'[3]0.ArdiData'!C33</f>
        <v>7008</v>
      </c>
      <c r="C32" s="144">
        <v>4654</v>
      </c>
      <c r="D32" s="145">
        <f t="shared" si="3"/>
        <v>4223.2944041927885</v>
      </c>
      <c r="E32" s="146">
        <f t="shared" si="0"/>
        <v>430.70559580721147</v>
      </c>
      <c r="F32" s="147">
        <f t="shared" si="1"/>
        <v>430.70559580721147</v>
      </c>
      <c r="G32" s="148">
        <f>AVERAGE(F$2:F32)</f>
        <v>330.287547574239</v>
      </c>
      <c r="H32" s="149">
        <f t="shared" si="4"/>
        <v>185507.31025964502</v>
      </c>
      <c r="I32" s="150">
        <f>IFERROR(SQRT(SUM($H$2:H32)/(COUNT($H$2:H32)-1)),"")</f>
        <v>415.18509034987528</v>
      </c>
      <c r="J32" s="151">
        <f t="shared" si="2"/>
        <v>28102.457301248371</v>
      </c>
      <c r="K32" s="152">
        <f>IFERROR(SQRT(SUM(J$2:J32)/(COUNT(J$2:J32)-1)),0)</f>
        <v>355.00444044192034</v>
      </c>
      <c r="L32" s="153">
        <f t="shared" si="5"/>
        <v>710.00888088384067</v>
      </c>
    </row>
    <row r="33" spans="1:12" x14ac:dyDescent="0.3">
      <c r="A33" s="142">
        <f>[1]ArdiData!A34</f>
        <v>32</v>
      </c>
      <c r="B33" s="143">
        <f>'[3]0.ArdiData'!C34</f>
        <v>6919</v>
      </c>
      <c r="C33" s="144">
        <v>3712</v>
      </c>
      <c r="D33" s="145">
        <f t="shared" si="3"/>
        <v>4456.7547457563869</v>
      </c>
      <c r="E33" s="146">
        <f t="shared" si="0"/>
        <v>-744.75474575638691</v>
      </c>
      <c r="F33" s="147">
        <f t="shared" si="1"/>
        <v>744.75474575638691</v>
      </c>
      <c r="G33" s="148">
        <f>AVERAGE(F$2:F33)</f>
        <v>343.23964751743114</v>
      </c>
      <c r="H33" s="149">
        <f t="shared" si="4"/>
        <v>554659.63132666051</v>
      </c>
      <c r="I33" s="150">
        <f>IFERROR(SQRT(SUM($H$2:H33)/(COUNT($H$2:H33)-1)),"")</f>
        <v>429.77936608149207</v>
      </c>
      <c r="J33" s="151">
        <f t="shared" si="2"/>
        <v>1015706.1231079545</v>
      </c>
      <c r="K33" s="152">
        <f>IFERROR(SQRT(SUM(J$2:J33)/(COUNT(J$2:J33)-1)),0)</f>
        <v>393.3540925176697</v>
      </c>
      <c r="L33" s="153">
        <f t="shared" si="5"/>
        <v>786.7081850353394</v>
      </c>
    </row>
    <row r="34" spans="1:12" x14ac:dyDescent="0.3">
      <c r="A34" s="142">
        <f>[1]ArdiData!A35</f>
        <v>33</v>
      </c>
      <c r="B34" s="143">
        <f>'[3]0.ArdiData'!C35</f>
        <v>7078</v>
      </c>
      <c r="C34" s="144">
        <v>3824</v>
      </c>
      <c r="D34" s="145">
        <f t="shared" si="3"/>
        <v>4053.0667068314801</v>
      </c>
      <c r="E34" s="146">
        <f t="shared" ref="E34:E65" si="6">C34-D34</f>
        <v>-229.06670683148013</v>
      </c>
      <c r="F34" s="147">
        <f t="shared" ref="F34:F65" si="7">ABS(E34)</f>
        <v>229.06670683148013</v>
      </c>
      <c r="G34" s="148">
        <f>AVERAGE(F$2:F34)</f>
        <v>339.77986143603869</v>
      </c>
      <c r="H34" s="149">
        <f t="shared" si="4"/>
        <v>52471.55617861927</v>
      </c>
      <c r="I34" s="150">
        <f>IFERROR(SQRT(SUM($H$2:H34)/(COUNT($H$2:H34)-1)),"")</f>
        <v>424.94451714938265</v>
      </c>
      <c r="J34" s="151">
        <f t="shared" ref="J34:J65" si="8">(E34-$R$1)^2</f>
        <v>242196.29437778535</v>
      </c>
      <c r="K34" s="152">
        <f>IFERROR(SQRT(SUM(J$2:J34)/(COUNT(J$2:J34)-1)),0)</f>
        <v>396.81336133510899</v>
      </c>
      <c r="L34" s="153">
        <f t="shared" si="5"/>
        <v>793.62672267021799</v>
      </c>
    </row>
    <row r="35" spans="1:12" x14ac:dyDescent="0.3">
      <c r="A35" s="142">
        <f>[1]ArdiData!A36</f>
        <v>34</v>
      </c>
      <c r="B35" s="143">
        <f>'[3]0.ArdiData'!C36</f>
        <v>7168</v>
      </c>
      <c r="C35" s="144">
        <v>4121</v>
      </c>
      <c r="D35" s="145">
        <f t="shared" ref="D35:D66" si="9">$N$1*C34+(1-$N$1)*D34</f>
        <v>3928.9030271897063</v>
      </c>
      <c r="E35" s="146">
        <f t="shared" si="6"/>
        <v>192.09697281029366</v>
      </c>
      <c r="F35" s="147">
        <f t="shared" si="7"/>
        <v>192.09697281029366</v>
      </c>
      <c r="G35" s="148">
        <f>AVERAGE(F$2:F35)</f>
        <v>335.43624706469325</v>
      </c>
      <c r="H35" s="149">
        <f t="shared" si="4"/>
        <v>36901.2469628787</v>
      </c>
      <c r="I35" s="150">
        <f>IFERROR(SQRT(SUM($H$2:H35)/(COUNT($H$2:H35)-1)),"")</f>
        <v>419.79043155152738</v>
      </c>
      <c r="J35" s="151">
        <f t="shared" si="8"/>
        <v>5036.8470006544576</v>
      </c>
      <c r="K35" s="152">
        <f>IFERROR(SQRT(SUM(J$2:J35)/(COUNT(J$2:J35)-1)),0)</f>
        <v>390.95004123563689</v>
      </c>
      <c r="L35" s="153">
        <f t="shared" si="5"/>
        <v>781.90008247127378</v>
      </c>
    </row>
    <row r="36" spans="1:12" x14ac:dyDescent="0.3">
      <c r="A36" s="142">
        <f>[1]ArdiData!A37</f>
        <v>35</v>
      </c>
      <c r="B36" s="143">
        <f>'[3]0.ArdiData'!C37</f>
        <v>7754</v>
      </c>
      <c r="C36" s="144">
        <v>4645</v>
      </c>
      <c r="D36" s="145">
        <f t="shared" si="9"/>
        <v>4033.027573799262</v>
      </c>
      <c r="E36" s="146">
        <f t="shared" si="6"/>
        <v>611.97242620073803</v>
      </c>
      <c r="F36" s="147">
        <f t="shared" si="7"/>
        <v>611.97242620073803</v>
      </c>
      <c r="G36" s="148">
        <f>AVERAGE(F$2:F36)</f>
        <v>343.33728075429451</v>
      </c>
      <c r="H36" s="149">
        <f t="shared" si="4"/>
        <v>374510.25043001777</v>
      </c>
      <c r="I36" s="150">
        <f>IFERROR(SQRT(SUM($H$2:H36)/(COUNT($H$2:H36)-1)),"")</f>
        <v>426.68015512253226</v>
      </c>
      <c r="J36" s="151">
        <f t="shared" si="8"/>
        <v>121734.49379276442</v>
      </c>
      <c r="K36" s="152">
        <f>IFERROR(SQRT(SUM(J$2:J36)/(COUNT(J$2:J36)-1)),0)</f>
        <v>389.77815486291797</v>
      </c>
      <c r="L36" s="153">
        <f t="shared" si="5"/>
        <v>779.55630972583594</v>
      </c>
    </row>
    <row r="37" spans="1:12" x14ac:dyDescent="0.3">
      <c r="A37" s="142">
        <f>[1]ArdiData!A38</f>
        <v>36</v>
      </c>
      <c r="B37" s="143">
        <f>'[3]0.ArdiData'!C38</f>
        <v>8452</v>
      </c>
      <c r="C37" s="144">
        <v>4575</v>
      </c>
      <c r="D37" s="145">
        <f t="shared" si="9"/>
        <v>4364.7420744677856</v>
      </c>
      <c r="E37" s="146">
        <f t="shared" si="6"/>
        <v>210.25792553221436</v>
      </c>
      <c r="F37" s="147">
        <f t="shared" si="7"/>
        <v>210.25792553221436</v>
      </c>
      <c r="G37" s="148">
        <f>AVERAGE(F$2:F37)</f>
        <v>339.64063199812563</v>
      </c>
      <c r="H37" s="149">
        <f t="shared" si="4"/>
        <v>44208.395249110195</v>
      </c>
      <c r="I37" s="150">
        <f>IFERROR(SQRT(SUM($H$2:H37)/(COUNT($H$2:H37)-1)),"")</f>
        <v>422.03963448311038</v>
      </c>
      <c r="J37" s="151">
        <f t="shared" si="8"/>
        <v>2788.8744244624486</v>
      </c>
      <c r="K37" s="152">
        <f>IFERROR(SQRT(SUM(J$2:J37)/(COUNT(J$2:J37)-1)),0)</f>
        <v>384.27323666920915</v>
      </c>
      <c r="L37" s="153">
        <f t="shared" si="5"/>
        <v>768.54647333841831</v>
      </c>
    </row>
    <row r="38" spans="1:12" x14ac:dyDescent="0.3">
      <c r="A38" s="142">
        <f>[1]ArdiData!A39</f>
        <v>37</v>
      </c>
      <c r="B38" s="143">
        <f>'[3]0.ArdiData'!C39</f>
        <v>7880</v>
      </c>
      <c r="C38" s="144">
        <v>4905</v>
      </c>
      <c r="D38" s="145">
        <f t="shared" si="9"/>
        <v>4478.7106125807113</v>
      </c>
      <c r="E38" s="146">
        <f t="shared" si="6"/>
        <v>426.28938741928869</v>
      </c>
      <c r="F38" s="147">
        <f t="shared" si="7"/>
        <v>426.28938741928869</v>
      </c>
      <c r="G38" s="148">
        <f>AVERAGE(F$2:F38)</f>
        <v>341.98249025275163</v>
      </c>
      <c r="H38" s="149">
        <f t="shared" si="4"/>
        <v>181722.64182631241</v>
      </c>
      <c r="I38" s="150">
        <f>IFERROR(SQRT(SUM($H$2:H38)/(COUNT($H$2:H38)-1)),"")</f>
        <v>422.15826085323545</v>
      </c>
      <c r="J38" s="151">
        <f t="shared" si="8"/>
        <v>26641.312613964466</v>
      </c>
      <c r="K38" s="152">
        <f>IFERROR(SQRT(SUM(J$2:J38)/(COUNT(J$2:J38)-1)),0)</f>
        <v>379.87382873652257</v>
      </c>
      <c r="L38" s="153">
        <f t="shared" si="5"/>
        <v>759.74765747304514</v>
      </c>
    </row>
    <row r="39" spans="1:12" x14ac:dyDescent="0.3">
      <c r="A39" s="142">
        <f>[1]ArdiData!A40</f>
        <v>38</v>
      </c>
      <c r="B39" s="143">
        <f>'[3]0.ArdiData'!C40</f>
        <v>8152</v>
      </c>
      <c r="C39" s="144">
        <v>5233</v>
      </c>
      <c r="D39" s="145">
        <f t="shared" si="9"/>
        <v>4709.7771855731626</v>
      </c>
      <c r="E39" s="146">
        <f t="shared" si="6"/>
        <v>523.22281442683743</v>
      </c>
      <c r="F39" s="147">
        <f t="shared" si="7"/>
        <v>523.22281442683743</v>
      </c>
      <c r="G39" s="148">
        <f>AVERAGE(F$2:F39)</f>
        <v>346.75197246785916</v>
      </c>
      <c r="H39" s="149">
        <f t="shared" si="4"/>
        <v>273762.11353674077</v>
      </c>
      <c r="I39" s="150">
        <f>IFERROR(SQRT(SUM($H$2:H39)/(COUNT($H$2:H39)-1)),"")</f>
        <v>425.20569308484869</v>
      </c>
      <c r="J39" s="151">
        <f t="shared" si="8"/>
        <v>67680.672994986788</v>
      </c>
      <c r="K39" s="152">
        <f>IFERROR(SQRT(SUM(J$2:J39)/(COUNT(J$2:J39)-1)),0)</f>
        <v>377.13819964329952</v>
      </c>
      <c r="L39" s="153">
        <f t="shared" si="5"/>
        <v>754.27639928659903</v>
      </c>
    </row>
    <row r="40" spans="1:12" x14ac:dyDescent="0.3">
      <c r="A40" s="142">
        <f>[1]ArdiData!A41</f>
        <v>39</v>
      </c>
      <c r="B40" s="143">
        <f>'[3]0.ArdiData'!C41</f>
        <v>8164</v>
      </c>
      <c r="C40" s="144">
        <v>4012</v>
      </c>
      <c r="D40" s="145">
        <f t="shared" si="9"/>
        <v>4993.3857064725125</v>
      </c>
      <c r="E40" s="146">
        <f t="shared" si="6"/>
        <v>-981.38570647251254</v>
      </c>
      <c r="F40" s="147">
        <f t="shared" si="7"/>
        <v>981.38570647251254</v>
      </c>
      <c r="G40" s="148">
        <f>AVERAGE(F$2:F40)</f>
        <v>363.02463231413236</v>
      </c>
      <c r="H40" s="149">
        <f t="shared" si="4"/>
        <v>963117.90486855258</v>
      </c>
      <c r="I40" s="150">
        <f>IFERROR(SQRT(SUM($H$2:H40)/(COUNT($H$2:H40)-1)),"")</f>
        <v>448.7618498023175</v>
      </c>
      <c r="J40" s="151">
        <f t="shared" si="8"/>
        <v>1548664.3314305174</v>
      </c>
      <c r="K40" s="152">
        <f>IFERROR(SQRT(SUM(J$2:J40)/(COUNT(J$2:J40)-1)),0)</f>
        <v>423.37284587575368</v>
      </c>
      <c r="L40" s="153">
        <f t="shared" si="5"/>
        <v>846.74569175150737</v>
      </c>
    </row>
    <row r="41" spans="1:12" x14ac:dyDescent="0.3">
      <c r="A41" s="142">
        <f>[1]ArdiData!A42</f>
        <v>40</v>
      </c>
      <c r="B41" s="143">
        <f>'[3]0.ArdiData'!C42</f>
        <v>9179</v>
      </c>
      <c r="C41" s="144">
        <v>6049</v>
      </c>
      <c r="D41" s="145">
        <f t="shared" si="9"/>
        <v>4461.4338477804795</v>
      </c>
      <c r="E41" s="146">
        <f t="shared" si="6"/>
        <v>1587.5661522195205</v>
      </c>
      <c r="F41" s="147">
        <f t="shared" si="7"/>
        <v>1587.5661522195205</v>
      </c>
      <c r="G41" s="148">
        <f>AVERAGE(F$2:F41)</f>
        <v>393.63817031176706</v>
      </c>
      <c r="H41" s="149">
        <f t="shared" si="4"/>
        <v>2520366.2876730938</v>
      </c>
      <c r="I41" s="150">
        <f>IFERROR(SQRT(SUM($H$2:H41)/(COUNT($H$2:H41)-1)),"")</f>
        <v>510.7330027925176</v>
      </c>
      <c r="J41" s="151">
        <f t="shared" si="8"/>
        <v>1754296.0961310139</v>
      </c>
      <c r="K41" s="152">
        <f>IFERROR(SQRT(SUM(J$2:J41)/(COUNT(J$2:J41)-1)),0)</f>
        <v>468.64752562980289</v>
      </c>
      <c r="L41" s="153">
        <f t="shared" si="5"/>
        <v>937.29505125960577</v>
      </c>
    </row>
    <row r="42" spans="1:12" x14ac:dyDescent="0.3">
      <c r="A42" s="142">
        <f>[1]ArdiData!A43</f>
        <v>41</v>
      </c>
      <c r="B42" s="143">
        <f>'[3]0.ArdiData'!C43</f>
        <v>8647</v>
      </c>
      <c r="C42" s="144">
        <v>6090</v>
      </c>
      <c r="D42" s="145">
        <f t="shared" si="9"/>
        <v>5321.9607129059468</v>
      </c>
      <c r="E42" s="146">
        <f t="shared" si="6"/>
        <v>768.03928709405318</v>
      </c>
      <c r="F42" s="147">
        <f t="shared" si="7"/>
        <v>768.03928709405318</v>
      </c>
      <c r="G42" s="148">
        <f>AVERAGE(F$2:F42)</f>
        <v>402.76990486743256</v>
      </c>
      <c r="H42" s="149">
        <f t="shared" si="4"/>
        <v>589884.34651994146</v>
      </c>
      <c r="I42" s="150">
        <f>IFERROR(SQRT(SUM($H$2:H42)/(COUNT($H$2:H42)-1)),"")</f>
        <v>518.72353310884569</v>
      </c>
      <c r="J42" s="151">
        <f t="shared" si="8"/>
        <v>254996.28326043123</v>
      </c>
      <c r="K42" s="152">
        <f>IFERROR(SQRT(SUM(J$2:J42)/(COUNT(J$2:J42)-1)),0)</f>
        <v>469.58987188660075</v>
      </c>
      <c r="L42" s="153">
        <f t="shared" si="5"/>
        <v>939.17974377320149</v>
      </c>
    </row>
    <row r="43" spans="1:12" x14ac:dyDescent="0.3">
      <c r="A43" s="142">
        <f>[1]ArdiData!A44</f>
        <v>42</v>
      </c>
      <c r="B43" s="143">
        <f>'[3]0.ArdiData'!C44</f>
        <v>10141</v>
      </c>
      <c r="C43" s="144">
        <v>5108</v>
      </c>
      <c r="D43" s="145">
        <f t="shared" si="9"/>
        <v>5738.2699414015515</v>
      </c>
      <c r="E43" s="146">
        <f t="shared" si="6"/>
        <v>-630.26994140155148</v>
      </c>
      <c r="F43" s="147">
        <f t="shared" si="7"/>
        <v>630.26994140155148</v>
      </c>
      <c r="G43" s="148">
        <f>AVERAGE(F$2:F43)</f>
        <v>408.18657240395919</v>
      </c>
      <c r="H43" s="149">
        <f t="shared" si="4"/>
        <v>397240.19903431513</v>
      </c>
      <c r="I43" s="150">
        <f>IFERROR(SQRT(SUM($H$2:H43)/(COUNT($H$2:H43)-1)),"")</f>
        <v>521.72800013387189</v>
      </c>
      <c r="J43" s="151">
        <f t="shared" si="8"/>
        <v>798052.17783210357</v>
      </c>
      <c r="K43" s="152">
        <f>IFERROR(SQRT(SUM(J$2:J43)/(COUNT(J$2:J43)-1)),0)</f>
        <v>484.35620053767701</v>
      </c>
      <c r="L43" s="153">
        <f t="shared" si="5"/>
        <v>968.71240107535402</v>
      </c>
    </row>
    <row r="44" spans="1:12" x14ac:dyDescent="0.3">
      <c r="A44" s="142">
        <f>[1]ArdiData!A45</f>
        <v>43</v>
      </c>
      <c r="B44" s="143">
        <f>'[3]0.ArdiData'!C45</f>
        <v>9760</v>
      </c>
      <c r="C44" s="144">
        <v>4763</v>
      </c>
      <c r="D44" s="145">
        <f t="shared" si="9"/>
        <v>5396.6374266878629</v>
      </c>
      <c r="E44" s="146">
        <f t="shared" si="6"/>
        <v>-633.6374266878629</v>
      </c>
      <c r="F44" s="147">
        <f t="shared" si="7"/>
        <v>633.6374266878629</v>
      </c>
      <c r="G44" s="148">
        <f>AVERAGE(F$2:F44)</f>
        <v>413.42961552684068</v>
      </c>
      <c r="H44" s="149">
        <f t="shared" si="4"/>
        <v>401496.38849961682</v>
      </c>
      <c r="I44" s="150">
        <f>IFERROR(SQRT(SUM($H$2:H44)/(COUNT($H$2:H44)-1)),"")</f>
        <v>524.66998107134157</v>
      </c>
      <c r="J44" s="151">
        <f t="shared" si="8"/>
        <v>804080.12065229949</v>
      </c>
      <c r="K44" s="152">
        <f>IFERROR(SQRT(SUM(J$2:J44)/(COUNT(J$2:J44)-1)),0)</f>
        <v>498.15655909762438</v>
      </c>
      <c r="L44" s="153">
        <f t="shared" si="5"/>
        <v>996.31311819524876</v>
      </c>
    </row>
    <row r="45" spans="1:12" x14ac:dyDescent="0.3">
      <c r="A45" s="142">
        <f>[1]ArdiData!A46</f>
        <v>44</v>
      </c>
      <c r="B45" s="143">
        <f>'[3]0.ArdiData'!C46</f>
        <v>10043</v>
      </c>
      <c r="C45" s="144">
        <v>5054</v>
      </c>
      <c r="D45" s="145">
        <f t="shared" si="9"/>
        <v>5053.1795949297575</v>
      </c>
      <c r="E45" s="146">
        <f t="shared" si="6"/>
        <v>0.82040507024248654</v>
      </c>
      <c r="F45" s="147">
        <f t="shared" si="7"/>
        <v>0.82040507024248654</v>
      </c>
      <c r="G45" s="148">
        <f>AVERAGE(F$2:F45)</f>
        <v>404.05213347100886</v>
      </c>
      <c r="H45" s="149">
        <f t="shared" si="4"/>
        <v>0.67306447927957924</v>
      </c>
      <c r="I45" s="150">
        <f>IFERROR(SQRT(SUM($H$2:H45)/(COUNT($H$2:H45)-1)),"")</f>
        <v>518.53329404969907</v>
      </c>
      <c r="J45" s="151">
        <f t="shared" si="8"/>
        <v>68773.654350414145</v>
      </c>
      <c r="K45" s="152">
        <f>IFERROR(SQRT(SUM(J$2:J45)/(COUNT(J$2:J45)-1)),0)</f>
        <v>493.95159973737429</v>
      </c>
      <c r="L45" s="153">
        <f t="shared" si="5"/>
        <v>987.90319947474859</v>
      </c>
    </row>
    <row r="46" spans="1:12" x14ac:dyDescent="0.3">
      <c r="A46" s="142">
        <f>[1]ArdiData!A47</f>
        <v>45</v>
      </c>
      <c r="B46" s="143">
        <f>'[3]0.ArdiData'!C47</f>
        <v>10173</v>
      </c>
      <c r="C46" s="144">
        <v>4933</v>
      </c>
      <c r="D46" s="145">
        <f t="shared" si="9"/>
        <v>5053.6242885900765</v>
      </c>
      <c r="E46" s="146">
        <f t="shared" si="6"/>
        <v>-120.6242885900765</v>
      </c>
      <c r="F46" s="147">
        <f t="shared" si="7"/>
        <v>120.6242885900765</v>
      </c>
      <c r="G46" s="148">
        <f>AVERAGE(F$2:F46)</f>
        <v>397.75373691809921</v>
      </c>
      <c r="H46" s="149">
        <f t="shared" si="4"/>
        <v>14550.218997862061</v>
      </c>
      <c r="I46" s="150">
        <f>IFERROR(SQRT(SUM($H$2:H46)/(COUNT($H$2:H46)-1)),"")</f>
        <v>512.92945712998801</v>
      </c>
      <c r="J46" s="151">
        <f t="shared" si="8"/>
        <v>147219.55769370819</v>
      </c>
      <c r="K46" s="152">
        <f>IFERROR(SQRT(SUM(J$2:J46)/(COUNT(J$2:J46)-1)),0)</f>
        <v>491.72034323077224</v>
      </c>
      <c r="L46" s="153">
        <f t="shared" si="5"/>
        <v>983.44068646154449</v>
      </c>
    </row>
    <row r="47" spans="1:12" x14ac:dyDescent="0.3">
      <c r="A47" s="142">
        <f>[1]ArdiData!A48</f>
        <v>46</v>
      </c>
      <c r="B47" s="143">
        <f>'[3]0.ArdiData'!C48</f>
        <v>10500</v>
      </c>
      <c r="C47" s="144">
        <v>5684</v>
      </c>
      <c r="D47" s="145">
        <f t="shared" si="9"/>
        <v>4988.2409086450662</v>
      </c>
      <c r="E47" s="146">
        <f t="shared" si="6"/>
        <v>695.75909135493384</v>
      </c>
      <c r="F47" s="147">
        <f t="shared" si="7"/>
        <v>695.75909135493384</v>
      </c>
      <c r="G47" s="148">
        <f>AVERAGE(F$2:F47)</f>
        <v>404.23211418846512</v>
      </c>
      <c r="H47" s="149">
        <f t="shared" si="4"/>
        <v>484080.71320304315</v>
      </c>
      <c r="I47" s="150">
        <f>IFERROR(SQRT(SUM($H$2:H47)/(COUNT($H$2:H47)-1)),"")</f>
        <v>517.69429728441662</v>
      </c>
      <c r="J47" s="151">
        <f t="shared" si="8"/>
        <v>187221.82257682152</v>
      </c>
      <c r="K47" s="152">
        <f>IFERROR(SQRT(SUM(J$2:J47)/(COUNT(J$2:J47)-1)),0)</f>
        <v>490.4857738166728</v>
      </c>
      <c r="L47" s="153">
        <f t="shared" si="5"/>
        <v>980.97154763334561</v>
      </c>
    </row>
    <row r="48" spans="1:12" x14ac:dyDescent="0.3">
      <c r="A48" s="142">
        <f>[1]ArdiData!A49</f>
        <v>47</v>
      </c>
      <c r="B48" s="143">
        <f>'[3]0.ArdiData'!C49</f>
        <v>9455</v>
      </c>
      <c r="C48" s="144">
        <v>6925</v>
      </c>
      <c r="D48" s="145">
        <f t="shared" si="9"/>
        <v>5365.3712656567441</v>
      </c>
      <c r="E48" s="146">
        <f t="shared" si="6"/>
        <v>1559.6287343432559</v>
      </c>
      <c r="F48" s="147">
        <f t="shared" si="7"/>
        <v>1559.6287343432559</v>
      </c>
      <c r="G48" s="148">
        <f>AVERAGE(F$2:F48)</f>
        <v>428.81502100026921</v>
      </c>
      <c r="H48" s="149">
        <f t="shared" si="4"/>
        <v>2432441.7889891462</v>
      </c>
      <c r="I48" s="150">
        <f>IFERROR(SQRT(SUM($H$2:H48)/(COUNT($H$2:H48)-1)),"")</f>
        <v>561.30233141959616</v>
      </c>
      <c r="J48" s="151">
        <f t="shared" si="8"/>
        <v>1681070.463111175</v>
      </c>
      <c r="K48" s="152">
        <f>IFERROR(SQRT(SUM(J$2:J48)/(COUNT(J$2:J48)-1)),0)</f>
        <v>521.43205208589802</v>
      </c>
      <c r="L48" s="153">
        <f t="shared" si="5"/>
        <v>1042.864104171796</v>
      </c>
    </row>
    <row r="49" spans="1:12" x14ac:dyDescent="0.3">
      <c r="A49" s="142">
        <f>[1]ArdiData!A50</f>
        <v>48</v>
      </c>
      <c r="B49" s="143">
        <f>'[3]0.ArdiData'!C50</f>
        <v>9689</v>
      </c>
      <c r="C49" s="144">
        <v>4916</v>
      </c>
      <c r="D49" s="145">
        <f t="shared" si="9"/>
        <v>6210.7548886620953</v>
      </c>
      <c r="E49" s="146">
        <f t="shared" si="6"/>
        <v>-1294.7548886620953</v>
      </c>
      <c r="F49" s="147">
        <f t="shared" si="7"/>
        <v>1294.7548886620953</v>
      </c>
      <c r="G49" s="148">
        <f>AVERAGE(F$2:F49)</f>
        <v>446.85543490989056</v>
      </c>
      <c r="H49" s="149">
        <f t="shared" si="4"/>
        <v>1676390.2217143946</v>
      </c>
      <c r="I49" s="150">
        <f>IFERROR(SQRT(SUM($H$2:H49)/(COUNT($H$2:H49)-1)),"")</f>
        <v>586.53625081671089</v>
      </c>
      <c r="J49" s="151">
        <f t="shared" si="8"/>
        <v>2426811.2810243489</v>
      </c>
      <c r="K49" s="152">
        <f>IFERROR(SQRT(SUM(J$2:J49)/(COUNT(J$2:J49)-1)),0)</f>
        <v>563.68496913933541</v>
      </c>
      <c r="L49" s="153">
        <f t="shared" si="5"/>
        <v>1127.3699382786708</v>
      </c>
    </row>
    <row r="50" spans="1:12" x14ac:dyDescent="0.3">
      <c r="A50" s="142">
        <f>[1]ArdiData!A51</f>
        <v>49</v>
      </c>
      <c r="B50" s="143">
        <f>'[3]0.ArdiData'!C51</f>
        <v>10600</v>
      </c>
      <c r="C50" s="144">
        <v>5142</v>
      </c>
      <c r="D50" s="145">
        <f t="shared" si="9"/>
        <v>5508.9439034073503</v>
      </c>
      <c r="E50" s="146">
        <f t="shared" si="6"/>
        <v>-366.94390340735026</v>
      </c>
      <c r="F50" s="147">
        <f t="shared" si="7"/>
        <v>366.94390340735026</v>
      </c>
      <c r="G50" s="148">
        <f>AVERAGE(F$2:F50)</f>
        <v>445.22458732820604</v>
      </c>
      <c r="H50" s="149">
        <f t="shared" si="4"/>
        <v>134647.82824782279</v>
      </c>
      <c r="I50" s="150">
        <f>IFERROR(SQRT(SUM($H$2:H50)/(COUNT($H$2:H50)-1)),"")</f>
        <v>582.8059315320229</v>
      </c>
      <c r="J50" s="151">
        <f t="shared" si="8"/>
        <v>396914.64601886016</v>
      </c>
      <c r="K50" s="152">
        <f>IFERROR(SQRT(SUM(J$2:J50)/(COUNT(J$2:J50)-1)),0)</f>
        <v>565.14617641512848</v>
      </c>
      <c r="L50" s="153">
        <f t="shared" si="5"/>
        <v>1130.292352830257</v>
      </c>
    </row>
    <row r="51" spans="1:12" x14ac:dyDescent="0.3">
      <c r="A51" s="142">
        <f>[1]ArdiData!A52</f>
        <v>50</v>
      </c>
      <c r="B51" s="143">
        <f>'[3]0.ArdiData'!C52</f>
        <v>10545</v>
      </c>
      <c r="C51" s="144">
        <v>7101</v>
      </c>
      <c r="D51" s="145">
        <f t="shared" si="9"/>
        <v>5310.0450503204611</v>
      </c>
      <c r="E51" s="146">
        <f t="shared" si="6"/>
        <v>1790.9549496795389</v>
      </c>
      <c r="F51" s="147">
        <f t="shared" si="7"/>
        <v>1790.9549496795389</v>
      </c>
      <c r="G51" s="148">
        <f>AVERAGE(F$2:F51)</f>
        <v>472.13919457523269</v>
      </c>
      <c r="H51" s="149">
        <f t="shared" si="4"/>
        <v>3207519.6317816395</v>
      </c>
      <c r="I51" s="150">
        <f>IFERROR(SQRT(SUM($H$2:H51)/(COUNT($H$2:H51)-1)),"")</f>
        <v>631.02333175224146</v>
      </c>
      <c r="J51" s="151">
        <f t="shared" si="8"/>
        <v>2334439.3856707974</v>
      </c>
      <c r="K51" s="152">
        <f>IFERROR(SQRT(SUM(J$2:J51)/(COUNT(J$2:J51)-1)),0)</f>
        <v>600.4278919827143</v>
      </c>
      <c r="L51" s="153">
        <f t="shared" si="5"/>
        <v>1200.8557839654286</v>
      </c>
    </row>
    <row r="52" spans="1:12" x14ac:dyDescent="0.3">
      <c r="A52" s="142">
        <f>[1]ArdiData!A53</f>
        <v>51</v>
      </c>
      <c r="B52" s="143">
        <f>'[3]0.ArdiData'!C53</f>
        <v>10958</v>
      </c>
      <c r="C52" s="144">
        <v>5983</v>
      </c>
      <c r="D52" s="145">
        <f t="shared" si="9"/>
        <v>6280.8171005270142</v>
      </c>
      <c r="E52" s="146">
        <f t="shared" si="6"/>
        <v>-297.81710052701419</v>
      </c>
      <c r="F52" s="147">
        <f t="shared" si="7"/>
        <v>297.81710052701419</v>
      </c>
      <c r="G52" s="148">
        <f>AVERAGE(F$2:F52)</f>
        <v>468.72111429977741</v>
      </c>
      <c r="H52" s="149">
        <f t="shared" si="4"/>
        <v>88695.02536631767</v>
      </c>
      <c r="I52" s="150">
        <f>IFERROR(SQRT(SUM($H$2:H52)/(COUNT($H$2:H52)-1)),"")</f>
        <v>626.09946240091256</v>
      </c>
      <c r="J52" s="151">
        <f t="shared" si="8"/>
        <v>314591.7822452698</v>
      </c>
      <c r="K52" s="152">
        <f>IFERROR(SQRT(SUM(J$2:J52)/(COUNT(J$2:J52)-1)),0)</f>
        <v>599.66258516460346</v>
      </c>
      <c r="L52" s="153">
        <f t="shared" si="5"/>
        <v>1199.3251703292069</v>
      </c>
    </row>
    <row r="53" spans="1:12" x14ac:dyDescent="0.3">
      <c r="A53" s="142">
        <f>[1]ArdiData!A54</f>
        <v>52</v>
      </c>
      <c r="B53" s="143">
        <f>'[3]0.ArdiData'!C54</f>
        <v>11286</v>
      </c>
      <c r="C53" s="144">
        <v>5660</v>
      </c>
      <c r="D53" s="145">
        <f t="shared" si="9"/>
        <v>6119.3878488772662</v>
      </c>
      <c r="E53" s="146">
        <f t="shared" si="6"/>
        <v>-459.38784887726615</v>
      </c>
      <c r="F53" s="147">
        <f t="shared" si="7"/>
        <v>459.38784887726615</v>
      </c>
      <c r="G53" s="148">
        <f>AVERAGE(F$2:F53)</f>
        <v>468.54162842626761</v>
      </c>
      <c r="H53" s="149">
        <f t="shared" si="4"/>
        <v>211037.19569608194</v>
      </c>
      <c r="I53" s="150">
        <f>IFERROR(SQRT(SUM($H$2:H53)/(COUNT($H$2:H53)-1)),"")</f>
        <v>623.25936496163911</v>
      </c>
      <c r="J53" s="151">
        <f t="shared" si="8"/>
        <v>521942.04944956827</v>
      </c>
      <c r="K53" s="152">
        <f>IFERROR(SQRT(SUM(J$2:J53)/(COUNT(J$2:J53)-1)),0)</f>
        <v>602.31095564458792</v>
      </c>
      <c r="L53" s="153">
        <f t="shared" si="5"/>
        <v>1204.6219112891758</v>
      </c>
    </row>
    <row r="54" spans="1:12" x14ac:dyDescent="0.3">
      <c r="A54" s="142">
        <f>[1]ArdiData!A55</f>
        <v>53</v>
      </c>
      <c r="B54" s="143">
        <f>'[3]0.ArdiData'!C55</f>
        <v>11249</v>
      </c>
      <c r="C54" s="144">
        <v>7723</v>
      </c>
      <c r="D54" s="145">
        <f t="shared" si="9"/>
        <v>5870.3805335484467</v>
      </c>
      <c r="E54" s="146">
        <f t="shared" si="6"/>
        <v>1852.6194664515533</v>
      </c>
      <c r="F54" s="147">
        <f t="shared" si="7"/>
        <v>1852.6194664515533</v>
      </c>
      <c r="G54" s="148">
        <f>AVERAGE(F$2:F54)</f>
        <v>494.65630461542395</v>
      </c>
      <c r="H54" s="149">
        <f t="shared" si="4"/>
        <v>3432198.8874752382</v>
      </c>
      <c r="I54" s="150">
        <f>IFERROR(SQRT(SUM($H$2:H54)/(COUNT($H$2:H54)-1)),"")</f>
        <v>668.56998546419527</v>
      </c>
      <c r="J54" s="151">
        <f t="shared" si="8"/>
        <v>2526674.7536619431</v>
      </c>
      <c r="K54" s="152">
        <f>IFERROR(SQRT(SUM(J$2:J54)/(COUNT(J$2:J54)-1)),0)</f>
        <v>635.91813704865217</v>
      </c>
      <c r="L54" s="153">
        <f t="shared" si="5"/>
        <v>1271.8362740973043</v>
      </c>
    </row>
    <row r="55" spans="1:12" x14ac:dyDescent="0.3">
      <c r="A55" s="142">
        <f>[1]ArdiData!A56</f>
        <v>54</v>
      </c>
      <c r="B55" s="143">
        <f>'[3]0.ArdiData'!C56</f>
        <v>11101</v>
      </c>
      <c r="C55" s="144">
        <v>6927</v>
      </c>
      <c r="D55" s="145">
        <f t="shared" si="9"/>
        <v>6874.5773158413522</v>
      </c>
      <c r="E55" s="146">
        <f t="shared" si="6"/>
        <v>52.422684158647826</v>
      </c>
      <c r="F55" s="147">
        <f t="shared" si="7"/>
        <v>52.422684158647826</v>
      </c>
      <c r="G55" s="148">
        <f>AVERAGE(F$2:F55)</f>
        <v>486.4667931254836</v>
      </c>
      <c r="H55" s="149">
        <f t="shared" si="4"/>
        <v>2748.1378143973457</v>
      </c>
      <c r="I55" s="150">
        <f>IFERROR(SQRT(SUM($H$2:H55)/(COUNT($H$2:H55)-1)),"")</f>
        <v>662.2718341439579</v>
      </c>
      <c r="J55" s="151">
        <f t="shared" si="8"/>
        <v>44371.331255167024</v>
      </c>
      <c r="K55" s="152">
        <f>IFERROR(SQRT(SUM(J$2:J55)/(COUNT(J$2:J55)-1)),0)</f>
        <v>630.55454684044525</v>
      </c>
      <c r="L55" s="153">
        <f t="shared" si="5"/>
        <v>1261.1090936808905</v>
      </c>
    </row>
    <row r="56" spans="1:12" x14ac:dyDescent="0.3">
      <c r="A56" s="142">
        <f>[1]ArdiData!A57</f>
        <v>55</v>
      </c>
      <c r="B56" s="143">
        <f>'[3]0.ArdiData'!C57</f>
        <v>11839</v>
      </c>
      <c r="C56" s="144">
        <v>5927</v>
      </c>
      <c r="D56" s="145">
        <f t="shared" si="9"/>
        <v>6902.9925903780604</v>
      </c>
      <c r="E56" s="146">
        <f t="shared" si="6"/>
        <v>-975.99259037806041</v>
      </c>
      <c r="F56" s="147">
        <f t="shared" si="7"/>
        <v>975.99259037806041</v>
      </c>
      <c r="G56" s="148">
        <f>AVERAGE(F$2:F56)</f>
        <v>495.36726216643956</v>
      </c>
      <c r="H56" s="149">
        <f t="shared" si="4"/>
        <v>952561.53647287644</v>
      </c>
      <c r="I56" s="150">
        <f>IFERROR(SQRT(SUM($H$2:H56)/(COUNT($H$2:H56)-1)),"")</f>
        <v>669.41893817330674</v>
      </c>
      <c r="J56" s="151">
        <f t="shared" si="8"/>
        <v>1535270.4535221728</v>
      </c>
      <c r="K56" s="152">
        <f>IFERROR(SQRT(SUM(J$2:J56)/(COUNT(J$2:J56)-1)),0)</f>
        <v>647.04484059801553</v>
      </c>
      <c r="L56" s="153">
        <f t="shared" si="5"/>
        <v>1294.0896811960311</v>
      </c>
    </row>
    <row r="57" spans="1:12" x14ac:dyDescent="0.3">
      <c r="A57" s="142">
        <f>[1]ArdiData!A58</f>
        <v>56</v>
      </c>
      <c r="B57" s="143">
        <f>'[3]0.ArdiData'!C58</f>
        <v>12188</v>
      </c>
      <c r="C57" s="144">
        <v>7487</v>
      </c>
      <c r="D57" s="145">
        <f t="shared" si="9"/>
        <v>6373.9640248537034</v>
      </c>
      <c r="E57" s="146">
        <f t="shared" si="6"/>
        <v>1113.0359751462966</v>
      </c>
      <c r="F57" s="147">
        <f t="shared" si="7"/>
        <v>1113.0359751462966</v>
      </c>
      <c r="G57" s="148">
        <f>AVERAGE(F$2:F57)</f>
        <v>506.39706061250843</v>
      </c>
      <c r="H57" s="149">
        <f t="shared" si="4"/>
        <v>1238849.0819698672</v>
      </c>
      <c r="I57" s="150">
        <f>IFERROR(SQRT(SUM($H$2:H57)/(COUNT($H$2:H57)-1)),"")</f>
        <v>680.07247849521093</v>
      </c>
      <c r="J57" s="151">
        <f t="shared" si="8"/>
        <v>722446.03422961058</v>
      </c>
      <c r="K57" s="152">
        <f>IFERROR(SQRT(SUM(J$2:J57)/(COUNT(J$2:J57)-1)),0)</f>
        <v>651.2989178896587</v>
      </c>
      <c r="L57" s="153">
        <f t="shared" si="5"/>
        <v>1302.5978357793174</v>
      </c>
    </row>
    <row r="58" spans="1:12" x14ac:dyDescent="0.3">
      <c r="A58" s="142">
        <f>[1]ArdiData!A59</f>
        <v>57</v>
      </c>
      <c r="B58" s="143">
        <f>'[3]0.ArdiData'!C59</f>
        <v>12235</v>
      </c>
      <c r="C58" s="144">
        <v>6986</v>
      </c>
      <c r="D58" s="145">
        <f t="shared" si="9"/>
        <v>6977.2758031537433</v>
      </c>
      <c r="E58" s="146">
        <f t="shared" si="6"/>
        <v>8.7241968462567456</v>
      </c>
      <c r="F58" s="147">
        <f t="shared" si="7"/>
        <v>8.7241968462567456</v>
      </c>
      <c r="G58" s="148">
        <f>AVERAGE(F$2:F58)</f>
        <v>497.66595773941623</v>
      </c>
      <c r="H58" s="149">
        <f t="shared" si="4"/>
        <v>76.111610612236149</v>
      </c>
      <c r="I58" s="150">
        <f>IFERROR(SQRT(SUM($H$2:H58)/(COUNT($H$2:H58)-1)),"")</f>
        <v>673.97405884762918</v>
      </c>
      <c r="J58" s="151">
        <f t="shared" si="8"/>
        <v>64690.627927906506</v>
      </c>
      <c r="K58" s="152">
        <f>IFERROR(SQRT(SUM(J$2:J58)/(COUNT(J$2:J58)-1)),0)</f>
        <v>646.35179569036791</v>
      </c>
      <c r="L58" s="153">
        <f t="shared" si="5"/>
        <v>1292.7035913807358</v>
      </c>
    </row>
    <row r="59" spans="1:12" x14ac:dyDescent="0.3">
      <c r="A59" s="142">
        <f>[1]ArdiData!A60</f>
        <v>58</v>
      </c>
      <c r="B59" s="143">
        <f>'[3]0.ArdiData'!C60</f>
        <v>12508</v>
      </c>
      <c r="C59" s="144">
        <v>6686</v>
      </c>
      <c r="D59" s="145">
        <f t="shared" si="9"/>
        <v>6982.0046805944421</v>
      </c>
      <c r="E59" s="146">
        <f t="shared" si="6"/>
        <v>-296.00468059444211</v>
      </c>
      <c r="F59" s="147">
        <f t="shared" si="7"/>
        <v>296.00468059444211</v>
      </c>
      <c r="G59" s="148">
        <f>AVERAGE(F$2:F59)</f>
        <v>494.18903916795119</v>
      </c>
      <c r="H59" s="149">
        <f t="shared" si="4"/>
        <v>87618.770933817694</v>
      </c>
      <c r="I59" s="150">
        <f>IFERROR(SQRT(SUM($H$2:H59)/(COUNT($H$2:H59)-1)),"")</f>
        <v>669.18537230513812</v>
      </c>
      <c r="J59" s="151">
        <f t="shared" si="8"/>
        <v>312561.94945295784</v>
      </c>
      <c r="K59" s="152">
        <f>IFERROR(SQRT(SUM(J$2:J59)/(COUNT(J$2:J59)-1)),0)</f>
        <v>644.92238077524382</v>
      </c>
      <c r="L59" s="153">
        <f t="shared" si="5"/>
        <v>1289.8447615504876</v>
      </c>
    </row>
    <row r="60" spans="1:12" x14ac:dyDescent="0.3">
      <c r="A60" s="142">
        <f>[1]ArdiData!A61</f>
        <v>59</v>
      </c>
      <c r="B60" s="143">
        <f>'[3]0.ArdiData'!C61</f>
        <v>12222</v>
      </c>
      <c r="C60" s="144">
        <v>7534</v>
      </c>
      <c r="D60" s="145">
        <f t="shared" si="9"/>
        <v>6821.5578359081373</v>
      </c>
      <c r="E60" s="146">
        <f t="shared" si="6"/>
        <v>712.44216409186265</v>
      </c>
      <c r="F60" s="147">
        <f t="shared" si="7"/>
        <v>712.44216409186265</v>
      </c>
      <c r="G60" s="148">
        <f>AVERAGE(F$2:F60)</f>
        <v>497.88824467513615</v>
      </c>
      <c r="H60" s="149">
        <f t="shared" si="4"/>
        <v>507573.83717589657</v>
      </c>
      <c r="I60" s="150">
        <f>IFERROR(SQRT(SUM($H$2:H60)/(COUNT($H$2:H60)-1)),"")</f>
        <v>669.95484150547588</v>
      </c>
      <c r="J60" s="151">
        <f t="shared" si="8"/>
        <v>201937.3907243383</v>
      </c>
      <c r="K60" s="152">
        <f>IFERROR(SQRT(SUM(J$2:J60)/(COUNT(J$2:J60)-1)),0)</f>
        <v>642.05563450715601</v>
      </c>
      <c r="L60" s="153">
        <f t="shared" si="5"/>
        <v>1284.111269014312</v>
      </c>
    </row>
    <row r="61" spans="1:12" x14ac:dyDescent="0.3">
      <c r="A61" s="142">
        <f>[1]ArdiData!A62</f>
        <v>60</v>
      </c>
      <c r="B61" s="143">
        <f>'[3]0.ArdiData'!C62</f>
        <v>12322</v>
      </c>
      <c r="C61" s="144">
        <v>6435</v>
      </c>
      <c r="D61" s="145">
        <f t="shared" si="9"/>
        <v>7207.7311120214226</v>
      </c>
      <c r="E61" s="146">
        <f t="shared" si="6"/>
        <v>-772.73111202142263</v>
      </c>
      <c r="F61" s="147">
        <f t="shared" si="7"/>
        <v>772.73111202142263</v>
      </c>
      <c r="G61" s="148">
        <f>AVERAGE(F$2:F61)</f>
        <v>502.46895913090759</v>
      </c>
      <c r="H61" s="149">
        <f t="shared" si="4"/>
        <v>597113.37148586439</v>
      </c>
      <c r="I61" s="150">
        <f>IFERROR(SQRT(SUM($H$2:H61)/(COUNT($H$2:H61)-1)),"")</f>
        <v>671.82781000625505</v>
      </c>
      <c r="J61" s="151">
        <f t="shared" si="8"/>
        <v>1072879.2210589547</v>
      </c>
      <c r="K61" s="152">
        <f>IFERROR(SQRT(SUM(J$2:J61)/(COUNT(J$2:J61)-1)),0)</f>
        <v>650.7171352138904</v>
      </c>
      <c r="L61" s="153">
        <f t="shared" si="5"/>
        <v>1301.4342704277808</v>
      </c>
    </row>
    <row r="62" spans="1:12" x14ac:dyDescent="0.3">
      <c r="A62" s="142">
        <f>[1]ArdiData!A63</f>
        <v>61</v>
      </c>
      <c r="B62" s="143">
        <f>'[3]0.ArdiData'!C63</f>
        <v>12365</v>
      </c>
      <c r="C62" s="144">
        <v>8316</v>
      </c>
      <c r="D62" s="145">
        <f t="shared" si="9"/>
        <v>6788.8787193302205</v>
      </c>
      <c r="E62" s="146">
        <f t="shared" si="6"/>
        <v>1527.1212806697795</v>
      </c>
      <c r="F62" s="147">
        <f t="shared" si="7"/>
        <v>1527.1212806697795</v>
      </c>
      <c r="G62" s="148">
        <f>AVERAGE(F$2:F62)</f>
        <v>519.26653817252839</v>
      </c>
      <c r="H62" s="149">
        <f t="shared" si="4"/>
        <v>2332099.4058745075</v>
      </c>
      <c r="I62" s="150">
        <f>IFERROR(SQRT(SUM($H$2:H62)/(COUNT($H$2:H62)-1)),"")</f>
        <v>694.76498637362681</v>
      </c>
      <c r="J62" s="151">
        <f t="shared" si="8"/>
        <v>1597831.4034584591</v>
      </c>
      <c r="K62" s="152">
        <f>IFERROR(SQRT(SUM(J$2:J62)/(COUNT(J$2:J62)-1)),0)</f>
        <v>665.58703434206404</v>
      </c>
      <c r="L62" s="153">
        <f t="shared" si="5"/>
        <v>1331.1740686841281</v>
      </c>
    </row>
    <row r="63" spans="1:12" x14ac:dyDescent="0.3">
      <c r="A63" s="142">
        <f>[1]ArdiData!A64</f>
        <v>62</v>
      </c>
      <c r="B63" s="143">
        <f>'[3]0.ArdiData'!C64</f>
        <v>12430</v>
      </c>
      <c r="C63" s="144">
        <v>9011</v>
      </c>
      <c r="D63" s="145">
        <f t="shared" si="9"/>
        <v>7616.6419507923656</v>
      </c>
      <c r="E63" s="146">
        <f t="shared" si="6"/>
        <v>1394.3580492076344</v>
      </c>
      <c r="F63" s="147">
        <f t="shared" si="7"/>
        <v>1394.3580492076344</v>
      </c>
      <c r="G63" s="148">
        <f>AVERAGE(F$2:F63)</f>
        <v>533.38091738277205</v>
      </c>
      <c r="H63" s="149">
        <f t="shared" si="4"/>
        <v>1944234.3693901198</v>
      </c>
      <c r="I63" s="150">
        <f>IFERROR(SQRT(SUM($H$2:H63)/(COUNT($H$2:H63)-1)),"")</f>
        <v>711.79912374985645</v>
      </c>
      <c r="J63" s="151">
        <f t="shared" si="8"/>
        <v>1279817.8082575186</v>
      </c>
      <c r="K63" s="152">
        <f>IFERROR(SQRT(SUM(J$2:J63)/(COUNT(J$2:J63)-1)),0)</f>
        <v>675.81382421872445</v>
      </c>
      <c r="L63" s="153">
        <f t="shared" si="5"/>
        <v>1351.6276484374489</v>
      </c>
    </row>
    <row r="64" spans="1:12" x14ac:dyDescent="0.3">
      <c r="A64" s="142">
        <f>[1]ArdiData!A65</f>
        <v>63</v>
      </c>
      <c r="B64" s="143">
        <f>'[3]0.ArdiData'!C65</f>
        <v>13050</v>
      </c>
      <c r="C64" s="144">
        <v>8306</v>
      </c>
      <c r="D64" s="145">
        <f t="shared" si="9"/>
        <v>8372.4419905384857</v>
      </c>
      <c r="E64" s="146">
        <f t="shared" si="6"/>
        <v>-66.441990538485697</v>
      </c>
      <c r="F64" s="147">
        <f t="shared" si="7"/>
        <v>66.441990538485697</v>
      </c>
      <c r="G64" s="148">
        <f>AVERAGE(F$2:F64)</f>
        <v>525.96918838524368</v>
      </c>
      <c r="H64" s="149">
        <f t="shared" si="4"/>
        <v>4414.5381067162225</v>
      </c>
      <c r="I64" s="150">
        <f>IFERROR(SQRT(SUM($H$2:H64)/(COUNT($H$2:H64)-1)),"")</f>
        <v>706.08589540693015</v>
      </c>
      <c r="J64" s="151">
        <f t="shared" si="8"/>
        <v>108576.64954339409</v>
      </c>
      <c r="K64" s="152">
        <f>IFERROR(SQRT(SUM(J$2:J64)/(COUNT(J$2:J64)-1)),0)</f>
        <v>671.64651411069235</v>
      </c>
      <c r="L64" s="153">
        <f t="shared" si="5"/>
        <v>1343.2930282213847</v>
      </c>
    </row>
    <row r="65" spans="1:12" x14ac:dyDescent="0.3">
      <c r="A65" s="142">
        <f>[1]ArdiData!A66</f>
        <v>64</v>
      </c>
      <c r="B65" s="143">
        <f>'[3]0.ArdiData'!C66</f>
        <v>12889</v>
      </c>
      <c r="C65" s="144">
        <v>8885</v>
      </c>
      <c r="D65" s="145">
        <f t="shared" si="9"/>
        <v>8336.4276690244842</v>
      </c>
      <c r="E65" s="146">
        <f t="shared" si="6"/>
        <v>548.5723309755158</v>
      </c>
      <c r="F65" s="147">
        <f t="shared" si="7"/>
        <v>548.5723309755158</v>
      </c>
      <c r="G65" s="148">
        <f>AVERAGE(F$2:F65)</f>
        <v>526.32236248821664</v>
      </c>
      <c r="H65" s="149">
        <f t="shared" si="4"/>
        <v>300931.60231191083</v>
      </c>
      <c r="I65" s="150">
        <f>IFERROR(SQRT(SUM($H$2:H65)/(COUNT($H$2:H65)-1)),"")</f>
        <v>703.8610487789125</v>
      </c>
      <c r="J65" s="151">
        <f t="shared" si="8"/>
        <v>81512.882711318511</v>
      </c>
      <c r="K65" s="152">
        <f>IFERROR(SQRT(SUM(J$2:J65)/(COUNT(J$2:J65)-1)),0)</f>
        <v>667.26489061474842</v>
      </c>
      <c r="L65" s="153">
        <f t="shared" si="5"/>
        <v>1334.5297812294968</v>
      </c>
    </row>
    <row r="66" spans="1:12" x14ac:dyDescent="0.3">
      <c r="A66" s="142">
        <f>[1]ArdiData!A67</f>
        <v>65</v>
      </c>
      <c r="B66" s="143">
        <f>'[3]0.ArdiData'!C67</f>
        <v>13938</v>
      </c>
      <c r="C66" s="144">
        <v>6915</v>
      </c>
      <c r="D66" s="145">
        <f t="shared" si="9"/>
        <v>8633.7766819200788</v>
      </c>
      <c r="E66" s="146">
        <f t="shared" ref="E66:E76" si="10">C66-D66</f>
        <v>-1718.7766819200788</v>
      </c>
      <c r="F66" s="147">
        <f t="shared" ref="F66:F76" si="11">ABS(E66)</f>
        <v>1718.7766819200788</v>
      </c>
      <c r="G66" s="148">
        <f>AVERAGE(F$2:F66)</f>
        <v>544.6678135563991</v>
      </c>
      <c r="H66" s="149">
        <f t="shared" si="4"/>
        <v>2954193.2823121957</v>
      </c>
      <c r="I66" s="150">
        <f>IFERROR(SQRT(SUM($H$2:H66)/(COUNT($H$2:H66)-1)),"")</f>
        <v>730.64266413169707</v>
      </c>
      <c r="J66" s="151">
        <f t="shared" ref="J66:J76" si="12">(E66-$R$1)^2</f>
        <v>3927707.2346503465</v>
      </c>
      <c r="K66" s="152">
        <f>IFERROR(SQRT(SUM(J$2:J66)/(COUNT(J$2:J66)-1)),0)</f>
        <v>706.86345693734427</v>
      </c>
      <c r="L66" s="153">
        <f t="shared" si="5"/>
        <v>1413.7269138746885</v>
      </c>
    </row>
    <row r="67" spans="1:12" x14ac:dyDescent="0.3">
      <c r="A67" s="142">
        <f>[1]ArdiData!A68</f>
        <v>66</v>
      </c>
      <c r="B67" s="143">
        <f>'[3]0.ArdiData'!C68</f>
        <v>13405</v>
      </c>
      <c r="C67" s="144">
        <v>8565</v>
      </c>
      <c r="D67" s="145">
        <f t="shared" ref="D67:D77" si="13">$N$1*C66+(1-$N$1)*D66</f>
        <v>7702.128253994335</v>
      </c>
      <c r="E67" s="146">
        <f t="shared" si="10"/>
        <v>862.87174600566505</v>
      </c>
      <c r="F67" s="147">
        <f t="shared" si="11"/>
        <v>862.87174600566505</v>
      </c>
      <c r="G67" s="148">
        <f>AVERAGE(F$2:F67)</f>
        <v>549.4890852601759</v>
      </c>
      <c r="H67" s="149">
        <f t="shared" ref="H67:H76" si="14">E67^2</f>
        <v>744547.65005486493</v>
      </c>
      <c r="I67" s="150">
        <f>IFERROR(SQRT(SUM($H$2:H67)/(COUNT($H$2:H67)-1)),"")</f>
        <v>732.85767974647922</v>
      </c>
      <c r="J67" s="151">
        <f t="shared" si="12"/>
        <v>359764.86924083263</v>
      </c>
      <c r="K67" s="152">
        <f>IFERROR(SQRT(SUM(J$2:J67)/(COUNT(J$2:J67)-1)),0)</f>
        <v>705.33947594767608</v>
      </c>
      <c r="L67" s="153">
        <f t="shared" ref="L67:L76" si="15">2*K67</f>
        <v>1410.6789518953522</v>
      </c>
    </row>
    <row r="68" spans="1:12" x14ac:dyDescent="0.3">
      <c r="A68" s="142">
        <f>[1]ArdiData!A69</f>
        <v>67</v>
      </c>
      <c r="B68" s="143">
        <f>'[3]0.ArdiData'!C69</f>
        <v>13616</v>
      </c>
      <c r="C68" s="144">
        <v>6764</v>
      </c>
      <c r="D68" s="145">
        <f t="shared" si="13"/>
        <v>8169.8406183310872</v>
      </c>
      <c r="E68" s="146">
        <f t="shared" si="10"/>
        <v>-1405.8406183310872</v>
      </c>
      <c r="F68" s="147">
        <f t="shared" si="11"/>
        <v>1405.8406183310872</v>
      </c>
      <c r="G68" s="148">
        <f>AVERAGE(F$2:F68)</f>
        <v>562.2704514254134</v>
      </c>
      <c r="H68" s="149">
        <f t="shared" si="14"/>
        <v>1976387.8441495334</v>
      </c>
      <c r="I68" s="150">
        <f>IFERROR(SQRT(SUM($H$2:H68)/(COUNT($H$2:H68)-1)),"")</f>
        <v>747.58816713005831</v>
      </c>
      <c r="J68" s="151">
        <f t="shared" si="12"/>
        <v>2785255.0427854573</v>
      </c>
      <c r="K68" s="152">
        <f>IFERROR(SQRT(SUM(J$2:J68)/(COUNT(J$2:J68)-1)),0)</f>
        <v>729.49754921229032</v>
      </c>
      <c r="L68" s="153">
        <f t="shared" si="15"/>
        <v>1458.9950984245806</v>
      </c>
    </row>
    <row r="69" spans="1:12" x14ac:dyDescent="0.3">
      <c r="A69" s="142">
        <f>[1]ArdiData!A70</f>
        <v>68</v>
      </c>
      <c r="B69" s="143">
        <f>'[3]0.ArdiData'!C70</f>
        <v>13204</v>
      </c>
      <c r="C69" s="144">
        <v>8456</v>
      </c>
      <c r="D69" s="145">
        <f t="shared" si="13"/>
        <v>7407.816548677567</v>
      </c>
      <c r="E69" s="146">
        <f t="shared" si="10"/>
        <v>1048.183451322433</v>
      </c>
      <c r="F69" s="147">
        <f t="shared" si="11"/>
        <v>1048.183451322433</v>
      </c>
      <c r="G69" s="148">
        <f>AVERAGE(F$2:F69)</f>
        <v>569.41623083566355</v>
      </c>
      <c r="H69" s="149">
        <f t="shared" si="14"/>
        <v>1098688.5476262073</v>
      </c>
      <c r="I69" s="150">
        <f>IFERROR(SQRT(SUM($H$2:H69)/(COUNT($H$2:H69)-1)),"")</f>
        <v>752.95736347742161</v>
      </c>
      <c r="J69" s="151">
        <f t="shared" si="12"/>
        <v>616406.71108332661</v>
      </c>
      <c r="K69" s="152">
        <f>IFERROR(SQRT(SUM(J$2:J69)/(COUNT(J$2:J69)-1)),0)</f>
        <v>730.35880790778322</v>
      </c>
      <c r="L69" s="153">
        <f t="shared" si="15"/>
        <v>1460.7176158155664</v>
      </c>
    </row>
    <row r="70" spans="1:12" x14ac:dyDescent="0.3">
      <c r="A70" s="142">
        <f>[1]ArdiData!A71</f>
        <v>69</v>
      </c>
      <c r="B70" s="143">
        <f>'[3]0.ArdiData'!C71</f>
        <v>14632</v>
      </c>
      <c r="C70" s="144">
        <v>6849</v>
      </c>
      <c r="D70" s="145">
        <f t="shared" si="13"/>
        <v>7975.9755625125781</v>
      </c>
      <c r="E70" s="146">
        <f t="shared" si="10"/>
        <v>-1126.9755625125781</v>
      </c>
      <c r="F70" s="147">
        <f t="shared" si="11"/>
        <v>1126.9755625125781</v>
      </c>
      <c r="G70" s="148">
        <f>AVERAGE(F$2:F70)</f>
        <v>577.4968008599667</v>
      </c>
      <c r="H70" s="149">
        <f t="shared" si="14"/>
        <v>1270073.9185005419</v>
      </c>
      <c r="I70" s="150">
        <f>IFERROR(SQRT(SUM($H$2:H70)/(COUNT($H$2:H70)-1)),"")</f>
        <v>759.79268582927227</v>
      </c>
      <c r="J70" s="151">
        <f t="shared" si="12"/>
        <v>1932220.3281199231</v>
      </c>
      <c r="K70" s="152">
        <f>IFERROR(SQRT(SUM(J$2:J70)/(COUNT(J$2:J70)-1)),0)</f>
        <v>744.30808318717334</v>
      </c>
      <c r="L70" s="153">
        <f t="shared" si="15"/>
        <v>1488.6161663743467</v>
      </c>
    </row>
    <row r="71" spans="1:12" x14ac:dyDescent="0.3">
      <c r="A71" s="142">
        <f>[1]ArdiData!A72</f>
        <v>70</v>
      </c>
      <c r="B71" s="143">
        <f>'[3]0.ArdiData'!C72</f>
        <v>14974</v>
      </c>
      <c r="C71" s="144">
        <v>7664</v>
      </c>
      <c r="D71" s="145">
        <f t="shared" si="13"/>
        <v>7365.1079482552914</v>
      </c>
      <c r="E71" s="146">
        <f t="shared" si="10"/>
        <v>298.89205174470862</v>
      </c>
      <c r="F71" s="147">
        <f t="shared" si="11"/>
        <v>298.89205174470862</v>
      </c>
      <c r="G71" s="148">
        <f>AVERAGE(F$2:F71)</f>
        <v>573.51673301546305</v>
      </c>
      <c r="H71" s="149">
        <f t="shared" si="14"/>
        <v>89336.458596161581</v>
      </c>
      <c r="I71" s="150">
        <f>IFERROR(SQRT(SUM($H$2:H71)/(COUNT($H$2:H71)-1)),"")</f>
        <v>755.12463112315709</v>
      </c>
      <c r="J71" s="151">
        <f t="shared" si="12"/>
        <v>1283.3827227502204</v>
      </c>
      <c r="K71" s="152">
        <f>IFERROR(SQRT(SUM(J$2:J71)/(COUNT(J$2:J71)-1)),0)</f>
        <v>738.90744773707263</v>
      </c>
      <c r="L71" s="153">
        <f t="shared" si="15"/>
        <v>1477.8148954741453</v>
      </c>
    </row>
    <row r="72" spans="1:12" x14ac:dyDescent="0.3">
      <c r="A72" s="142">
        <f>[1]ArdiData!A73</f>
        <v>71</v>
      </c>
      <c r="B72" s="143">
        <f>'[3]0.ArdiData'!C73</f>
        <v>15480</v>
      </c>
      <c r="C72" s="144">
        <v>10101</v>
      </c>
      <c r="D72" s="145">
        <f t="shared" si="13"/>
        <v>7527.1198681612459</v>
      </c>
      <c r="E72" s="146">
        <f t="shared" si="10"/>
        <v>2573.8801318387541</v>
      </c>
      <c r="F72" s="147">
        <f t="shared" si="11"/>
        <v>2573.8801318387541</v>
      </c>
      <c r="G72" s="148">
        <f>AVERAGE(F$2:F72)</f>
        <v>601.69086539325588</v>
      </c>
      <c r="H72" s="149">
        <f t="shared" si="14"/>
        <v>6624858.9330742825</v>
      </c>
      <c r="I72" s="150">
        <f>IFERROR(SQRT(SUM($H$2:H72)/(COUNT($H$2:H72)-1)),"")</f>
        <v>810.3753127106977</v>
      </c>
      <c r="J72" s="151">
        <f t="shared" si="12"/>
        <v>5339854.0012757462</v>
      </c>
      <c r="K72" s="152">
        <f>IFERROR(SQRT(SUM(J$2:J72)/(COUNT(J$2:J72)-1)),0)</f>
        <v>783.88013777113417</v>
      </c>
      <c r="L72" s="153">
        <f t="shared" si="15"/>
        <v>1567.7602755422683</v>
      </c>
    </row>
    <row r="73" spans="1:12" x14ac:dyDescent="0.3">
      <c r="A73" s="142">
        <f>[1]ArdiData!A74</f>
        <v>72</v>
      </c>
      <c r="B73" s="143">
        <f>'[3]0.ArdiData'!C74</f>
        <v>17926</v>
      </c>
      <c r="C73" s="144">
        <v>9156</v>
      </c>
      <c r="D73" s="145">
        <f t="shared" si="13"/>
        <v>8922.2699209406928</v>
      </c>
      <c r="E73" s="146">
        <f t="shared" si="10"/>
        <v>233.73007905930717</v>
      </c>
      <c r="F73" s="147">
        <f t="shared" si="11"/>
        <v>233.73007905930717</v>
      </c>
      <c r="G73" s="148">
        <f>AVERAGE(F$2:F73)</f>
        <v>596.58029891639546</v>
      </c>
      <c r="H73" s="149">
        <f t="shared" si="14"/>
        <v>54629.749857069983</v>
      </c>
      <c r="I73" s="150">
        <f>IFERROR(SQRT(SUM($H$2:H73)/(COUNT($H$2:H73)-1)),"")</f>
        <v>805.12618266956213</v>
      </c>
      <c r="J73" s="151">
        <f t="shared" si="12"/>
        <v>860.69719414913857</v>
      </c>
      <c r="K73" s="152">
        <f>IFERROR(SQRT(SUM(J$2:J73)/(COUNT(J$2:J73)-1)),0)</f>
        <v>778.34806675619575</v>
      </c>
      <c r="L73" s="153">
        <f t="shared" si="15"/>
        <v>1556.6961335123915</v>
      </c>
    </row>
    <row r="74" spans="1:12" x14ac:dyDescent="0.3">
      <c r="A74" s="142">
        <f>[1]ArdiData!A75</f>
        <v>73</v>
      </c>
      <c r="B74" s="143">
        <f>'[3]0.ArdiData'!C75</f>
        <v>14981</v>
      </c>
      <c r="C74" s="144">
        <v>11760</v>
      </c>
      <c r="D74" s="145">
        <f t="shared" si="13"/>
        <v>9048.9613422318544</v>
      </c>
      <c r="E74" s="146">
        <f t="shared" si="10"/>
        <v>2711.0386577681456</v>
      </c>
      <c r="F74" s="147">
        <f t="shared" si="11"/>
        <v>2711.0386577681456</v>
      </c>
      <c r="G74" s="148">
        <f>AVERAGE(F$2:F74)</f>
        <v>625.5454819143647</v>
      </c>
      <c r="H74" s="149">
        <f t="shared" si="14"/>
        <v>7349730.6039133091</v>
      </c>
      <c r="I74" s="150">
        <f>IFERROR(SQRT(SUM($H$2:H74)/(COUNT($H$2:H74)-1)),"")</f>
        <v>860.99047190606177</v>
      </c>
      <c r="J74" s="151">
        <f t="shared" si="12"/>
        <v>5992561.7106401473</v>
      </c>
      <c r="K74" s="152">
        <f>IFERROR(SQRT(SUM(J$2:J74)/(COUNT(J$2:J74)-1)),0)</f>
        <v>825.0099943441827</v>
      </c>
      <c r="L74" s="153">
        <f t="shared" si="15"/>
        <v>1650.0199886883654</v>
      </c>
    </row>
    <row r="75" spans="1:12" x14ac:dyDescent="0.3">
      <c r="A75" s="142">
        <f>[1]ArdiData!A76</f>
        <v>74</v>
      </c>
      <c r="B75" s="143">
        <f>'[3]0.ArdiData'!C76</f>
        <v>16311</v>
      </c>
      <c r="C75" s="144">
        <v>11274</v>
      </c>
      <c r="D75" s="145">
        <f t="shared" si="13"/>
        <v>10518.457019083871</v>
      </c>
      <c r="E75" s="146">
        <f t="shared" si="10"/>
        <v>755.54298091612873</v>
      </c>
      <c r="F75" s="147">
        <f t="shared" si="11"/>
        <v>755.54298091612873</v>
      </c>
      <c r="G75" s="148">
        <f>AVERAGE(F$2:F75)</f>
        <v>627.30220487384804</v>
      </c>
      <c r="H75" s="149">
        <f t="shared" si="14"/>
        <v>570845.19601162965</v>
      </c>
      <c r="I75" s="150">
        <f>IFERROR(SQRT(SUM($H$2:H75)/(COUNT($H$2:H75)-1)),"")</f>
        <v>859.63337096941314</v>
      </c>
      <c r="J75" s="151">
        <f t="shared" si="12"/>
        <v>242531.88230916194</v>
      </c>
      <c r="K75" s="152">
        <f>IFERROR(SQRT(SUM(J$2:J75)/(COUNT(J$2:J75)-1)),0)</f>
        <v>821.36471149061049</v>
      </c>
      <c r="L75" s="153">
        <f t="shared" si="15"/>
        <v>1642.729422981221</v>
      </c>
    </row>
    <row r="76" spans="1:12" ht="17.25" thickBot="1" x14ac:dyDescent="0.35">
      <c r="A76" s="157">
        <f>[1]ArdiData!A77</f>
        <v>75</v>
      </c>
      <c r="B76" s="158">
        <f>'[3]0.ArdiData'!C77</f>
        <v>16948</v>
      </c>
      <c r="C76" s="159">
        <v>11999</v>
      </c>
      <c r="D76" s="145">
        <f t="shared" si="13"/>
        <v>10927.992730037608</v>
      </c>
      <c r="E76" s="146">
        <f t="shared" si="10"/>
        <v>1071.0072699623925</v>
      </c>
      <c r="F76" s="160">
        <f t="shared" si="11"/>
        <v>1071.0072699623925</v>
      </c>
      <c r="G76" s="161">
        <f>AVERAGE(F$2:F76)</f>
        <v>633.21827240836194</v>
      </c>
      <c r="H76" s="162">
        <f t="shared" si="14"/>
        <v>1147056.5723122971</v>
      </c>
      <c r="I76" s="163">
        <f>IFERROR(SQRT(SUM($H$2:H76)/(COUNT($H$2:H76)-1)),"")</f>
        <v>862.8349912999837</v>
      </c>
      <c r="J76" s="164">
        <f t="shared" si="12"/>
        <v>652766.31589265435</v>
      </c>
      <c r="K76" s="165">
        <f>IFERROR(SQRT(SUM(J$2:J76)/(COUNT(J$2:J76)-1)),0)</f>
        <v>821.18475332967296</v>
      </c>
      <c r="L76" s="166">
        <f t="shared" si="15"/>
        <v>1642.3695066593459</v>
      </c>
    </row>
    <row r="77" spans="1:12" x14ac:dyDescent="0.3">
      <c r="A77" s="167"/>
      <c r="B77" s="168"/>
      <c r="C77" s="168"/>
      <c r="D77" s="145">
        <f t="shared" si="13"/>
        <v>11508.52320258442</v>
      </c>
      <c r="F77" s="75"/>
      <c r="G77" s="75"/>
      <c r="H77" s="75"/>
      <c r="I77" s="75"/>
      <c r="J77" s="75"/>
      <c r="K77" s="75"/>
      <c r="L77" s="75"/>
    </row>
    <row r="78" spans="1:12" x14ac:dyDescent="0.3">
      <c r="F78" s="75"/>
      <c r="G78" s="75"/>
      <c r="H78" s="75"/>
      <c r="I78" s="75"/>
      <c r="J78" s="75"/>
      <c r="K78" s="75"/>
      <c r="L78" s="75"/>
    </row>
  </sheetData>
  <conditionalFormatting sqref="M4:M13">
    <cfRule type="expression" dxfId="6" priority="1">
      <formula>$N4=$N$15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4"/>
  <sheetViews>
    <sheetView topLeftCell="A25" zoomScaleNormal="100" workbookViewId="0">
      <selection activeCell="B11" sqref="B11"/>
    </sheetView>
  </sheetViews>
  <sheetFormatPr defaultColWidth="9.140625" defaultRowHeight="16.5" x14ac:dyDescent="0.3"/>
  <cols>
    <col min="1" max="1" width="4.85546875" style="75" customWidth="1"/>
    <col min="2" max="2" width="3.7109375" style="75" bestFit="1" customWidth="1"/>
    <col min="3" max="3" width="7.5703125" style="75" bestFit="1" customWidth="1"/>
    <col min="4" max="4" width="9.5703125" style="75" bestFit="1" customWidth="1"/>
    <col min="5" max="5" width="6.28515625" style="75" bestFit="1" customWidth="1"/>
    <col min="6" max="6" width="18.28515625" style="75" customWidth="1"/>
    <col min="7" max="7" width="9.42578125" style="75" bestFit="1" customWidth="1"/>
    <col min="8" max="8" width="17" style="75" customWidth="1"/>
    <col min="9" max="9" width="16.85546875" style="75" customWidth="1"/>
    <col min="10" max="10" width="10.85546875" style="75" customWidth="1"/>
    <col min="11" max="11" width="11.28515625" style="75" customWidth="1"/>
    <col min="12" max="16384" width="9.140625" style="75"/>
  </cols>
  <sheetData>
    <row r="1" spans="1:17" x14ac:dyDescent="0.3">
      <c r="A1" s="88" t="s">
        <v>71</v>
      </c>
      <c r="B1" s="88"/>
      <c r="C1" s="88"/>
      <c r="D1" s="88"/>
      <c r="E1" s="88"/>
      <c r="F1" s="88"/>
      <c r="G1" s="88"/>
      <c r="H1" s="88"/>
      <c r="I1" s="88"/>
      <c r="J1" s="88"/>
    </row>
    <row r="2" spans="1:17" ht="17.25" thickBot="1" x14ac:dyDescent="0.35">
      <c r="A2" s="88" t="s">
        <v>70</v>
      </c>
      <c r="B2" s="88"/>
      <c r="C2" s="88"/>
      <c r="D2" s="88"/>
      <c r="G2" s="88"/>
      <c r="H2" s="88"/>
      <c r="I2" s="88"/>
      <c r="J2" s="88"/>
    </row>
    <row r="3" spans="1:17" ht="17.25" thickBot="1" x14ac:dyDescent="0.35">
      <c r="A3" s="88" t="s">
        <v>69</v>
      </c>
      <c r="B3" s="88"/>
      <c r="C3" s="88"/>
      <c r="D3" s="88"/>
      <c r="G3" s="123">
        <v>0.3</v>
      </c>
      <c r="J3" s="88"/>
    </row>
    <row r="4" spans="1:17" ht="17.25" thickBot="1" x14ac:dyDescent="0.35">
      <c r="A4" s="88" t="s">
        <v>68</v>
      </c>
      <c r="H4" s="88"/>
      <c r="I4" s="88"/>
      <c r="J4" s="122">
        <f>F52</f>
        <v>1.5599407915487875</v>
      </c>
    </row>
    <row r="5" spans="1:17" ht="17.25" thickBot="1" x14ac:dyDescent="0.35">
      <c r="A5" s="89" t="s">
        <v>45</v>
      </c>
      <c r="B5" s="89"/>
      <c r="C5" s="89"/>
      <c r="D5" s="89"/>
      <c r="E5" s="118"/>
      <c r="F5" s="90"/>
      <c r="G5" s="89"/>
      <c r="H5" s="122">
        <f>C53</f>
        <v>3.5069387314950564</v>
      </c>
    </row>
    <row r="6" spans="1:17" ht="17.25" thickBot="1" x14ac:dyDescent="0.35">
      <c r="A6" s="89" t="s">
        <v>46</v>
      </c>
      <c r="I6" s="122">
        <f>J4*1.25</f>
        <v>1.9499259894359844</v>
      </c>
      <c r="J6" s="88"/>
    </row>
    <row r="7" spans="1:17" x14ac:dyDescent="0.3">
      <c r="A7" s="89" t="s">
        <v>47</v>
      </c>
      <c r="C7" s="89" t="s">
        <v>67</v>
      </c>
      <c r="F7" s="89" t="s">
        <v>49</v>
      </c>
    </row>
    <row r="8" spans="1:17" x14ac:dyDescent="0.3">
      <c r="A8" s="89" t="s">
        <v>53</v>
      </c>
      <c r="D8" s="75" t="s">
        <v>66</v>
      </c>
      <c r="F8" s="89" t="s">
        <v>49</v>
      </c>
      <c r="I8" s="89"/>
    </row>
    <row r="9" spans="1:17" x14ac:dyDescent="0.3">
      <c r="A9" s="88"/>
      <c r="B9" s="88"/>
      <c r="C9" s="88"/>
      <c r="D9" s="88"/>
      <c r="E9" s="88"/>
      <c r="F9" s="88"/>
      <c r="G9" s="89"/>
      <c r="H9" s="88"/>
      <c r="J9" s="75">
        <v>0</v>
      </c>
      <c r="O9" s="75">
        <v>0</v>
      </c>
      <c r="P9" s="75">
        <v>-4</v>
      </c>
      <c r="Q9" s="75">
        <v>4</v>
      </c>
    </row>
    <row r="10" spans="1:17" x14ac:dyDescent="0.3">
      <c r="A10" s="88" t="s">
        <v>31</v>
      </c>
      <c r="B10" s="121" t="s">
        <v>0</v>
      </c>
      <c r="C10" s="121" t="s">
        <v>32</v>
      </c>
      <c r="D10" s="121" t="s">
        <v>42</v>
      </c>
      <c r="E10" s="121" t="s">
        <v>2</v>
      </c>
      <c r="F10" s="121" t="s">
        <v>65</v>
      </c>
      <c r="G10" s="121" t="s">
        <v>64</v>
      </c>
      <c r="H10" s="121" t="s">
        <v>63</v>
      </c>
      <c r="J10" s="75">
        <v>0.1</v>
      </c>
      <c r="O10" s="75">
        <v>50</v>
      </c>
      <c r="P10" s="75">
        <v>-4</v>
      </c>
      <c r="Q10" s="75">
        <v>4</v>
      </c>
    </row>
    <row r="11" spans="1:17" x14ac:dyDescent="0.3">
      <c r="A11" s="120">
        <v>1</v>
      </c>
      <c r="B11" s="61">
        <v>2</v>
      </c>
      <c r="C11" s="121">
        <f>B11</f>
        <v>2</v>
      </c>
      <c r="D11" s="86">
        <f t="shared" ref="D11:D52" si="0">B11-C11</f>
        <v>0</v>
      </c>
      <c r="E11" s="119">
        <f t="shared" ref="E11:E52" si="1">ABS(D11)</f>
        <v>0</v>
      </c>
      <c r="F11" s="119">
        <f>AVERAGE($E$11:E11)</f>
        <v>0</v>
      </c>
      <c r="G11" s="86">
        <f>SUM($D$11:D11)</f>
        <v>0</v>
      </c>
      <c r="H11" s="87">
        <f t="shared" ref="H11:H52" si="2">IFERROR(G11/F11,0)</f>
        <v>0</v>
      </c>
      <c r="I11" s="120"/>
      <c r="K11" s="99">
        <f>J4</f>
        <v>1.5599407915487875</v>
      </c>
    </row>
    <row r="12" spans="1:17" x14ac:dyDescent="0.3">
      <c r="A12" s="121">
        <v>2</v>
      </c>
      <c r="B12">
        <v>2</v>
      </c>
      <c r="C12" s="119">
        <f t="shared" ref="C12:C53" si="3">(1-$G$3)*C11+$G$3*B11</f>
        <v>2</v>
      </c>
      <c r="D12" s="86">
        <f t="shared" si="0"/>
        <v>0</v>
      </c>
      <c r="E12" s="119">
        <f t="shared" si="1"/>
        <v>0</v>
      </c>
      <c r="F12" s="119">
        <f>AVERAGE($E$11:E12)</f>
        <v>0</v>
      </c>
      <c r="G12" s="86">
        <f>SUM($D$11:D12)</f>
        <v>0</v>
      </c>
      <c r="H12" s="87">
        <f t="shared" si="2"/>
        <v>0</v>
      </c>
      <c r="I12" s="120"/>
      <c r="J12" s="75">
        <f>J9</f>
        <v>0</v>
      </c>
      <c r="K12" s="75">
        <f t="dataTable" ref="K12:K22" dt2D="0" dtr="0" r1="G3"/>
        <v>1.4047619047619047</v>
      </c>
    </row>
    <row r="13" spans="1:17" x14ac:dyDescent="0.3">
      <c r="A13" s="121">
        <v>3</v>
      </c>
      <c r="B13">
        <v>1</v>
      </c>
      <c r="C13" s="119">
        <f t="shared" si="3"/>
        <v>2</v>
      </c>
      <c r="D13" s="86">
        <f t="shared" si="0"/>
        <v>-1</v>
      </c>
      <c r="E13" s="119">
        <f t="shared" si="1"/>
        <v>1</v>
      </c>
      <c r="F13" s="119">
        <f>AVERAGE($E$11:E13)</f>
        <v>0.33333333333333331</v>
      </c>
      <c r="G13" s="86">
        <f>SUM($D$11:D13)</f>
        <v>-1</v>
      </c>
      <c r="H13" s="87">
        <f t="shared" si="2"/>
        <v>-3</v>
      </c>
      <c r="I13" s="120"/>
      <c r="J13" s="75">
        <f t="shared" ref="J13:J22" si="4">J12+$J$10</f>
        <v>0.1</v>
      </c>
      <c r="K13" s="75">
        <v>1.468375889083664</v>
      </c>
    </row>
    <row r="14" spans="1:17" x14ac:dyDescent="0.3">
      <c r="A14" s="121">
        <v>4</v>
      </c>
      <c r="B14">
        <v>0</v>
      </c>
      <c r="C14" s="119">
        <f t="shared" si="3"/>
        <v>1.7</v>
      </c>
      <c r="D14" s="86">
        <f t="shared" si="0"/>
        <v>-1.7</v>
      </c>
      <c r="E14" s="119">
        <f t="shared" si="1"/>
        <v>1.7</v>
      </c>
      <c r="F14" s="119">
        <f>AVERAGE($E$11:E14)</f>
        <v>0.67500000000000004</v>
      </c>
      <c r="G14" s="86">
        <f>SUM($D$11:D14)</f>
        <v>-2.7</v>
      </c>
      <c r="H14" s="87">
        <f t="shared" si="2"/>
        <v>-4</v>
      </c>
      <c r="I14" s="120"/>
      <c r="J14" s="75">
        <f t="shared" si="4"/>
        <v>0.2</v>
      </c>
      <c r="K14" s="75">
        <v>1.5122751412047477</v>
      </c>
    </row>
    <row r="15" spans="1:17" x14ac:dyDescent="0.3">
      <c r="A15" s="121">
        <v>5</v>
      </c>
      <c r="B15">
        <v>2</v>
      </c>
      <c r="C15" s="119">
        <f t="shared" si="3"/>
        <v>1.19</v>
      </c>
      <c r="D15" s="86">
        <f t="shared" si="0"/>
        <v>0.81</v>
      </c>
      <c r="E15" s="119">
        <f t="shared" si="1"/>
        <v>0.81</v>
      </c>
      <c r="F15" s="119">
        <f>AVERAGE($E$11:E15)</f>
        <v>0.70200000000000007</v>
      </c>
      <c r="G15" s="86">
        <f>SUM($D$11:D15)</f>
        <v>-1.8900000000000001</v>
      </c>
      <c r="H15" s="87">
        <f t="shared" si="2"/>
        <v>-2.6923076923076921</v>
      </c>
      <c r="I15" s="120"/>
      <c r="J15" s="75">
        <f t="shared" si="4"/>
        <v>0.30000000000000004</v>
      </c>
      <c r="K15" s="75">
        <v>1.5599407915487868</v>
      </c>
    </row>
    <row r="16" spans="1:17" x14ac:dyDescent="0.3">
      <c r="A16" s="121">
        <v>6</v>
      </c>
      <c r="B16">
        <v>1</v>
      </c>
      <c r="C16" s="119">
        <f t="shared" si="3"/>
        <v>1.4329999999999998</v>
      </c>
      <c r="D16" s="86">
        <f t="shared" si="0"/>
        <v>-0.43299999999999983</v>
      </c>
      <c r="E16" s="119">
        <f t="shared" si="1"/>
        <v>0.43299999999999983</v>
      </c>
      <c r="F16" s="119">
        <f>AVERAGE($E$11:E16)</f>
        <v>0.65716666666666668</v>
      </c>
      <c r="G16" s="86">
        <f>SUM($D$11:D16)</f>
        <v>-2.323</v>
      </c>
      <c r="H16" s="87">
        <f t="shared" si="2"/>
        <v>-3.5348719249302558</v>
      </c>
      <c r="I16" s="120"/>
      <c r="J16" s="75">
        <f t="shared" si="4"/>
        <v>0.4</v>
      </c>
      <c r="K16" s="75">
        <v>1.6031785857049534</v>
      </c>
    </row>
    <row r="17" spans="1:11" x14ac:dyDescent="0.3">
      <c r="A17" s="121">
        <v>7</v>
      </c>
      <c r="B17">
        <v>0</v>
      </c>
      <c r="C17" s="119">
        <f t="shared" si="3"/>
        <v>1.3030999999999999</v>
      </c>
      <c r="D17" s="86">
        <f t="shared" si="0"/>
        <v>-1.3030999999999999</v>
      </c>
      <c r="E17" s="119">
        <f t="shared" si="1"/>
        <v>1.3030999999999999</v>
      </c>
      <c r="F17" s="119">
        <f>AVERAGE($E$11:E17)</f>
        <v>0.74944285714285719</v>
      </c>
      <c r="G17" s="86">
        <f>SUM($D$11:D17)</f>
        <v>-3.6261000000000001</v>
      </c>
      <c r="H17" s="87">
        <f t="shared" si="2"/>
        <v>-4.8383942357179617</v>
      </c>
      <c r="I17" s="120"/>
      <c r="J17" s="75">
        <f t="shared" si="4"/>
        <v>0.5</v>
      </c>
      <c r="K17" s="75">
        <v>1.6413497065576026</v>
      </c>
    </row>
    <row r="18" spans="1:11" x14ac:dyDescent="0.3">
      <c r="A18" s="121">
        <v>8</v>
      </c>
      <c r="B18">
        <v>0</v>
      </c>
      <c r="C18" s="119">
        <f t="shared" si="3"/>
        <v>0.91216999999999993</v>
      </c>
      <c r="D18" s="86">
        <f t="shared" si="0"/>
        <v>-0.91216999999999993</v>
      </c>
      <c r="E18" s="119">
        <f t="shared" si="1"/>
        <v>0.91216999999999993</v>
      </c>
      <c r="F18" s="119">
        <f>AVERAGE($E$11:E18)</f>
        <v>0.76978374999999999</v>
      </c>
      <c r="G18" s="86">
        <f>SUM($D$11:D18)</f>
        <v>-4.5382699999999998</v>
      </c>
      <c r="H18" s="87">
        <f t="shared" si="2"/>
        <v>-5.8955128631904739</v>
      </c>
      <c r="I18" s="120"/>
      <c r="J18" s="75">
        <f t="shared" si="4"/>
        <v>0.6</v>
      </c>
      <c r="K18" s="75">
        <v>1.7010765178683183</v>
      </c>
    </row>
    <row r="19" spans="1:11" x14ac:dyDescent="0.3">
      <c r="A19" s="121">
        <v>9</v>
      </c>
      <c r="B19">
        <v>3</v>
      </c>
      <c r="C19" s="119">
        <f t="shared" si="3"/>
        <v>0.63851899999999995</v>
      </c>
      <c r="D19" s="86">
        <f t="shared" si="0"/>
        <v>2.3614809999999999</v>
      </c>
      <c r="E19" s="119">
        <f t="shared" si="1"/>
        <v>2.3614809999999999</v>
      </c>
      <c r="F19" s="119">
        <f>AVERAGE($E$11:E19)</f>
        <v>0.9466389999999999</v>
      </c>
      <c r="G19" s="86">
        <f>SUM($D$11:D19)</f>
        <v>-2.1767889999999999</v>
      </c>
      <c r="H19" s="87">
        <f t="shared" si="2"/>
        <v>-2.299492203469327</v>
      </c>
      <c r="I19" s="120"/>
      <c r="J19" s="75">
        <f t="shared" si="4"/>
        <v>0.7</v>
      </c>
      <c r="K19" s="75">
        <v>1.7535415721269034</v>
      </c>
    </row>
    <row r="20" spans="1:11" x14ac:dyDescent="0.3">
      <c r="A20" s="121">
        <v>10</v>
      </c>
      <c r="B20">
        <v>4</v>
      </c>
      <c r="C20" s="119">
        <f t="shared" si="3"/>
        <v>1.3469632999999999</v>
      </c>
      <c r="D20" s="86">
        <f t="shared" si="0"/>
        <v>2.6530367000000004</v>
      </c>
      <c r="E20" s="119">
        <f t="shared" si="1"/>
        <v>2.6530367000000004</v>
      </c>
      <c r="F20" s="119">
        <f>AVERAGE($E$11:E20)</f>
        <v>1.11727877</v>
      </c>
      <c r="G20" s="86">
        <f>SUM($D$11:D20)</f>
        <v>0.4762477000000005</v>
      </c>
      <c r="H20" s="87">
        <f t="shared" si="2"/>
        <v>0.42625682397957004</v>
      </c>
      <c r="I20" s="120"/>
      <c r="J20" s="75">
        <f t="shared" si="4"/>
        <v>0.79999999999999993</v>
      </c>
      <c r="K20" s="75">
        <v>1.8182117373455822</v>
      </c>
    </row>
    <row r="21" spans="1:11" x14ac:dyDescent="0.3">
      <c r="A21" s="121">
        <v>11</v>
      </c>
      <c r="B21">
        <v>0</v>
      </c>
      <c r="C21" s="119">
        <f t="shared" si="3"/>
        <v>2.1428743099999998</v>
      </c>
      <c r="D21" s="86">
        <f t="shared" si="0"/>
        <v>-2.1428743099999998</v>
      </c>
      <c r="E21" s="119">
        <f t="shared" si="1"/>
        <v>2.1428743099999998</v>
      </c>
      <c r="F21" s="119">
        <f>AVERAGE($E$11:E21)</f>
        <v>1.2105147281818183</v>
      </c>
      <c r="G21" s="86">
        <f>SUM($D$11:D21)</f>
        <v>-1.6666266099999993</v>
      </c>
      <c r="H21" s="87">
        <f t="shared" si="2"/>
        <v>-1.3767916830745686</v>
      </c>
      <c r="I21" s="120"/>
      <c r="J21" s="75">
        <f t="shared" si="4"/>
        <v>0.89999999999999991</v>
      </c>
      <c r="K21" s="75">
        <v>1.8859005251523027</v>
      </c>
    </row>
    <row r="22" spans="1:11" x14ac:dyDescent="0.3">
      <c r="A22" s="121">
        <v>12</v>
      </c>
      <c r="B22">
        <v>1</v>
      </c>
      <c r="C22" s="119">
        <f t="shared" si="3"/>
        <v>1.5000120169999998</v>
      </c>
      <c r="D22" s="86">
        <f t="shared" si="0"/>
        <v>-0.50001201699999975</v>
      </c>
      <c r="E22" s="119">
        <f t="shared" si="1"/>
        <v>0.50001201699999975</v>
      </c>
      <c r="F22" s="119">
        <f>AVERAGE($E$11:E22)</f>
        <v>1.1513061689166666</v>
      </c>
      <c r="G22" s="86">
        <f>SUM($D$11:D22)</f>
        <v>-2.1666386269999993</v>
      </c>
      <c r="H22" s="87">
        <f t="shared" si="2"/>
        <v>-1.881896132840772</v>
      </c>
      <c r="I22" s="120"/>
      <c r="J22" s="75">
        <f t="shared" si="4"/>
        <v>0.99999999999999989</v>
      </c>
      <c r="K22" s="75">
        <v>1.9523809523809523</v>
      </c>
    </row>
    <row r="23" spans="1:11" x14ac:dyDescent="0.3">
      <c r="A23" s="121">
        <v>13</v>
      </c>
      <c r="B23">
        <v>3</v>
      </c>
      <c r="C23" s="119">
        <f t="shared" si="3"/>
        <v>1.3500084118999998</v>
      </c>
      <c r="D23" s="86">
        <f t="shared" si="0"/>
        <v>1.6499915881000002</v>
      </c>
      <c r="E23" s="119">
        <f t="shared" si="1"/>
        <v>1.6499915881000002</v>
      </c>
      <c r="F23" s="119">
        <f>AVERAGE($E$11:E23)</f>
        <v>1.1896665857769231</v>
      </c>
      <c r="G23" s="86">
        <f>SUM($D$11:D23)</f>
        <v>-0.51664703889999908</v>
      </c>
      <c r="H23" s="87">
        <f t="shared" si="2"/>
        <v>-0.4342788518033377</v>
      </c>
      <c r="I23" s="120"/>
    </row>
    <row r="24" spans="1:11" x14ac:dyDescent="0.3">
      <c r="A24" s="121">
        <v>14</v>
      </c>
      <c r="B24">
        <v>3</v>
      </c>
      <c r="C24" s="119">
        <f t="shared" si="3"/>
        <v>1.8450058883299998</v>
      </c>
      <c r="D24" s="86">
        <f t="shared" si="0"/>
        <v>1.1549941116700002</v>
      </c>
      <c r="E24" s="119">
        <f t="shared" si="1"/>
        <v>1.1549941116700002</v>
      </c>
      <c r="F24" s="119">
        <f>AVERAGE($E$11:E24)</f>
        <v>1.1871899804835715</v>
      </c>
      <c r="G24" s="86">
        <f>SUM($D$11:D24)</f>
        <v>0.63834707277000113</v>
      </c>
      <c r="H24" s="87">
        <f t="shared" si="2"/>
        <v>0.53769580544302331</v>
      </c>
      <c r="I24" s="120"/>
      <c r="K24" s="75">
        <f>MIN(K12:K22)</f>
        <v>1.4047619047619047</v>
      </c>
    </row>
    <row r="25" spans="1:11" x14ac:dyDescent="0.3">
      <c r="A25" s="121">
        <v>15</v>
      </c>
      <c r="B25">
        <v>2</v>
      </c>
      <c r="C25" s="119">
        <f t="shared" si="3"/>
        <v>2.1915041218309996</v>
      </c>
      <c r="D25" s="86">
        <f t="shared" si="0"/>
        <v>-0.19150412183099963</v>
      </c>
      <c r="E25" s="119">
        <f t="shared" si="1"/>
        <v>0.19150412183099963</v>
      </c>
      <c r="F25" s="119">
        <f>AVERAGE($E$11:E25)</f>
        <v>1.1208109232400667</v>
      </c>
      <c r="G25" s="86">
        <f>SUM($D$11:D25)</f>
        <v>0.4468429509390015</v>
      </c>
      <c r="H25" s="87">
        <f t="shared" si="2"/>
        <v>0.39867826202769091</v>
      </c>
      <c r="I25" s="120"/>
    </row>
    <row r="26" spans="1:11" x14ac:dyDescent="0.3">
      <c r="A26" s="121">
        <v>16</v>
      </c>
      <c r="B26">
        <v>1</v>
      </c>
      <c r="C26" s="119">
        <f t="shared" si="3"/>
        <v>2.1340528852816996</v>
      </c>
      <c r="D26" s="86">
        <f t="shared" si="0"/>
        <v>-1.1340528852816996</v>
      </c>
      <c r="E26" s="119">
        <f t="shared" si="1"/>
        <v>1.1340528852816996</v>
      </c>
      <c r="F26" s="119">
        <f>AVERAGE($E$11:E26)</f>
        <v>1.1216385458676688</v>
      </c>
      <c r="G26" s="86">
        <f>SUM($D$11:D26)</f>
        <v>-0.68720993434269806</v>
      </c>
      <c r="H26" s="87">
        <f t="shared" si="2"/>
        <v>-0.61268394963289297</v>
      </c>
      <c r="I26" s="120"/>
    </row>
    <row r="27" spans="1:11" x14ac:dyDescent="0.3">
      <c r="A27" s="121">
        <v>17</v>
      </c>
      <c r="B27">
        <v>6</v>
      </c>
      <c r="C27" s="119">
        <f t="shared" si="3"/>
        <v>1.7938370196971896</v>
      </c>
      <c r="D27" s="86">
        <f t="shared" si="0"/>
        <v>4.2061629803028104</v>
      </c>
      <c r="E27" s="119">
        <f t="shared" si="1"/>
        <v>4.2061629803028104</v>
      </c>
      <c r="F27" s="119">
        <f>AVERAGE($E$11:E27)</f>
        <v>1.3030811596579712</v>
      </c>
      <c r="G27" s="86">
        <f>SUM($D$11:D27)</f>
        <v>3.5189530459601124</v>
      </c>
      <c r="H27" s="87">
        <f t="shared" si="2"/>
        <v>2.7004864738308063</v>
      </c>
      <c r="I27" s="120"/>
    </row>
    <row r="28" spans="1:11" x14ac:dyDescent="0.3">
      <c r="A28" s="121">
        <v>18</v>
      </c>
      <c r="B28">
        <v>1</v>
      </c>
      <c r="C28" s="119">
        <f t="shared" si="3"/>
        <v>3.0556859137880323</v>
      </c>
      <c r="D28" s="86">
        <f t="shared" si="0"/>
        <v>-2.0556859137880323</v>
      </c>
      <c r="E28" s="119">
        <f t="shared" si="1"/>
        <v>2.0556859137880323</v>
      </c>
      <c r="F28" s="119">
        <f>AVERAGE($E$11:E28)</f>
        <v>1.344892534887419</v>
      </c>
      <c r="G28" s="86">
        <f>SUM($D$11:D28)</f>
        <v>1.46326713217208</v>
      </c>
      <c r="H28" s="87">
        <f t="shared" si="2"/>
        <v>1.0880178856034546</v>
      </c>
      <c r="I28" s="120"/>
    </row>
    <row r="29" spans="1:11" x14ac:dyDescent="0.3">
      <c r="A29" s="121">
        <v>19</v>
      </c>
      <c r="B29">
        <v>2</v>
      </c>
      <c r="C29" s="119">
        <f t="shared" si="3"/>
        <v>2.4389801396516222</v>
      </c>
      <c r="D29" s="86">
        <f t="shared" si="0"/>
        <v>-0.43898013965162219</v>
      </c>
      <c r="E29" s="119">
        <f t="shared" si="1"/>
        <v>0.43898013965162219</v>
      </c>
      <c r="F29" s="119">
        <f>AVERAGE($E$11:E29)</f>
        <v>1.2972129351381667</v>
      </c>
      <c r="G29" s="86">
        <f>SUM($D$11:D29)</f>
        <v>1.0242869925204579</v>
      </c>
      <c r="H29" s="87">
        <f t="shared" si="2"/>
        <v>0.78960590414661613</v>
      </c>
      <c r="I29" s="120"/>
    </row>
    <row r="30" spans="1:11" x14ac:dyDescent="0.3">
      <c r="A30" s="121">
        <v>20</v>
      </c>
      <c r="B30">
        <v>1</v>
      </c>
      <c r="C30" s="119">
        <f t="shared" si="3"/>
        <v>2.3072860977561356</v>
      </c>
      <c r="D30" s="86">
        <f t="shared" si="0"/>
        <v>-1.3072860977561356</v>
      </c>
      <c r="E30" s="119">
        <f t="shared" si="1"/>
        <v>1.3072860977561356</v>
      </c>
      <c r="F30" s="119">
        <f>AVERAGE($E$11:E30)</f>
        <v>1.2977165932690651</v>
      </c>
      <c r="G30" s="86">
        <f>SUM($D$11:D30)</f>
        <v>-0.28299910523567773</v>
      </c>
      <c r="H30" s="87">
        <f t="shared" si="2"/>
        <v>-0.21807466029449271</v>
      </c>
      <c r="I30" s="120"/>
    </row>
    <row r="31" spans="1:11" x14ac:dyDescent="0.3">
      <c r="A31" s="121">
        <v>21</v>
      </c>
      <c r="B31">
        <v>2</v>
      </c>
      <c r="C31" s="119">
        <f t="shared" si="3"/>
        <v>1.9151002684292948</v>
      </c>
      <c r="D31" s="86">
        <f t="shared" si="0"/>
        <v>8.4899731570705184E-2</v>
      </c>
      <c r="E31" s="119">
        <f t="shared" si="1"/>
        <v>8.4899731570705184E-2</v>
      </c>
      <c r="F31" s="119">
        <f>AVERAGE($E$11:E31)</f>
        <v>1.2399634093786669</v>
      </c>
      <c r="G31" s="86">
        <f>SUM($D$11:D31)</f>
        <v>-0.19809937366497254</v>
      </c>
      <c r="H31" s="87">
        <f t="shared" si="2"/>
        <v>-0.15976227376277025</v>
      </c>
      <c r="I31" s="120"/>
    </row>
    <row r="32" spans="1:11" x14ac:dyDescent="0.3">
      <c r="A32" s="121">
        <v>22</v>
      </c>
      <c r="B32">
        <v>3</v>
      </c>
      <c r="C32" s="119">
        <f t="shared" si="3"/>
        <v>1.9405701879005064</v>
      </c>
      <c r="D32" s="86">
        <f t="shared" si="0"/>
        <v>1.0594298120994936</v>
      </c>
      <c r="E32" s="119">
        <f t="shared" si="1"/>
        <v>1.0594298120994936</v>
      </c>
      <c r="F32" s="119">
        <f>AVERAGE($E$11:E32)</f>
        <v>1.2317573367750683</v>
      </c>
      <c r="G32" s="86">
        <f>SUM($D$11:D32)</f>
        <v>0.86133043843452106</v>
      </c>
      <c r="H32" s="87">
        <f t="shared" si="2"/>
        <v>0.69926958234291314</v>
      </c>
      <c r="I32" s="120"/>
    </row>
    <row r="33" spans="1:9" x14ac:dyDescent="0.3">
      <c r="A33" s="121">
        <v>23</v>
      </c>
      <c r="B33">
        <v>3</v>
      </c>
      <c r="C33" s="119">
        <f t="shared" si="3"/>
        <v>2.2583991315303544</v>
      </c>
      <c r="D33" s="86">
        <f t="shared" si="0"/>
        <v>0.74160086846964557</v>
      </c>
      <c r="E33" s="119">
        <f t="shared" si="1"/>
        <v>0.74160086846964557</v>
      </c>
      <c r="F33" s="119">
        <f>AVERAGE($E$11:E33)</f>
        <v>1.2104461859791804</v>
      </c>
      <c r="G33" s="86">
        <f>SUM($D$11:D33)</f>
        <v>1.6029313069041666</v>
      </c>
      <c r="H33" s="87">
        <f t="shared" si="2"/>
        <v>1.3242483023790841</v>
      </c>
      <c r="I33" s="120"/>
    </row>
    <row r="34" spans="1:9" x14ac:dyDescent="0.3">
      <c r="A34" s="121">
        <v>24</v>
      </c>
      <c r="B34">
        <v>3</v>
      </c>
      <c r="C34" s="119">
        <f t="shared" si="3"/>
        <v>2.4808793920712482</v>
      </c>
      <c r="D34" s="86">
        <f t="shared" si="0"/>
        <v>0.51912060792875181</v>
      </c>
      <c r="E34" s="119">
        <f t="shared" si="1"/>
        <v>0.51912060792875181</v>
      </c>
      <c r="F34" s="119">
        <f>AVERAGE($E$11:E34)</f>
        <v>1.1816409535604124</v>
      </c>
      <c r="G34" s="86">
        <f>SUM($D$11:D34)</f>
        <v>2.1220519148329187</v>
      </c>
      <c r="H34" s="87">
        <f t="shared" si="2"/>
        <v>1.7958516996545744</v>
      </c>
      <c r="I34" s="120"/>
    </row>
    <row r="35" spans="1:9" x14ac:dyDescent="0.3">
      <c r="A35" s="121">
        <v>25</v>
      </c>
      <c r="B35">
        <v>3</v>
      </c>
      <c r="C35" s="119">
        <f t="shared" si="3"/>
        <v>2.6366155744498734</v>
      </c>
      <c r="D35" s="86">
        <f t="shared" si="0"/>
        <v>0.36338442555012662</v>
      </c>
      <c r="E35" s="119">
        <f t="shared" si="1"/>
        <v>0.36338442555012662</v>
      </c>
      <c r="F35" s="119">
        <f>AVERAGE($E$11:E35)</f>
        <v>1.148910692440001</v>
      </c>
      <c r="G35" s="86">
        <f>SUM($D$11:D35)</f>
        <v>2.4854363403830453</v>
      </c>
      <c r="H35" s="87">
        <f t="shared" si="2"/>
        <v>2.1632981194600913</v>
      </c>
      <c r="I35" s="120"/>
    </row>
    <row r="36" spans="1:9" x14ac:dyDescent="0.3">
      <c r="A36" s="121">
        <v>26</v>
      </c>
      <c r="B36">
        <v>5</v>
      </c>
      <c r="C36" s="119">
        <f t="shared" si="3"/>
        <v>2.745630902114911</v>
      </c>
      <c r="D36" s="86">
        <f t="shared" si="0"/>
        <v>2.254369097885089</v>
      </c>
      <c r="E36" s="119">
        <f t="shared" si="1"/>
        <v>2.254369097885089</v>
      </c>
      <c r="F36" s="119">
        <f>AVERAGE($E$11:E36)</f>
        <v>1.1914283234186582</v>
      </c>
      <c r="G36" s="86">
        <f>SUM($D$11:D36)</f>
        <v>4.7398054382681343</v>
      </c>
      <c r="H36" s="87">
        <f t="shared" si="2"/>
        <v>3.9782547930939236</v>
      </c>
      <c r="I36" s="120"/>
    </row>
    <row r="37" spans="1:9" x14ac:dyDescent="0.3">
      <c r="A37" s="121">
        <v>27</v>
      </c>
      <c r="B37">
        <v>4</v>
      </c>
      <c r="C37" s="119">
        <f t="shared" si="3"/>
        <v>3.4219416314804376</v>
      </c>
      <c r="D37" s="86">
        <f t="shared" si="0"/>
        <v>0.57805836851956238</v>
      </c>
      <c r="E37" s="119">
        <f t="shared" si="1"/>
        <v>0.57805836851956238</v>
      </c>
      <c r="F37" s="119">
        <f>AVERAGE($E$11:E37)</f>
        <v>1.1687109176816548</v>
      </c>
      <c r="G37" s="86">
        <f>SUM($D$11:D37)</f>
        <v>5.3178638067876971</v>
      </c>
      <c r="H37" s="87">
        <f t="shared" si="2"/>
        <v>4.5501960547580254</v>
      </c>
      <c r="I37" s="120"/>
    </row>
    <row r="38" spans="1:9" x14ac:dyDescent="0.3">
      <c r="A38" s="121">
        <v>28</v>
      </c>
      <c r="B38">
        <v>2</v>
      </c>
      <c r="C38" s="119">
        <f t="shared" si="3"/>
        <v>3.5953591420363065</v>
      </c>
      <c r="D38" s="86">
        <f t="shared" si="0"/>
        <v>-1.5953591420363065</v>
      </c>
      <c r="E38" s="119">
        <f t="shared" si="1"/>
        <v>1.5953591420363065</v>
      </c>
      <c r="F38" s="119">
        <f>AVERAGE($E$11:E38)</f>
        <v>1.1839483542657496</v>
      </c>
      <c r="G38" s="86">
        <f>SUM($D$11:D38)</f>
        <v>3.7225046647513906</v>
      </c>
      <c r="H38" s="87">
        <f t="shared" si="2"/>
        <v>3.1441444648655978</v>
      </c>
      <c r="I38" s="120"/>
    </row>
    <row r="39" spans="1:9" x14ac:dyDescent="0.3">
      <c r="A39" s="121">
        <v>29</v>
      </c>
      <c r="B39">
        <v>1</v>
      </c>
      <c r="C39" s="119">
        <f t="shared" si="3"/>
        <v>3.1167513994254143</v>
      </c>
      <c r="D39" s="86">
        <f t="shared" si="0"/>
        <v>-2.1167513994254143</v>
      </c>
      <c r="E39" s="119">
        <f t="shared" si="1"/>
        <v>2.1167513994254143</v>
      </c>
      <c r="F39" s="119">
        <f>AVERAGE($E$11:E39)</f>
        <v>1.2161139765126348</v>
      </c>
      <c r="G39" s="86">
        <f>SUM($D$11:D39)</f>
        <v>1.6057532653259763</v>
      </c>
      <c r="H39" s="87">
        <f t="shared" si="2"/>
        <v>1.320397015689831</v>
      </c>
      <c r="I39" s="120"/>
    </row>
    <row r="40" spans="1:9" x14ac:dyDescent="0.3">
      <c r="A40" s="121">
        <v>30</v>
      </c>
      <c r="B40">
        <v>2</v>
      </c>
      <c r="C40" s="119">
        <f t="shared" si="3"/>
        <v>2.4817259795977895</v>
      </c>
      <c r="D40" s="86">
        <f t="shared" si="0"/>
        <v>-0.48172597959778951</v>
      </c>
      <c r="E40" s="119">
        <f t="shared" si="1"/>
        <v>0.48172597959778951</v>
      </c>
      <c r="F40" s="119">
        <f>AVERAGE($E$11:E40)</f>
        <v>1.1916343766154731</v>
      </c>
      <c r="G40" s="86">
        <f>SUM($D$11:D40)</f>
        <v>1.1240272857281868</v>
      </c>
      <c r="H40" s="87">
        <f t="shared" si="2"/>
        <v>0.94326523956172981</v>
      </c>
      <c r="I40" s="120"/>
    </row>
    <row r="41" spans="1:9" x14ac:dyDescent="0.3">
      <c r="A41" s="121">
        <v>31</v>
      </c>
      <c r="B41">
        <v>2</v>
      </c>
      <c r="C41" s="119">
        <f t="shared" si="3"/>
        <v>2.3372081857184526</v>
      </c>
      <c r="D41" s="86">
        <f t="shared" si="0"/>
        <v>-0.33720818571845257</v>
      </c>
      <c r="E41" s="119">
        <f t="shared" si="1"/>
        <v>0.33720818571845257</v>
      </c>
      <c r="F41" s="119">
        <f>AVERAGE($E$11:E41)</f>
        <v>1.1640722414252467</v>
      </c>
      <c r="G41" s="86">
        <f>SUM($D$11:D41)</f>
        <v>0.78681910000973421</v>
      </c>
      <c r="H41" s="87">
        <f t="shared" si="2"/>
        <v>0.67591947648058526</v>
      </c>
      <c r="I41" s="120"/>
    </row>
    <row r="42" spans="1:9" x14ac:dyDescent="0.3">
      <c r="A42" s="121">
        <v>32</v>
      </c>
      <c r="B42">
        <v>7</v>
      </c>
      <c r="C42" s="119">
        <f t="shared" si="3"/>
        <v>2.2360457300029166</v>
      </c>
      <c r="D42" s="86">
        <f t="shared" si="0"/>
        <v>4.7639542699970834</v>
      </c>
      <c r="E42" s="119">
        <f t="shared" si="1"/>
        <v>4.7639542699970834</v>
      </c>
      <c r="F42" s="119">
        <f>AVERAGE($E$11:E42)</f>
        <v>1.2765685548181167</v>
      </c>
      <c r="G42" s="86">
        <f>SUM($D$11:D42)</f>
        <v>5.5507733700068176</v>
      </c>
      <c r="H42" s="87">
        <f t="shared" si="2"/>
        <v>4.3481984175911981</v>
      </c>
      <c r="I42" s="120"/>
    </row>
    <row r="43" spans="1:9" x14ac:dyDescent="0.3">
      <c r="A43" s="121">
        <v>33</v>
      </c>
      <c r="B43">
        <v>0</v>
      </c>
      <c r="C43" s="119">
        <f t="shared" si="3"/>
        <v>3.6652320110020415</v>
      </c>
      <c r="D43" s="86">
        <f t="shared" si="0"/>
        <v>-3.6652320110020415</v>
      </c>
      <c r="E43" s="119">
        <f t="shared" si="1"/>
        <v>3.6652320110020415</v>
      </c>
      <c r="F43" s="119">
        <f>AVERAGE($E$11:E43)</f>
        <v>1.3489522959145992</v>
      </c>
      <c r="G43" s="86">
        <f>SUM($D$11:D43)</f>
        <v>1.885541359004776</v>
      </c>
      <c r="H43" s="87">
        <f t="shared" si="2"/>
        <v>1.3977820896374735</v>
      </c>
      <c r="I43" s="120"/>
    </row>
    <row r="44" spans="1:9" x14ac:dyDescent="0.3">
      <c r="A44" s="121">
        <v>34</v>
      </c>
      <c r="B44">
        <v>3</v>
      </c>
      <c r="C44" s="119">
        <f t="shared" si="3"/>
        <v>2.5656624077014287</v>
      </c>
      <c r="D44" s="86">
        <f t="shared" si="0"/>
        <v>0.43433759229857127</v>
      </c>
      <c r="E44" s="119">
        <f t="shared" si="1"/>
        <v>0.43433759229857127</v>
      </c>
      <c r="F44" s="119">
        <f>AVERAGE($E$11:E44)</f>
        <v>1.3220518634553042</v>
      </c>
      <c r="G44" s="86">
        <f>SUM($D$11:D44)</f>
        <v>2.3198789513033473</v>
      </c>
      <c r="H44" s="87">
        <f t="shared" si="2"/>
        <v>1.7547563869696685</v>
      </c>
      <c r="I44" s="120"/>
    </row>
    <row r="45" spans="1:9" x14ac:dyDescent="0.3">
      <c r="A45" s="121">
        <v>35</v>
      </c>
      <c r="B45">
        <v>1</v>
      </c>
      <c r="C45" s="119">
        <f t="shared" si="3"/>
        <v>2.6959636853909998</v>
      </c>
      <c r="D45" s="86">
        <f t="shared" si="0"/>
        <v>-1.6959636853909998</v>
      </c>
      <c r="E45" s="119">
        <f t="shared" si="1"/>
        <v>1.6959636853909998</v>
      </c>
      <c r="F45" s="119">
        <f>AVERAGE($E$11:E45)</f>
        <v>1.3327350583677526</v>
      </c>
      <c r="G45" s="86">
        <f>SUM($D$11:D45)</f>
        <v>0.62391526591234747</v>
      </c>
      <c r="H45" s="87">
        <f t="shared" si="2"/>
        <v>0.4681465096869879</v>
      </c>
      <c r="I45" s="120"/>
    </row>
    <row r="46" spans="1:9" x14ac:dyDescent="0.3">
      <c r="A46" s="121">
        <v>36</v>
      </c>
      <c r="B46">
        <v>5</v>
      </c>
      <c r="C46" s="119">
        <f t="shared" si="3"/>
        <v>2.1871745797736999</v>
      </c>
      <c r="D46" s="86">
        <f t="shared" si="0"/>
        <v>2.8128254202263001</v>
      </c>
      <c r="E46" s="119">
        <f t="shared" si="1"/>
        <v>2.8128254202263001</v>
      </c>
      <c r="F46" s="119">
        <f>AVERAGE($E$11:E46)</f>
        <v>1.3738486795304903</v>
      </c>
      <c r="G46" s="86">
        <f>SUM($D$11:D46)</f>
        <v>3.4367406861386476</v>
      </c>
      <c r="H46" s="87">
        <f t="shared" si="2"/>
        <v>2.5015423731477808</v>
      </c>
      <c r="I46" s="120"/>
    </row>
    <row r="47" spans="1:9" x14ac:dyDescent="0.3">
      <c r="A47" s="121">
        <v>37</v>
      </c>
      <c r="B47">
        <v>2</v>
      </c>
      <c r="C47" s="119">
        <f t="shared" si="3"/>
        <v>3.0310222058415901</v>
      </c>
      <c r="D47" s="86">
        <f t="shared" si="0"/>
        <v>-1.0310222058415901</v>
      </c>
      <c r="E47" s="119">
        <f t="shared" si="1"/>
        <v>1.0310222058415901</v>
      </c>
      <c r="F47" s="119">
        <f>AVERAGE($E$11:E47)</f>
        <v>1.3645830991605199</v>
      </c>
      <c r="G47" s="86">
        <f>SUM($D$11:D47)</f>
        <v>2.4057184802970575</v>
      </c>
      <c r="H47" s="87">
        <f t="shared" si="2"/>
        <v>1.7629695705428532</v>
      </c>
      <c r="I47" s="120"/>
    </row>
    <row r="48" spans="1:9" x14ac:dyDescent="0.3">
      <c r="A48" s="121">
        <v>38</v>
      </c>
      <c r="B48">
        <v>0</v>
      </c>
      <c r="C48" s="119">
        <f t="shared" si="3"/>
        <v>2.721715544089113</v>
      </c>
      <c r="D48" s="86">
        <f t="shared" si="0"/>
        <v>-2.721715544089113</v>
      </c>
      <c r="E48" s="119">
        <f t="shared" si="1"/>
        <v>2.721715544089113</v>
      </c>
      <c r="F48" s="119">
        <f>AVERAGE($E$11:E48)</f>
        <v>1.4002971108691671</v>
      </c>
      <c r="G48" s="86">
        <f>SUM($D$11:D48)</f>
        <v>-0.3159970637920555</v>
      </c>
      <c r="H48" s="87">
        <f t="shared" si="2"/>
        <v>-0.22566429748320735</v>
      </c>
      <c r="I48" s="120"/>
    </row>
    <row r="49" spans="1:9" x14ac:dyDescent="0.3">
      <c r="A49" s="121">
        <v>39</v>
      </c>
      <c r="B49">
        <v>5</v>
      </c>
      <c r="C49" s="119">
        <f t="shared" si="3"/>
        <v>1.905200880862379</v>
      </c>
      <c r="D49" s="86">
        <f t="shared" si="0"/>
        <v>3.0947991191376207</v>
      </c>
      <c r="E49" s="119">
        <f t="shared" si="1"/>
        <v>3.0947991191376207</v>
      </c>
      <c r="F49" s="119">
        <f>AVERAGE($E$11:E49)</f>
        <v>1.4437458803119478</v>
      </c>
      <c r="G49" s="86">
        <f>SUM($D$11:D49)</f>
        <v>2.7788020553455652</v>
      </c>
      <c r="H49" s="87">
        <f t="shared" si="2"/>
        <v>1.9247168724354413</v>
      </c>
      <c r="I49" s="120"/>
    </row>
    <row r="50" spans="1:9" x14ac:dyDescent="0.3">
      <c r="A50" s="121">
        <v>40</v>
      </c>
      <c r="B50">
        <v>5</v>
      </c>
      <c r="C50" s="119">
        <f t="shared" si="3"/>
        <v>2.833640616603665</v>
      </c>
      <c r="D50" s="86">
        <f t="shared" si="0"/>
        <v>2.166359383396335</v>
      </c>
      <c r="E50" s="119">
        <f t="shared" si="1"/>
        <v>2.166359383396335</v>
      </c>
      <c r="F50" s="119">
        <f>AVERAGE($E$11:E50)</f>
        <v>1.4618112178890574</v>
      </c>
      <c r="G50" s="86">
        <f>SUM($D$11:D50)</f>
        <v>4.9451614387419003</v>
      </c>
      <c r="H50" s="87">
        <f t="shared" si="2"/>
        <v>3.3829001845279367</v>
      </c>
      <c r="I50" s="120"/>
    </row>
    <row r="51" spans="1:9" x14ac:dyDescent="0.3">
      <c r="A51" s="121">
        <v>41</v>
      </c>
      <c r="B51">
        <v>0</v>
      </c>
      <c r="C51" s="119">
        <f t="shared" si="3"/>
        <v>3.4835484316225651</v>
      </c>
      <c r="D51" s="86">
        <f t="shared" si="0"/>
        <v>-3.4835484316225651</v>
      </c>
      <c r="E51" s="119">
        <f t="shared" si="1"/>
        <v>3.4835484316225651</v>
      </c>
      <c r="F51" s="119">
        <f>AVERAGE($E$11:E51)</f>
        <v>1.5111218816386554</v>
      </c>
      <c r="G51" s="86">
        <f>SUM($D$11:D51)</f>
        <v>1.4616130071193352</v>
      </c>
      <c r="H51" s="87">
        <f t="shared" si="2"/>
        <v>0.96723700773518484</v>
      </c>
      <c r="I51" s="120"/>
    </row>
    <row r="52" spans="1:9" x14ac:dyDescent="0.3">
      <c r="A52" s="121">
        <v>42</v>
      </c>
      <c r="B52">
        <v>6</v>
      </c>
      <c r="C52" s="119">
        <f t="shared" si="3"/>
        <v>2.4384839021357956</v>
      </c>
      <c r="D52" s="86">
        <f t="shared" si="0"/>
        <v>3.5615160978642044</v>
      </c>
      <c r="E52" s="119">
        <f t="shared" si="1"/>
        <v>3.5615160978642044</v>
      </c>
      <c r="F52" s="119">
        <f>AVERAGE($E$11:E52)</f>
        <v>1.5599407915487875</v>
      </c>
      <c r="G52" s="86">
        <f>SUM($D$11:D52)</f>
        <v>5.0231291049835392</v>
      </c>
      <c r="H52" s="87">
        <f t="shared" si="2"/>
        <v>3.2200767697063197</v>
      </c>
      <c r="I52" s="120"/>
    </row>
    <row r="53" spans="1:9" x14ac:dyDescent="0.3">
      <c r="A53"/>
      <c r="B53">
        <v>6</v>
      </c>
      <c r="C53" s="119">
        <f t="shared" si="3"/>
        <v>3.5069387314950564</v>
      </c>
      <c r="D53" s="86"/>
      <c r="E53" s="119"/>
      <c r="F53" s="119"/>
      <c r="G53" s="86"/>
      <c r="H53" s="86"/>
    </row>
    <row r="54" spans="1:9" x14ac:dyDescent="0.3">
      <c r="A54"/>
      <c r="B54">
        <v>4</v>
      </c>
    </row>
    <row r="55" spans="1:9" x14ac:dyDescent="0.3">
      <c r="A55"/>
      <c r="B55">
        <v>2</v>
      </c>
    </row>
    <row r="56" spans="1:9" x14ac:dyDescent="0.3">
      <c r="A56"/>
      <c r="B56">
        <v>3</v>
      </c>
    </row>
    <row r="57" spans="1:9" x14ac:dyDescent="0.3">
      <c r="A57"/>
      <c r="B57">
        <v>4</v>
      </c>
    </row>
    <row r="58" spans="1:9" x14ac:dyDescent="0.3">
      <c r="A58"/>
      <c r="B58">
        <v>1</v>
      </c>
    </row>
    <row r="59" spans="1:9" x14ac:dyDescent="0.3">
      <c r="A59"/>
      <c r="B59">
        <v>3</v>
      </c>
    </row>
    <row r="60" spans="1:9" x14ac:dyDescent="0.3">
      <c r="A60"/>
      <c r="B60">
        <v>3</v>
      </c>
    </row>
    <row r="61" spans="1:9" x14ac:dyDescent="0.3">
      <c r="A61"/>
      <c r="B61"/>
    </row>
    <row r="62" spans="1:9" x14ac:dyDescent="0.3">
      <c r="A62"/>
      <c r="B62"/>
    </row>
    <row r="63" spans="1:9" x14ac:dyDescent="0.3">
      <c r="A63"/>
      <c r="B63"/>
    </row>
    <row r="64" spans="1:9" x14ac:dyDescent="0.3">
      <c r="A64"/>
      <c r="B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W66"/>
  <sheetViews>
    <sheetView topLeftCell="A2" zoomScale="50" zoomScaleNormal="50" workbookViewId="0">
      <selection activeCell="L41" sqref="L41"/>
    </sheetView>
  </sheetViews>
  <sheetFormatPr defaultColWidth="9.140625" defaultRowHeight="16.5" x14ac:dyDescent="0.3"/>
  <cols>
    <col min="1" max="1" width="4.85546875" style="75" customWidth="1"/>
    <col min="2" max="2" width="5.5703125" style="75" customWidth="1"/>
    <col min="3" max="3" width="7.5703125" style="75" bestFit="1" customWidth="1"/>
    <col min="4" max="4" width="9.5703125" style="75" bestFit="1" customWidth="1"/>
    <col min="5" max="5" width="9.5703125" style="75" customWidth="1"/>
    <col min="6" max="6" width="18.28515625" style="75" customWidth="1"/>
    <col min="7" max="7" width="9.42578125" style="75" bestFit="1" customWidth="1"/>
    <col min="8" max="8" width="17" style="75" customWidth="1"/>
    <col min="9" max="9" width="16.85546875" style="75" customWidth="1"/>
    <col min="10" max="10" width="10.85546875" style="75" customWidth="1"/>
    <col min="11" max="11" width="11.28515625" style="75" customWidth="1"/>
    <col min="12" max="16384" width="9.140625" style="75"/>
  </cols>
  <sheetData>
    <row r="1" spans="1:22" x14ac:dyDescent="0.3">
      <c r="A1" s="88" t="s">
        <v>71</v>
      </c>
      <c r="B1" s="88"/>
      <c r="C1" s="88"/>
      <c r="D1" s="88"/>
      <c r="E1" s="88"/>
      <c r="F1" s="88"/>
      <c r="G1" s="88"/>
      <c r="H1" s="88"/>
      <c r="I1" s="88"/>
      <c r="J1" s="88"/>
    </row>
    <row r="2" spans="1:22" x14ac:dyDescent="0.3">
      <c r="A2" s="88" t="s">
        <v>79</v>
      </c>
      <c r="B2" s="88"/>
      <c r="C2" s="88"/>
      <c r="D2" s="195" t="s">
        <v>97</v>
      </c>
      <c r="E2" s="88">
        <v>0.3</v>
      </c>
      <c r="H2" s="88"/>
      <c r="I2" s="88"/>
      <c r="J2" s="88"/>
    </row>
    <row r="3" spans="1:22" ht="17.25" thickBot="1" x14ac:dyDescent="0.35">
      <c r="A3" s="88" t="s">
        <v>80</v>
      </c>
      <c r="B3" s="88"/>
      <c r="C3" s="88"/>
      <c r="D3" s="88"/>
      <c r="G3" s="88"/>
      <c r="H3" s="88"/>
      <c r="I3" s="75" t="s">
        <v>96</v>
      </c>
      <c r="J3" s="88"/>
    </row>
    <row r="4" spans="1:22" ht="17.25" thickBot="1" x14ac:dyDescent="0.35">
      <c r="A4" s="88" t="s">
        <v>95</v>
      </c>
      <c r="B4" s="88"/>
      <c r="C4" s="88"/>
      <c r="D4" s="88"/>
      <c r="G4" s="88"/>
      <c r="H4" s="88"/>
      <c r="I4" s="178">
        <f>C55</f>
        <v>4.1262144331404942</v>
      </c>
      <c r="J4" s="88"/>
    </row>
    <row r="5" spans="1:22" ht="17.25" thickBot="1" x14ac:dyDescent="0.35">
      <c r="A5" s="88" t="s">
        <v>81</v>
      </c>
      <c r="B5" s="88"/>
      <c r="C5" s="88"/>
      <c r="D5" s="88"/>
      <c r="G5" s="88"/>
      <c r="H5" s="88"/>
      <c r="I5" s="178">
        <f>1.25*F54</f>
        <v>1.665750796215778</v>
      </c>
      <c r="J5" s="88"/>
    </row>
    <row r="6" spans="1:22" x14ac:dyDescent="0.3">
      <c r="A6" s="88" t="s">
        <v>94</v>
      </c>
      <c r="B6" s="88"/>
      <c r="C6" s="88"/>
      <c r="D6" s="88"/>
      <c r="G6" s="88"/>
      <c r="H6" s="88"/>
      <c r="I6" s="88" t="s">
        <v>93</v>
      </c>
      <c r="J6" s="88"/>
    </row>
    <row r="7" spans="1:22" x14ac:dyDescent="0.3">
      <c r="A7" s="88" t="s">
        <v>92</v>
      </c>
      <c r="B7" s="88"/>
      <c r="C7" s="88"/>
      <c r="D7" s="88"/>
      <c r="G7" s="88"/>
      <c r="H7" s="88"/>
      <c r="I7" s="88"/>
      <c r="J7" s="88"/>
    </row>
    <row r="8" spans="1:22" x14ac:dyDescent="0.3">
      <c r="A8" s="88" t="s">
        <v>91</v>
      </c>
      <c r="B8" s="88"/>
      <c r="C8" s="88"/>
      <c r="D8" s="88"/>
      <c r="G8" s="88"/>
      <c r="H8" s="88"/>
      <c r="I8" s="88"/>
      <c r="J8" s="88"/>
    </row>
    <row r="9" spans="1:22" x14ac:dyDescent="0.3">
      <c r="A9" s="89" t="s">
        <v>47</v>
      </c>
      <c r="C9" s="89" t="s">
        <v>67</v>
      </c>
      <c r="F9" s="89" t="s">
        <v>49</v>
      </c>
    </row>
    <row r="10" spans="1:22" x14ac:dyDescent="0.3">
      <c r="A10" s="89" t="s">
        <v>53</v>
      </c>
      <c r="D10" s="75" t="s">
        <v>66</v>
      </c>
      <c r="F10" s="89" t="s">
        <v>49</v>
      </c>
      <c r="I10" s="89"/>
    </row>
    <row r="11" spans="1:22" x14ac:dyDescent="0.3">
      <c r="A11" s="88"/>
      <c r="B11" s="88"/>
      <c r="C11" s="88"/>
      <c r="D11" s="88"/>
      <c r="E11" s="88"/>
      <c r="F11" s="88"/>
      <c r="G11" s="89"/>
      <c r="H11" s="88"/>
      <c r="J11" s="75">
        <v>0.05</v>
      </c>
      <c r="O11" s="75">
        <v>0</v>
      </c>
      <c r="P11" s="75">
        <v>-4</v>
      </c>
      <c r="Q11" s="75">
        <v>4</v>
      </c>
    </row>
    <row r="12" spans="1:22" x14ac:dyDescent="0.3">
      <c r="A12" s="88" t="s">
        <v>31</v>
      </c>
      <c r="B12" s="121" t="s">
        <v>0</v>
      </c>
      <c r="C12" s="121" t="s">
        <v>32</v>
      </c>
      <c r="D12" s="121" t="s">
        <v>42</v>
      </c>
      <c r="E12" s="121" t="s">
        <v>2</v>
      </c>
      <c r="F12" s="121" t="s">
        <v>65</v>
      </c>
      <c r="G12" s="121" t="s">
        <v>64</v>
      </c>
      <c r="H12" s="121" t="s">
        <v>63</v>
      </c>
      <c r="J12" s="75">
        <v>1E-3</v>
      </c>
      <c r="O12" s="75">
        <v>50</v>
      </c>
      <c r="P12" s="75">
        <v>-4</v>
      </c>
      <c r="Q12" s="75">
        <v>4</v>
      </c>
    </row>
    <row r="13" spans="1:22" x14ac:dyDescent="0.3">
      <c r="A13" s="120">
        <v>1</v>
      </c>
      <c r="B13">
        <f>'[2]1. AveInvFlow'!B4</f>
        <v>2</v>
      </c>
      <c r="C13" s="121">
        <f>B13</f>
        <v>2</v>
      </c>
      <c r="D13" s="86">
        <f t="shared" ref="D13:D54" si="0">B13-C13</f>
        <v>0</v>
      </c>
      <c r="E13" s="119">
        <f t="shared" ref="E13:E54" si="1">ABS(D13)</f>
        <v>0</v>
      </c>
      <c r="F13" s="119">
        <f>AVERAGE($E$13:E13)</f>
        <v>0</v>
      </c>
      <c r="G13" s="86">
        <f>SUM($D$13:D13)</f>
        <v>0</v>
      </c>
      <c r="H13" s="87">
        <f t="shared" ref="H13:H54" si="2">IFERROR(G13/F13,0)</f>
        <v>0</v>
      </c>
      <c r="I13" s="120"/>
      <c r="K13" s="99">
        <f>F54</f>
        <v>1.3326006369726224</v>
      </c>
      <c r="V13" s="194"/>
    </row>
    <row r="14" spans="1:22" x14ac:dyDescent="0.3">
      <c r="A14" s="121">
        <v>2</v>
      </c>
      <c r="B14">
        <f>'[2]1. AveInvFlow'!B5</f>
        <v>2</v>
      </c>
      <c r="C14" s="119">
        <f t="shared" ref="C14:C55" si="3">(1-$E$2)*C13+$E$2*B13</f>
        <v>2</v>
      </c>
      <c r="D14" s="86">
        <f t="shared" si="0"/>
        <v>0</v>
      </c>
      <c r="E14" s="119">
        <f t="shared" si="1"/>
        <v>0</v>
      </c>
      <c r="F14" s="119">
        <f>AVERAGE($E$13:E14)</f>
        <v>0</v>
      </c>
      <c r="G14" s="86">
        <f>SUM($D$13:D14)</f>
        <v>0</v>
      </c>
      <c r="H14" s="87">
        <f t="shared" si="2"/>
        <v>0</v>
      </c>
      <c r="I14" s="120"/>
      <c r="J14" s="75">
        <f>J11</f>
        <v>0.05</v>
      </c>
      <c r="K14" s="75">
        <f t="dataTable" ref="K14:K24" dt2D="0" dtr="0" r1="E2"/>
        <v>1.2118088846534329</v>
      </c>
      <c r="V14" s="194"/>
    </row>
    <row r="15" spans="1:22" x14ac:dyDescent="0.3">
      <c r="A15" s="121">
        <v>3</v>
      </c>
      <c r="B15">
        <f>'[2]1. AveInvFlow'!B6</f>
        <v>1</v>
      </c>
      <c r="C15" s="119">
        <f t="shared" si="3"/>
        <v>2</v>
      </c>
      <c r="D15" s="86">
        <f t="shared" si="0"/>
        <v>-1</v>
      </c>
      <c r="E15" s="119">
        <f t="shared" si="1"/>
        <v>1</v>
      </c>
      <c r="F15" s="119">
        <f>AVERAGE($E$13:E15)</f>
        <v>0.33333333333333331</v>
      </c>
      <c r="G15" s="86">
        <f>SUM($D$13:D15)</f>
        <v>-1</v>
      </c>
      <c r="H15" s="87">
        <f t="shared" si="2"/>
        <v>-3</v>
      </c>
      <c r="I15" s="120"/>
      <c r="J15" s="75">
        <f t="shared" ref="J15:J24" si="4">J14+$J$12</f>
        <v>5.1000000000000004E-2</v>
      </c>
      <c r="K15" s="75">
        <v>1.2113555556451772</v>
      </c>
      <c r="V15" s="194"/>
    </row>
    <row r="16" spans="1:22" x14ac:dyDescent="0.3">
      <c r="A16" s="121">
        <v>4</v>
      </c>
      <c r="B16">
        <f>'[2]1. AveInvFlow'!B7</f>
        <v>0</v>
      </c>
      <c r="C16" s="119">
        <f t="shared" si="3"/>
        <v>1.7</v>
      </c>
      <c r="D16" s="86">
        <f t="shared" si="0"/>
        <v>-1.7</v>
      </c>
      <c r="E16" s="119">
        <f t="shared" si="1"/>
        <v>1.7</v>
      </c>
      <c r="F16" s="119">
        <f>AVERAGE($E$13:E16)</f>
        <v>0.67500000000000004</v>
      </c>
      <c r="G16" s="86">
        <f>SUM($D$13:D16)</f>
        <v>-2.7</v>
      </c>
      <c r="H16" s="87">
        <f t="shared" si="2"/>
        <v>-4</v>
      </c>
      <c r="I16" s="120"/>
      <c r="J16" s="75">
        <f t="shared" si="4"/>
        <v>5.2000000000000005E-2</v>
      </c>
      <c r="K16" s="75">
        <v>1.2113446390345506</v>
      </c>
      <c r="V16" s="194"/>
    </row>
    <row r="17" spans="1:22" x14ac:dyDescent="0.3">
      <c r="A17" s="121">
        <v>5</v>
      </c>
      <c r="B17">
        <f>'[2]1. AveInvFlow'!B8</f>
        <v>2</v>
      </c>
      <c r="C17" s="119">
        <f t="shared" si="3"/>
        <v>1.19</v>
      </c>
      <c r="D17" s="86">
        <f t="shared" si="0"/>
        <v>0.81</v>
      </c>
      <c r="E17" s="119">
        <f t="shared" si="1"/>
        <v>0.81</v>
      </c>
      <c r="F17" s="119">
        <f>AVERAGE($E$13:E17)</f>
        <v>0.70200000000000007</v>
      </c>
      <c r="G17" s="86">
        <f>SUM($D$13:D17)</f>
        <v>-1.8900000000000001</v>
      </c>
      <c r="H17" s="87">
        <f t="shared" si="2"/>
        <v>-2.6923076923076921</v>
      </c>
      <c r="I17" s="120"/>
      <c r="J17" s="75">
        <f t="shared" si="4"/>
        <v>5.3000000000000005E-2</v>
      </c>
      <c r="K17" s="75">
        <v>1.2113370214520311</v>
      </c>
      <c r="V17" s="194"/>
    </row>
    <row r="18" spans="1:22" x14ac:dyDescent="0.3">
      <c r="A18" s="121">
        <v>6</v>
      </c>
      <c r="B18">
        <f>'[2]1. AveInvFlow'!B9</f>
        <v>1</v>
      </c>
      <c r="C18" s="119">
        <f t="shared" si="3"/>
        <v>1.4329999999999998</v>
      </c>
      <c r="D18" s="86">
        <f t="shared" si="0"/>
        <v>-0.43299999999999983</v>
      </c>
      <c r="E18" s="119">
        <f t="shared" si="1"/>
        <v>0.43299999999999983</v>
      </c>
      <c r="F18" s="119">
        <f>AVERAGE($E$13:E18)</f>
        <v>0.65716666666666668</v>
      </c>
      <c r="G18" s="86">
        <f>SUM($D$13:D18)</f>
        <v>-2.323</v>
      </c>
      <c r="H18" s="87">
        <f t="shared" si="2"/>
        <v>-3.5348719249302558</v>
      </c>
      <c r="I18" s="120"/>
      <c r="J18" s="75">
        <f t="shared" si="4"/>
        <v>5.4000000000000006E-2</v>
      </c>
      <c r="K18" s="75">
        <v>1.2113327027852627</v>
      </c>
      <c r="V18" s="194"/>
    </row>
    <row r="19" spans="1:22" x14ac:dyDescent="0.3">
      <c r="A19" s="121">
        <v>7</v>
      </c>
      <c r="B19">
        <f>'[2]1. AveInvFlow'!B10</f>
        <v>0</v>
      </c>
      <c r="C19" s="119">
        <f t="shared" si="3"/>
        <v>1.3030999999999999</v>
      </c>
      <c r="D19" s="86">
        <f t="shared" si="0"/>
        <v>-1.3030999999999999</v>
      </c>
      <c r="E19" s="119">
        <f t="shared" si="1"/>
        <v>1.3030999999999999</v>
      </c>
      <c r="F19" s="119">
        <f>AVERAGE($E$13:E19)</f>
        <v>0.74944285714285719</v>
      </c>
      <c r="G19" s="86">
        <f>SUM($D$13:D19)</f>
        <v>-3.6261000000000001</v>
      </c>
      <c r="H19" s="87">
        <f t="shared" si="2"/>
        <v>-4.8383942357179617</v>
      </c>
      <c r="I19" s="120"/>
      <c r="J19" s="75">
        <f t="shared" si="4"/>
        <v>5.5000000000000007E-2</v>
      </c>
      <c r="K19" s="75">
        <v>1.2113316798542437</v>
      </c>
      <c r="V19" s="194"/>
    </row>
    <row r="20" spans="1:22" x14ac:dyDescent="0.3">
      <c r="A20" s="121">
        <v>8</v>
      </c>
      <c r="B20">
        <f>'[2]1. AveInvFlow'!B11</f>
        <v>1</v>
      </c>
      <c r="C20" s="119">
        <f t="shared" si="3"/>
        <v>0.91216999999999993</v>
      </c>
      <c r="D20" s="86">
        <f t="shared" si="0"/>
        <v>8.7830000000000075E-2</v>
      </c>
      <c r="E20" s="119">
        <f t="shared" si="1"/>
        <v>8.7830000000000075E-2</v>
      </c>
      <c r="F20" s="119">
        <f>AVERAGE($E$13:E20)</f>
        <v>0.66674125000000006</v>
      </c>
      <c r="G20" s="86">
        <f>SUM($D$13:D20)</f>
        <v>-3.5382699999999998</v>
      </c>
      <c r="H20" s="87">
        <f t="shared" si="2"/>
        <v>-5.3068113004857578</v>
      </c>
      <c r="I20" s="120"/>
      <c r="J20" s="75">
        <f t="shared" si="4"/>
        <v>5.6000000000000008E-2</v>
      </c>
      <c r="K20" s="75">
        <v>1.2113339465979096</v>
      </c>
      <c r="V20" s="194"/>
    </row>
    <row r="21" spans="1:22" x14ac:dyDescent="0.3">
      <c r="A21" s="121">
        <v>9</v>
      </c>
      <c r="B21">
        <f>'[2]1. AveInvFlow'!B12</f>
        <v>3</v>
      </c>
      <c r="C21" s="119">
        <f t="shared" si="3"/>
        <v>0.93851899999999988</v>
      </c>
      <c r="D21" s="86">
        <f t="shared" si="0"/>
        <v>2.0614810000000001</v>
      </c>
      <c r="E21" s="119">
        <f t="shared" si="1"/>
        <v>2.0614810000000001</v>
      </c>
      <c r="F21" s="119">
        <f>AVERAGE($E$13:E21)</f>
        <v>0.82171233333333349</v>
      </c>
      <c r="G21" s="86">
        <f>SUM($D$13:D21)</f>
        <v>-1.4767889999999997</v>
      </c>
      <c r="H21" s="87">
        <f t="shared" si="2"/>
        <v>-1.797209242326085</v>
      </c>
      <c r="I21" s="120"/>
      <c r="J21" s="75">
        <f t="shared" si="4"/>
        <v>5.7000000000000009E-2</v>
      </c>
      <c r="K21" s="75">
        <v>1.2113394942523681</v>
      </c>
      <c r="V21" s="194"/>
    </row>
    <row r="22" spans="1:22" x14ac:dyDescent="0.3">
      <c r="A22" s="121">
        <v>10</v>
      </c>
      <c r="B22">
        <f>'[2]1. AveInvFlow'!B13</f>
        <v>3</v>
      </c>
      <c r="C22" s="119">
        <f t="shared" si="3"/>
        <v>1.5569632999999998</v>
      </c>
      <c r="D22" s="86">
        <f t="shared" si="0"/>
        <v>1.4430367000000002</v>
      </c>
      <c r="E22" s="119">
        <f t="shared" si="1"/>
        <v>1.4430367000000002</v>
      </c>
      <c r="F22" s="119">
        <f>AVERAGE($E$13:E22)</f>
        <v>0.88384477000000017</v>
      </c>
      <c r="G22" s="86">
        <f>SUM($D$13:D22)</f>
        <v>-3.3752299999999513E-2</v>
      </c>
      <c r="H22" s="87">
        <f t="shared" si="2"/>
        <v>-3.8188040644285881E-2</v>
      </c>
      <c r="I22" s="120"/>
      <c r="J22" s="75">
        <f t="shared" si="4"/>
        <v>5.800000000000001E-2</v>
      </c>
      <c r="K22" s="75">
        <v>1.2113483115211006</v>
      </c>
      <c r="V22" s="194"/>
    </row>
    <row r="23" spans="1:22" x14ac:dyDescent="0.3">
      <c r="A23" s="121">
        <v>11</v>
      </c>
      <c r="B23">
        <f>'[2]1. AveInvFlow'!B14</f>
        <v>1</v>
      </c>
      <c r="C23" s="119">
        <f t="shared" si="3"/>
        <v>1.9898743099999998</v>
      </c>
      <c r="D23" s="86">
        <f t="shared" si="0"/>
        <v>-0.98987430999999981</v>
      </c>
      <c r="E23" s="119">
        <f t="shared" si="1"/>
        <v>0.98987430999999981</v>
      </c>
      <c r="F23" s="119">
        <f>AVERAGE($E$13:E23)</f>
        <v>0.89348381909090913</v>
      </c>
      <c r="G23" s="86">
        <f>SUM($D$13:D23)</f>
        <v>-1.0236266099999993</v>
      </c>
      <c r="H23" s="87">
        <f t="shared" si="2"/>
        <v>-1.1456576919786934</v>
      </c>
      <c r="I23" s="120"/>
      <c r="J23" s="75">
        <f t="shared" si="4"/>
        <v>5.9000000000000011E-2</v>
      </c>
      <c r="K23" s="75">
        <v>1.2113603847374435</v>
      </c>
      <c r="V23" s="194"/>
    </row>
    <row r="24" spans="1:22" x14ac:dyDescent="0.3">
      <c r="A24" s="121">
        <v>12</v>
      </c>
      <c r="B24">
        <f>'[2]1. AveInvFlow'!B15</f>
        <v>2</v>
      </c>
      <c r="C24" s="119">
        <f t="shared" si="3"/>
        <v>1.6929120169999998</v>
      </c>
      <c r="D24" s="86">
        <f t="shared" si="0"/>
        <v>0.30708798300000018</v>
      </c>
      <c r="E24" s="119">
        <f t="shared" si="1"/>
        <v>0.30708798300000018</v>
      </c>
      <c r="F24" s="119">
        <f>AVERAGE($E$13:E24)</f>
        <v>0.84461749941666675</v>
      </c>
      <c r="G24" s="86">
        <f>SUM($D$13:D24)</f>
        <v>-0.71653862699999915</v>
      </c>
      <c r="H24" s="87">
        <f t="shared" si="2"/>
        <v>-0.8483587274652431</v>
      </c>
      <c r="I24" s="120"/>
      <c r="J24" s="75">
        <f t="shared" si="4"/>
        <v>6.0000000000000012E-2</v>
      </c>
      <c r="K24" s="75">
        <v>1.2113756980196524</v>
      </c>
      <c r="V24" s="194"/>
    </row>
    <row r="25" spans="1:22" x14ac:dyDescent="0.3">
      <c r="A25" s="121">
        <v>13</v>
      </c>
      <c r="B25">
        <f>'[2]1. AveInvFlow'!B16</f>
        <v>3</v>
      </c>
      <c r="C25" s="119">
        <f t="shared" si="3"/>
        <v>1.7850384118999996</v>
      </c>
      <c r="D25" s="86">
        <f t="shared" si="0"/>
        <v>1.2149615881000004</v>
      </c>
      <c r="E25" s="119">
        <f t="shared" si="1"/>
        <v>1.2149615881000004</v>
      </c>
      <c r="F25" s="119">
        <f>AVERAGE($E$13:E25)</f>
        <v>0.87310550623846173</v>
      </c>
      <c r="G25" s="86">
        <f>SUM($D$13:D25)</f>
        <v>0.49842296110000128</v>
      </c>
      <c r="H25" s="87">
        <f t="shared" si="2"/>
        <v>0.5708622354786439</v>
      </c>
      <c r="I25" s="120"/>
      <c r="V25" s="194"/>
    </row>
    <row r="26" spans="1:22" x14ac:dyDescent="0.3">
      <c r="A26" s="121">
        <v>14</v>
      </c>
      <c r="B26">
        <f>'[2]1. AveInvFlow'!B17</f>
        <v>2</v>
      </c>
      <c r="C26" s="119">
        <f t="shared" si="3"/>
        <v>2.1495268883299996</v>
      </c>
      <c r="D26" s="86">
        <f t="shared" si="0"/>
        <v>-0.14952688832999961</v>
      </c>
      <c r="E26" s="119">
        <f t="shared" si="1"/>
        <v>0.14952688832999961</v>
      </c>
      <c r="F26" s="119">
        <f>AVERAGE($E$13:E26)</f>
        <v>0.82142131924500017</v>
      </c>
      <c r="G26" s="86">
        <f>SUM($D$13:D26)</f>
        <v>0.34889607277000168</v>
      </c>
      <c r="H26" s="87">
        <f t="shared" si="2"/>
        <v>0.4247467950925421</v>
      </c>
      <c r="I26" s="120"/>
      <c r="K26" s="75">
        <f>MIN(K14:K24)</f>
        <v>1.2113316798542437</v>
      </c>
      <c r="V26" s="194"/>
    </row>
    <row r="27" spans="1:22" x14ac:dyDescent="0.3">
      <c r="A27" s="121">
        <v>15</v>
      </c>
      <c r="B27">
        <f>'[2]1. AveInvFlow'!B18</f>
        <v>2</v>
      </c>
      <c r="C27" s="119">
        <f t="shared" si="3"/>
        <v>2.1046688218309995</v>
      </c>
      <c r="D27" s="86">
        <f t="shared" si="0"/>
        <v>-0.10466882183099946</v>
      </c>
      <c r="E27" s="119">
        <f t="shared" si="1"/>
        <v>0.10466882183099946</v>
      </c>
      <c r="F27" s="119">
        <f>AVERAGE($E$13:E27)</f>
        <v>0.77363781941740017</v>
      </c>
      <c r="G27" s="86">
        <f>SUM($D$13:D27)</f>
        <v>0.24422725093900222</v>
      </c>
      <c r="H27" s="87">
        <f t="shared" si="2"/>
        <v>0.3156868043536461</v>
      </c>
      <c r="I27" s="120"/>
      <c r="V27" s="194"/>
    </row>
    <row r="28" spans="1:22" x14ac:dyDescent="0.3">
      <c r="A28" s="121">
        <v>16</v>
      </c>
      <c r="B28">
        <f>'[2]1. AveInvFlow'!B19</f>
        <v>5</v>
      </c>
      <c r="C28" s="119">
        <f t="shared" si="3"/>
        <v>2.0732681752816995</v>
      </c>
      <c r="D28" s="86">
        <f t="shared" si="0"/>
        <v>2.9267318247183005</v>
      </c>
      <c r="E28" s="119">
        <f t="shared" si="1"/>
        <v>2.9267318247183005</v>
      </c>
      <c r="F28" s="119">
        <f>AVERAGE($E$13:E28)</f>
        <v>0.90820619474870645</v>
      </c>
      <c r="G28" s="86">
        <f>SUM($D$13:D28)</f>
        <v>3.1709590756573025</v>
      </c>
      <c r="H28" s="87">
        <f t="shared" si="2"/>
        <v>3.4914528154420728</v>
      </c>
      <c r="I28" s="120"/>
      <c r="V28" s="194"/>
    </row>
    <row r="29" spans="1:22" x14ac:dyDescent="0.3">
      <c r="A29" s="121">
        <v>17</v>
      </c>
      <c r="B29">
        <f>'[2]1. AveInvFlow'!B20</f>
        <v>2</v>
      </c>
      <c r="C29" s="119">
        <f t="shared" si="3"/>
        <v>2.9512877226971899</v>
      </c>
      <c r="D29" s="86">
        <f t="shared" si="0"/>
        <v>-0.95128772269718986</v>
      </c>
      <c r="E29" s="119">
        <f t="shared" si="1"/>
        <v>0.95128772269718986</v>
      </c>
      <c r="F29" s="119">
        <f>AVERAGE($E$13:E29)</f>
        <v>0.91074040227508779</v>
      </c>
      <c r="G29" s="86">
        <f>SUM($D$13:D29)</f>
        <v>2.2196713529601126</v>
      </c>
      <c r="H29" s="87">
        <f t="shared" si="2"/>
        <v>2.4372162994144451</v>
      </c>
      <c r="I29" s="120"/>
      <c r="V29" s="194"/>
    </row>
    <row r="30" spans="1:22" x14ac:dyDescent="0.3">
      <c r="A30" s="121">
        <v>18</v>
      </c>
      <c r="B30">
        <f>'[2]1. AveInvFlow'!B21</f>
        <v>2</v>
      </c>
      <c r="C30" s="119">
        <f t="shared" si="3"/>
        <v>2.6659014058880328</v>
      </c>
      <c r="D30" s="86">
        <f t="shared" si="0"/>
        <v>-0.66590140588803282</v>
      </c>
      <c r="E30" s="119">
        <f t="shared" si="1"/>
        <v>0.66590140588803282</v>
      </c>
      <c r="F30" s="119">
        <f>AVERAGE($E$13:E30)</f>
        <v>0.89713823580914032</v>
      </c>
      <c r="G30" s="86">
        <f>SUM($D$13:D30)</f>
        <v>1.5537699470720798</v>
      </c>
      <c r="H30" s="87">
        <f t="shared" si="2"/>
        <v>1.7319180980740556</v>
      </c>
      <c r="I30" s="120"/>
      <c r="V30" s="194"/>
    </row>
    <row r="31" spans="1:22" x14ac:dyDescent="0.3">
      <c r="A31" s="121">
        <v>19</v>
      </c>
      <c r="B31">
        <f>'[2]1. AveInvFlow'!B22</f>
        <v>1</v>
      </c>
      <c r="C31" s="119">
        <f t="shared" si="3"/>
        <v>2.466130984121623</v>
      </c>
      <c r="D31" s="86">
        <f t="shared" si="0"/>
        <v>-1.466130984121623</v>
      </c>
      <c r="E31" s="119">
        <f t="shared" si="1"/>
        <v>1.466130984121623</v>
      </c>
      <c r="F31" s="119">
        <f>AVERAGE($E$13:E31)</f>
        <v>0.92708522256242887</v>
      </c>
      <c r="G31" s="86">
        <f>SUM($D$13:D31)</f>
        <v>8.7638962950456811E-2</v>
      </c>
      <c r="H31" s="87">
        <f t="shared" si="2"/>
        <v>9.4531722453978936E-2</v>
      </c>
      <c r="I31" s="120"/>
      <c r="V31" s="194"/>
    </row>
    <row r="32" spans="1:22" x14ac:dyDescent="0.3">
      <c r="A32" s="121">
        <v>20</v>
      </c>
      <c r="B32">
        <f>'[2]1. AveInvFlow'!B23</f>
        <v>2</v>
      </c>
      <c r="C32" s="119">
        <f t="shared" si="3"/>
        <v>2.0262916888851361</v>
      </c>
      <c r="D32" s="86">
        <f t="shared" si="0"/>
        <v>-2.6291688885136111E-2</v>
      </c>
      <c r="E32" s="119">
        <f t="shared" si="1"/>
        <v>2.6291688885136111E-2</v>
      </c>
      <c r="F32" s="119">
        <f>AVERAGE($E$13:E32)</f>
        <v>0.8820455458785641</v>
      </c>
      <c r="G32" s="86">
        <f>SUM($D$13:D32)</f>
        <v>6.13472740653207E-2</v>
      </c>
      <c r="H32" s="87">
        <f t="shared" si="2"/>
        <v>6.9551140926873076E-2</v>
      </c>
      <c r="I32" s="120"/>
      <c r="V32" s="194"/>
    </row>
    <row r="33" spans="1:22" x14ac:dyDescent="0.3">
      <c r="A33" s="121">
        <v>21</v>
      </c>
      <c r="B33">
        <f>'[2]1. AveInvFlow'!B24</f>
        <v>3</v>
      </c>
      <c r="C33" s="119">
        <f t="shared" si="3"/>
        <v>2.0184041822195953</v>
      </c>
      <c r="D33" s="86">
        <f t="shared" si="0"/>
        <v>0.98159581778040472</v>
      </c>
      <c r="E33" s="119">
        <f t="shared" si="1"/>
        <v>0.98159581778040472</v>
      </c>
      <c r="F33" s="119">
        <f>AVERAGE($E$13:E33)</f>
        <v>0.88678603501674702</v>
      </c>
      <c r="G33" s="86">
        <f>SUM($D$13:D33)</f>
        <v>1.0429430918457254</v>
      </c>
      <c r="H33" s="87">
        <f t="shared" si="2"/>
        <v>1.1760932746601376</v>
      </c>
      <c r="I33" s="120"/>
      <c r="V33" s="194"/>
    </row>
    <row r="34" spans="1:22" x14ac:dyDescent="0.3">
      <c r="A34" s="121">
        <v>22</v>
      </c>
      <c r="B34">
        <f>'[2]1. AveInvFlow'!B25</f>
        <v>3</v>
      </c>
      <c r="C34" s="119">
        <f t="shared" si="3"/>
        <v>2.3128829275537166</v>
      </c>
      <c r="D34" s="86">
        <f t="shared" si="0"/>
        <v>0.68711707244628339</v>
      </c>
      <c r="E34" s="119">
        <f t="shared" si="1"/>
        <v>0.68711707244628339</v>
      </c>
      <c r="F34" s="119">
        <f>AVERAGE($E$13:E34)</f>
        <v>0.87771017308172605</v>
      </c>
      <c r="G34" s="86">
        <f>SUM($D$13:D34)</f>
        <v>1.7300601642920088</v>
      </c>
      <c r="H34" s="87">
        <f t="shared" si="2"/>
        <v>1.9711064282388329</v>
      </c>
      <c r="I34" s="120"/>
      <c r="V34" s="194"/>
    </row>
    <row r="35" spans="1:22" x14ac:dyDescent="0.3">
      <c r="A35" s="121">
        <v>23</v>
      </c>
      <c r="B35">
        <f>'[2]1. AveInvFlow'!B26</f>
        <v>3</v>
      </c>
      <c r="C35" s="119">
        <f t="shared" si="3"/>
        <v>2.5190180492876015</v>
      </c>
      <c r="D35" s="86">
        <f t="shared" si="0"/>
        <v>0.48098195071239846</v>
      </c>
      <c r="E35" s="119">
        <f t="shared" si="1"/>
        <v>0.48098195071239846</v>
      </c>
      <c r="F35" s="119">
        <f>AVERAGE($E$13:E35)</f>
        <v>0.86046111993523344</v>
      </c>
      <c r="G35" s="86">
        <f>SUM($D$13:D35)</f>
        <v>2.2110421150044073</v>
      </c>
      <c r="H35" s="87">
        <f t="shared" si="2"/>
        <v>2.5696014192609091</v>
      </c>
      <c r="I35" s="120"/>
      <c r="V35" s="194"/>
    </row>
    <row r="36" spans="1:22" x14ac:dyDescent="0.3">
      <c r="A36" s="121">
        <v>24</v>
      </c>
      <c r="B36">
        <f>'[2]1. AveInvFlow'!B27</f>
        <v>4</v>
      </c>
      <c r="C36" s="119">
        <f t="shared" si="3"/>
        <v>2.6633126345013212</v>
      </c>
      <c r="D36" s="86">
        <f t="shared" si="0"/>
        <v>1.3366873654986788</v>
      </c>
      <c r="E36" s="119">
        <f t="shared" si="1"/>
        <v>1.3366873654986788</v>
      </c>
      <c r="F36" s="119">
        <f>AVERAGE($E$13:E36)</f>
        <v>0.88030388016704375</v>
      </c>
      <c r="G36" s="86">
        <f>SUM($D$13:D36)</f>
        <v>3.5477294805030861</v>
      </c>
      <c r="H36" s="87">
        <f t="shared" si="2"/>
        <v>4.0301190991341311</v>
      </c>
      <c r="I36" s="120"/>
      <c r="V36" s="194"/>
    </row>
    <row r="37" spans="1:22" x14ac:dyDescent="0.3">
      <c r="A37" s="121">
        <v>25</v>
      </c>
      <c r="B37">
        <f>'[2]1. AveInvFlow'!B28</f>
        <v>7</v>
      </c>
      <c r="C37" s="119">
        <f t="shared" si="3"/>
        <v>3.0643188441509244</v>
      </c>
      <c r="D37" s="86">
        <f t="shared" si="0"/>
        <v>3.9356811558490756</v>
      </c>
      <c r="E37" s="119">
        <f t="shared" si="1"/>
        <v>3.9356811558490756</v>
      </c>
      <c r="F37" s="119">
        <f>AVERAGE($E$13:E37)</f>
        <v>1.002518971194325</v>
      </c>
      <c r="G37" s="86">
        <f>SUM($D$13:D37)</f>
        <v>7.4834106363521613</v>
      </c>
      <c r="H37" s="87">
        <f t="shared" si="2"/>
        <v>7.4646075050699476</v>
      </c>
      <c r="I37" s="120"/>
      <c r="V37" s="194"/>
    </row>
    <row r="38" spans="1:22" x14ac:dyDescent="0.3">
      <c r="A38" s="121">
        <v>26</v>
      </c>
      <c r="B38">
        <f>'[2]1. AveInvFlow'!B29</f>
        <v>1</v>
      </c>
      <c r="C38" s="119">
        <f t="shared" si="3"/>
        <v>4.2450231909056466</v>
      </c>
      <c r="D38" s="86">
        <f t="shared" si="0"/>
        <v>-3.2450231909056466</v>
      </c>
      <c r="E38" s="119">
        <f t="shared" si="1"/>
        <v>3.2450231909056466</v>
      </c>
      <c r="F38" s="119">
        <f>AVERAGE($E$13:E38)</f>
        <v>1.0887691334909144</v>
      </c>
      <c r="G38" s="86">
        <f>SUM($D$13:D38)</f>
        <v>4.2383874454465147</v>
      </c>
      <c r="H38" s="87">
        <f t="shared" si="2"/>
        <v>3.8928247642886391</v>
      </c>
      <c r="I38" s="120"/>
      <c r="V38" s="194"/>
    </row>
    <row r="39" spans="1:22" x14ac:dyDescent="0.3">
      <c r="A39" s="121">
        <v>27</v>
      </c>
      <c r="B39">
        <f>'[2]1. AveInvFlow'!B30</f>
        <v>2</v>
      </c>
      <c r="C39" s="119">
        <f t="shared" si="3"/>
        <v>3.2715162336339523</v>
      </c>
      <c r="D39" s="86">
        <f t="shared" si="0"/>
        <v>-1.2715162336339523</v>
      </c>
      <c r="E39" s="119">
        <f t="shared" si="1"/>
        <v>1.2715162336339523</v>
      </c>
      <c r="F39" s="119">
        <f>AVERAGE($E$13:E39)</f>
        <v>1.0955375446073232</v>
      </c>
      <c r="G39" s="86">
        <f>SUM($D$13:D39)</f>
        <v>2.9668712118125624</v>
      </c>
      <c r="H39" s="87">
        <f t="shared" si="2"/>
        <v>2.7081419768922541</v>
      </c>
      <c r="I39" s="120"/>
      <c r="V39" s="194"/>
    </row>
    <row r="40" spans="1:22" x14ac:dyDescent="0.3">
      <c r="A40" s="121">
        <v>28</v>
      </c>
      <c r="B40">
        <f>'[2]1. AveInvFlow'!B31</f>
        <v>3</v>
      </c>
      <c r="C40" s="119">
        <f t="shared" si="3"/>
        <v>2.8900613635437664</v>
      </c>
      <c r="D40" s="86">
        <f t="shared" si="0"/>
        <v>0.10993863645623358</v>
      </c>
      <c r="E40" s="119">
        <f t="shared" si="1"/>
        <v>0.10993863645623358</v>
      </c>
      <c r="F40" s="119">
        <f>AVERAGE($E$13:E40)</f>
        <v>1.0603375836019271</v>
      </c>
      <c r="G40" s="86">
        <f>SUM($D$13:D40)</f>
        <v>3.076809848268796</v>
      </c>
      <c r="H40" s="87">
        <f t="shared" si="2"/>
        <v>2.9017266725725106</v>
      </c>
      <c r="I40" s="120"/>
      <c r="V40" s="194"/>
    </row>
    <row r="41" spans="1:22" x14ac:dyDescent="0.3">
      <c r="A41" s="121">
        <v>29</v>
      </c>
      <c r="B41">
        <f>'[2]1. AveInvFlow'!B32</f>
        <v>2</v>
      </c>
      <c r="C41" s="119">
        <f t="shared" si="3"/>
        <v>2.9230429544806364</v>
      </c>
      <c r="D41" s="86">
        <f t="shared" si="0"/>
        <v>-0.92304295448063645</v>
      </c>
      <c r="E41" s="119">
        <f t="shared" si="1"/>
        <v>0.92304295448063645</v>
      </c>
      <c r="F41" s="119">
        <f>AVERAGE($E$13:E41)</f>
        <v>1.0556032860460205</v>
      </c>
      <c r="G41" s="86">
        <f>SUM($D$13:D41)</f>
        <v>2.1537668937881596</v>
      </c>
      <c r="H41" s="87">
        <f t="shared" si="2"/>
        <v>2.0403184816291517</v>
      </c>
      <c r="I41" s="120"/>
      <c r="V41" s="194"/>
    </row>
    <row r="42" spans="1:22" x14ac:dyDescent="0.3">
      <c r="A42" s="121">
        <v>30</v>
      </c>
      <c r="B42">
        <f>'[2]1. AveInvFlow'!B33</f>
        <v>5</v>
      </c>
      <c r="C42" s="119">
        <f t="shared" si="3"/>
        <v>2.6461300681364457</v>
      </c>
      <c r="D42" s="86">
        <f t="shared" si="0"/>
        <v>2.3538699318635543</v>
      </c>
      <c r="E42" s="119">
        <f t="shared" si="1"/>
        <v>2.3538699318635543</v>
      </c>
      <c r="F42" s="119">
        <f>AVERAGE($E$13:E42)</f>
        <v>1.098878840906605</v>
      </c>
      <c r="G42" s="86">
        <f>SUM($D$13:D42)</f>
        <v>4.5076368256517139</v>
      </c>
      <c r="H42" s="87">
        <f t="shared" si="2"/>
        <v>4.1020325970903126</v>
      </c>
      <c r="I42" s="120"/>
      <c r="V42" s="194"/>
    </row>
    <row r="43" spans="1:22" x14ac:dyDescent="0.3">
      <c r="A43" s="121">
        <v>31</v>
      </c>
      <c r="B43">
        <f>'[2]1. AveInvFlow'!B34</f>
        <v>2</v>
      </c>
      <c r="C43" s="119">
        <f t="shared" si="3"/>
        <v>3.3522910476955117</v>
      </c>
      <c r="D43" s="86">
        <f t="shared" si="0"/>
        <v>-1.3522910476955117</v>
      </c>
      <c r="E43" s="119">
        <f t="shared" si="1"/>
        <v>1.3522910476955117</v>
      </c>
      <c r="F43" s="119">
        <f>AVERAGE($E$13:E43)</f>
        <v>1.1070534282223763</v>
      </c>
      <c r="G43" s="86">
        <f>SUM($D$13:D43)</f>
        <v>3.1553457779562022</v>
      </c>
      <c r="H43" s="87">
        <f t="shared" si="2"/>
        <v>2.8502199600454885</v>
      </c>
      <c r="I43" s="120"/>
      <c r="V43" s="194"/>
    </row>
    <row r="44" spans="1:22" x14ac:dyDescent="0.3">
      <c r="A44" s="121">
        <v>32</v>
      </c>
      <c r="B44">
        <f>'[2]1. AveInvFlow'!B35</f>
        <v>3</v>
      </c>
      <c r="C44" s="119">
        <f t="shared" si="3"/>
        <v>2.946603733386858</v>
      </c>
      <c r="D44" s="86">
        <f t="shared" si="0"/>
        <v>5.3396266613142007E-2</v>
      </c>
      <c r="E44" s="119">
        <f t="shared" si="1"/>
        <v>5.3396266613142007E-2</v>
      </c>
      <c r="F44" s="119">
        <f>AVERAGE($E$13:E44)</f>
        <v>1.0741266419220876</v>
      </c>
      <c r="G44" s="86">
        <f>SUM($D$13:D44)</f>
        <v>3.2087420445693442</v>
      </c>
      <c r="H44" s="87">
        <f t="shared" si="2"/>
        <v>2.9873032837426745</v>
      </c>
      <c r="I44" s="120"/>
      <c r="V44" s="194"/>
    </row>
    <row r="45" spans="1:22" x14ac:dyDescent="0.3">
      <c r="A45" s="121">
        <v>33</v>
      </c>
      <c r="B45">
        <f>'[2]1. AveInvFlow'!B36</f>
        <v>1</v>
      </c>
      <c r="C45" s="119">
        <f t="shared" si="3"/>
        <v>2.9626226133708005</v>
      </c>
      <c r="D45" s="86">
        <f t="shared" si="0"/>
        <v>-1.9626226133708005</v>
      </c>
      <c r="E45" s="119">
        <f t="shared" si="1"/>
        <v>1.9626226133708005</v>
      </c>
      <c r="F45" s="119">
        <f>AVERAGE($E$13:E45)</f>
        <v>1.1010507622690182</v>
      </c>
      <c r="G45" s="86">
        <f>SUM($D$13:D45)</f>
        <v>1.2461194311985437</v>
      </c>
      <c r="H45" s="87">
        <f t="shared" si="2"/>
        <v>1.1317547509168167</v>
      </c>
      <c r="I45" s="120"/>
      <c r="V45" s="194"/>
    </row>
    <row r="46" spans="1:22" x14ac:dyDescent="0.3">
      <c r="A46" s="121">
        <v>34</v>
      </c>
      <c r="B46">
        <f>'[2]1. AveInvFlow'!B37</f>
        <v>5</v>
      </c>
      <c r="C46" s="119">
        <f t="shared" si="3"/>
        <v>2.3738358293595598</v>
      </c>
      <c r="D46" s="86">
        <f t="shared" si="0"/>
        <v>2.6261641706404402</v>
      </c>
      <c r="E46" s="119">
        <f t="shared" si="1"/>
        <v>2.6261641706404402</v>
      </c>
      <c r="F46" s="119">
        <f>AVERAGE($E$13:E46)</f>
        <v>1.1459070389858248</v>
      </c>
      <c r="G46" s="86">
        <f>SUM($D$13:D46)</f>
        <v>3.8722836018389839</v>
      </c>
      <c r="H46" s="87">
        <f t="shared" si="2"/>
        <v>3.3792301383069567</v>
      </c>
      <c r="I46" s="120"/>
      <c r="V46" s="194"/>
    </row>
    <row r="47" spans="1:22" x14ac:dyDescent="0.3">
      <c r="A47" s="121">
        <v>35</v>
      </c>
      <c r="B47">
        <f>'[2]1. AveInvFlow'!B38</f>
        <v>2</v>
      </c>
      <c r="C47" s="119">
        <f t="shared" si="3"/>
        <v>3.1616850805516918</v>
      </c>
      <c r="D47" s="86">
        <f t="shared" si="0"/>
        <v>-1.1616850805516918</v>
      </c>
      <c r="E47" s="119">
        <f t="shared" si="1"/>
        <v>1.1616850805516918</v>
      </c>
      <c r="F47" s="119">
        <f>AVERAGE($E$13:E47)</f>
        <v>1.1463578401734211</v>
      </c>
      <c r="G47" s="86">
        <f>SUM($D$13:D47)</f>
        <v>2.7105985212872921</v>
      </c>
      <c r="H47" s="87">
        <f t="shared" si="2"/>
        <v>2.3645308875605826</v>
      </c>
      <c r="I47" s="120"/>
      <c r="V47" s="194"/>
    </row>
    <row r="48" spans="1:22" x14ac:dyDescent="0.3">
      <c r="A48" s="121">
        <v>36</v>
      </c>
      <c r="B48">
        <f>'[2]1. AveInvFlow'!B39</f>
        <v>0</v>
      </c>
      <c r="C48" s="119">
        <f t="shared" si="3"/>
        <v>2.8131795563861841</v>
      </c>
      <c r="D48" s="86">
        <f t="shared" si="0"/>
        <v>-2.8131795563861841</v>
      </c>
      <c r="E48" s="119">
        <f t="shared" si="1"/>
        <v>2.8131795563861841</v>
      </c>
      <c r="F48" s="119">
        <f>AVERAGE($E$13:E48)</f>
        <v>1.1926584434015532</v>
      </c>
      <c r="G48" s="86">
        <f>SUM($D$13:D48)</f>
        <v>-0.10258103509889205</v>
      </c>
      <c r="H48" s="87">
        <f t="shared" si="2"/>
        <v>-8.6010404459405054E-2</v>
      </c>
      <c r="I48" s="120"/>
      <c r="V48" s="194"/>
    </row>
    <row r="49" spans="1:23" x14ac:dyDescent="0.3">
      <c r="A49" s="121">
        <v>37</v>
      </c>
      <c r="B49">
        <f>'[2]1. AveInvFlow'!B40</f>
        <v>7</v>
      </c>
      <c r="C49" s="119">
        <f t="shared" si="3"/>
        <v>1.9692256894703288</v>
      </c>
      <c r="D49" s="86">
        <f t="shared" si="0"/>
        <v>5.0307743105296714</v>
      </c>
      <c r="E49" s="119">
        <f t="shared" si="1"/>
        <v>5.0307743105296714</v>
      </c>
      <c r="F49" s="119">
        <f>AVERAGE($E$13:E49)</f>
        <v>1.2963913046752862</v>
      </c>
      <c r="G49" s="86">
        <f>SUM($D$13:D49)</f>
        <v>4.9281932754307789</v>
      </c>
      <c r="H49" s="87">
        <f t="shared" si="2"/>
        <v>3.8014704801380699</v>
      </c>
      <c r="I49" s="120"/>
      <c r="V49" s="194">
        <v>2</v>
      </c>
      <c r="W49" s="75">
        <f>B49-V49</f>
        <v>5</v>
      </c>
    </row>
    <row r="50" spans="1:23" x14ac:dyDescent="0.3">
      <c r="A50" s="121">
        <v>38</v>
      </c>
      <c r="B50">
        <f>'[2]1. AveInvFlow'!B41</f>
        <v>3</v>
      </c>
      <c r="C50" s="119">
        <f t="shared" si="3"/>
        <v>3.4784579826292301</v>
      </c>
      <c r="D50" s="86">
        <f t="shared" si="0"/>
        <v>-0.47845798262923012</v>
      </c>
      <c r="E50" s="119">
        <f t="shared" si="1"/>
        <v>0.47845798262923012</v>
      </c>
      <c r="F50" s="119">
        <f>AVERAGE($E$13:E50)</f>
        <v>1.274866743568811</v>
      </c>
      <c r="G50" s="86">
        <f>SUM($D$13:D50)</f>
        <v>4.4497352928015488</v>
      </c>
      <c r="H50" s="87">
        <f t="shared" si="2"/>
        <v>3.4903532586826587</v>
      </c>
      <c r="I50" s="120"/>
      <c r="V50" s="194">
        <v>0</v>
      </c>
      <c r="W50" s="75">
        <f>B50-V50</f>
        <v>3</v>
      </c>
    </row>
    <row r="51" spans="1:23" x14ac:dyDescent="0.3">
      <c r="A51" s="121">
        <v>39</v>
      </c>
      <c r="B51">
        <f>'[2]1. AveInvFlow'!B42</f>
        <v>5</v>
      </c>
      <c r="C51" s="119">
        <f t="shared" si="3"/>
        <v>3.3349205878404606</v>
      </c>
      <c r="D51" s="86">
        <f t="shared" si="0"/>
        <v>1.6650794121595394</v>
      </c>
      <c r="E51" s="119">
        <f t="shared" si="1"/>
        <v>1.6650794121595394</v>
      </c>
      <c r="F51" s="119">
        <f>AVERAGE($E$13:E51)</f>
        <v>1.2848721966095991</v>
      </c>
      <c r="G51" s="86">
        <f>SUM($D$13:D51)</f>
        <v>6.1148147049610877</v>
      </c>
      <c r="H51" s="87">
        <f t="shared" si="2"/>
        <v>4.7590839937982086</v>
      </c>
      <c r="I51" s="120"/>
      <c r="V51" s="194">
        <v>5</v>
      </c>
      <c r="W51" s="75">
        <f>B51-V51</f>
        <v>0</v>
      </c>
    </row>
    <row r="52" spans="1:23" x14ac:dyDescent="0.3">
      <c r="A52" s="121">
        <v>40</v>
      </c>
      <c r="B52">
        <f>'[2]1. AveInvFlow'!B43</f>
        <v>3</v>
      </c>
      <c r="C52" s="119">
        <f t="shared" si="3"/>
        <v>3.8344444114883225</v>
      </c>
      <c r="D52" s="86">
        <f t="shared" si="0"/>
        <v>-0.83444441148832249</v>
      </c>
      <c r="E52" s="119">
        <f t="shared" si="1"/>
        <v>0.83444441148832249</v>
      </c>
      <c r="F52" s="119">
        <f>AVERAGE($E$13:E52)</f>
        <v>1.273611501981567</v>
      </c>
      <c r="G52" s="86">
        <f>SUM($D$13:D52)</f>
        <v>5.2803702934727657</v>
      </c>
      <c r="H52" s="87">
        <f t="shared" si="2"/>
        <v>4.1459819460308145</v>
      </c>
      <c r="I52" s="120"/>
      <c r="V52" s="194">
        <v>5</v>
      </c>
      <c r="W52" s="75">
        <f>B52-V52</f>
        <v>-2</v>
      </c>
    </row>
    <row r="53" spans="1:23" ht="17.25" thickBot="1" x14ac:dyDescent="0.35">
      <c r="A53" s="121">
        <v>41</v>
      </c>
      <c r="B53">
        <f>'[2]1. AveInvFlow'!B44</f>
        <v>7</v>
      </c>
      <c r="C53" s="119">
        <f t="shared" si="3"/>
        <v>3.5841110880418254</v>
      </c>
      <c r="D53" s="86">
        <f t="shared" si="0"/>
        <v>3.4158889119581746</v>
      </c>
      <c r="E53" s="119">
        <f t="shared" si="1"/>
        <v>3.4158889119581746</v>
      </c>
      <c r="F53" s="119">
        <f>AVERAGE($E$13:E53)</f>
        <v>1.3258621705175819</v>
      </c>
      <c r="G53" s="86">
        <f>SUM($D$13:D53)</f>
        <v>8.6962592054309411</v>
      </c>
      <c r="H53" s="87">
        <f t="shared" si="2"/>
        <v>6.5589466226615007</v>
      </c>
      <c r="I53" s="120"/>
      <c r="V53" s="194">
        <v>0</v>
      </c>
      <c r="W53" s="75">
        <f>B53-V53</f>
        <v>7</v>
      </c>
    </row>
    <row r="54" spans="1:23" ht="17.25" thickBot="1" x14ac:dyDescent="0.35">
      <c r="A54" s="121">
        <v>42</v>
      </c>
      <c r="B54">
        <f>'[2]1. AveInvFlow'!B45</f>
        <v>3</v>
      </c>
      <c r="C54" s="119">
        <f t="shared" si="3"/>
        <v>4.6088777616292775</v>
      </c>
      <c r="D54" s="86">
        <f t="shared" si="0"/>
        <v>-1.6088777616292775</v>
      </c>
      <c r="E54" s="119">
        <f t="shared" si="1"/>
        <v>1.6088777616292775</v>
      </c>
      <c r="F54" s="191">
        <f>AVERAGE($E$13:E54)</f>
        <v>1.3326006369726224</v>
      </c>
      <c r="G54" s="86">
        <f>SUM($D$13:D54)</f>
        <v>7.0873814438016636</v>
      </c>
      <c r="H54" s="87">
        <f t="shared" si="2"/>
        <v>5.3184586943487027</v>
      </c>
      <c r="I54" s="120"/>
    </row>
    <row r="55" spans="1:23" ht="17.25" thickBot="1" x14ac:dyDescent="0.35">
      <c r="B55" s="193" t="s">
        <v>90</v>
      </c>
      <c r="C55" s="192">
        <f t="shared" si="3"/>
        <v>4.1262144331404942</v>
      </c>
      <c r="D55" s="86"/>
      <c r="E55" s="119" t="s">
        <v>89</v>
      </c>
      <c r="F55" s="191">
        <f>1.25*F54</f>
        <v>1.665750796215778</v>
      </c>
      <c r="G55" s="86"/>
      <c r="H55" s="86"/>
    </row>
    <row r="56" spans="1:23" x14ac:dyDescent="0.3">
      <c r="A56"/>
      <c r="B56"/>
    </row>
    <row r="57" spans="1:23" x14ac:dyDescent="0.3">
      <c r="A57"/>
      <c r="B57"/>
    </row>
    <row r="58" spans="1:23" x14ac:dyDescent="0.3">
      <c r="A58"/>
      <c r="B58"/>
    </row>
    <row r="59" spans="1:23" x14ac:dyDescent="0.3">
      <c r="A59"/>
      <c r="B59"/>
    </row>
    <row r="60" spans="1:23" x14ac:dyDescent="0.3">
      <c r="A60"/>
      <c r="B60"/>
    </row>
    <row r="61" spans="1:23" x14ac:dyDescent="0.3">
      <c r="A61"/>
      <c r="B61"/>
    </row>
    <row r="62" spans="1:23" x14ac:dyDescent="0.3">
      <c r="A62"/>
      <c r="B62"/>
    </row>
    <row r="63" spans="1:23" x14ac:dyDescent="0.3">
      <c r="A63"/>
      <c r="B63"/>
    </row>
    <row r="64" spans="1:23" x14ac:dyDescent="0.3">
      <c r="A64"/>
      <c r="B64"/>
    </row>
    <row r="65" spans="1:2" x14ac:dyDescent="0.3">
      <c r="A65"/>
      <c r="B65"/>
    </row>
    <row r="66" spans="1:2" x14ac:dyDescent="0.3">
      <c r="A66"/>
      <c r="B66"/>
    </row>
  </sheetData>
  <conditionalFormatting sqref="K14:K24">
    <cfRule type="cellIs" dxfId="5" priority="1" operator="equal">
      <formula>$K$26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W64"/>
  <sheetViews>
    <sheetView topLeftCell="A20" zoomScaleNormal="100" workbookViewId="0">
      <selection activeCell="L41" sqref="L41"/>
    </sheetView>
  </sheetViews>
  <sheetFormatPr defaultColWidth="9.140625" defaultRowHeight="16.5" x14ac:dyDescent="0.3"/>
  <cols>
    <col min="1" max="1" width="4.85546875" style="75" customWidth="1"/>
    <col min="2" max="2" width="5.5703125" style="75" customWidth="1"/>
    <col min="3" max="3" width="7.5703125" style="75" bestFit="1" customWidth="1"/>
    <col min="4" max="4" width="12.28515625" style="75" customWidth="1"/>
    <col min="5" max="5" width="10" style="75" bestFit="1" customWidth="1"/>
    <col min="6" max="6" width="18.28515625" style="75" customWidth="1"/>
    <col min="7" max="7" width="9.42578125" style="75" bestFit="1" customWidth="1"/>
    <col min="8" max="8" width="17" style="75" customWidth="1"/>
    <col min="9" max="9" width="16.85546875" style="75" customWidth="1"/>
    <col min="10" max="10" width="10.85546875" style="75" customWidth="1"/>
    <col min="11" max="11" width="11.28515625" style="75" customWidth="1"/>
    <col min="12" max="16384" width="9.140625" style="75"/>
  </cols>
  <sheetData>
    <row r="1" spans="1:22" x14ac:dyDescent="0.3">
      <c r="A1" s="88" t="s">
        <v>71</v>
      </c>
      <c r="B1" s="88"/>
      <c r="C1" s="88"/>
      <c r="D1" s="88"/>
      <c r="E1" s="88"/>
      <c r="F1" s="88"/>
      <c r="G1" s="88"/>
      <c r="H1" s="88"/>
      <c r="I1" s="88"/>
      <c r="J1" s="88"/>
    </row>
    <row r="2" spans="1:22" x14ac:dyDescent="0.3">
      <c r="A2" s="88" t="s">
        <v>79</v>
      </c>
      <c r="B2" s="88"/>
      <c r="C2" s="88"/>
      <c r="D2" s="195" t="s">
        <v>97</v>
      </c>
      <c r="E2" s="88">
        <v>0.3</v>
      </c>
      <c r="H2" s="88"/>
      <c r="I2" s="88"/>
      <c r="J2" s="88"/>
    </row>
    <row r="3" spans="1:22" ht="17.25" thickBot="1" x14ac:dyDescent="0.35">
      <c r="A3" s="88" t="s">
        <v>102</v>
      </c>
      <c r="B3" s="88"/>
      <c r="C3" s="88"/>
      <c r="D3" s="88"/>
      <c r="G3" s="88"/>
      <c r="H3" s="88"/>
      <c r="I3" s="75" t="s">
        <v>96</v>
      </c>
      <c r="J3" s="88"/>
    </row>
    <row r="4" spans="1:22" ht="17.25" thickBot="1" x14ac:dyDescent="0.35">
      <c r="A4" s="88" t="s">
        <v>95</v>
      </c>
      <c r="B4" s="88"/>
      <c r="C4" s="88"/>
      <c r="D4" s="88"/>
      <c r="G4" s="88"/>
      <c r="H4" s="88"/>
      <c r="I4" s="178">
        <f>C53</f>
        <v>4.1262144331404942</v>
      </c>
      <c r="J4" s="88"/>
    </row>
    <row r="5" spans="1:22" ht="17.25" thickBot="1" x14ac:dyDescent="0.35">
      <c r="A5" s="88" t="s">
        <v>81</v>
      </c>
      <c r="B5" s="88"/>
      <c r="C5" s="88"/>
      <c r="D5" s="88"/>
      <c r="G5" s="88"/>
      <c r="H5" s="88"/>
      <c r="I5" s="178">
        <f>1.25*F52</f>
        <v>0</v>
      </c>
      <c r="J5" s="88"/>
    </row>
    <row r="6" spans="1:22" x14ac:dyDescent="0.3">
      <c r="A6" s="88" t="s">
        <v>91</v>
      </c>
      <c r="B6" s="88"/>
      <c r="C6" s="88"/>
      <c r="D6" s="88"/>
      <c r="G6" s="88"/>
      <c r="H6" s="88"/>
      <c r="I6" s="88"/>
      <c r="J6" s="88"/>
    </row>
    <row r="7" spans="1:22" x14ac:dyDescent="0.3">
      <c r="A7" s="89" t="s">
        <v>47</v>
      </c>
      <c r="C7" s="89" t="s">
        <v>67</v>
      </c>
      <c r="F7" s="89" t="s">
        <v>49</v>
      </c>
    </row>
    <row r="8" spans="1:22" x14ac:dyDescent="0.3">
      <c r="A8" s="89" t="s">
        <v>53</v>
      </c>
      <c r="D8" s="75" t="s">
        <v>66</v>
      </c>
      <c r="F8" s="89" t="s">
        <v>49</v>
      </c>
      <c r="I8" s="89"/>
    </row>
    <row r="9" spans="1:22" x14ac:dyDescent="0.3">
      <c r="A9" s="88"/>
      <c r="B9" s="88"/>
      <c r="C9" s="88"/>
      <c r="D9" s="88"/>
      <c r="E9" s="88"/>
      <c r="F9" s="88"/>
      <c r="G9" s="89"/>
      <c r="H9" s="88"/>
      <c r="J9" s="75">
        <v>0.1193</v>
      </c>
      <c r="O9" s="75">
        <v>0</v>
      </c>
      <c r="P9" s="75">
        <v>-4</v>
      </c>
      <c r="Q9" s="75">
        <v>4</v>
      </c>
    </row>
    <row r="10" spans="1:22" ht="19.5" x14ac:dyDescent="0.3">
      <c r="A10" s="88" t="s">
        <v>31</v>
      </c>
      <c r="B10" s="121" t="s">
        <v>0</v>
      </c>
      <c r="C10" s="121" t="s">
        <v>32</v>
      </c>
      <c r="D10" s="121" t="s">
        <v>101</v>
      </c>
      <c r="E10" s="121" t="s">
        <v>100</v>
      </c>
      <c r="F10"/>
      <c r="G10"/>
      <c r="H10"/>
      <c r="J10" s="75">
        <v>1E-4</v>
      </c>
      <c r="O10" s="75">
        <v>50</v>
      </c>
      <c r="P10" s="75">
        <v>-4</v>
      </c>
      <c r="Q10" s="75">
        <v>4</v>
      </c>
    </row>
    <row r="11" spans="1:22" x14ac:dyDescent="0.3">
      <c r="A11" s="120">
        <v>1</v>
      </c>
      <c r="B11">
        <f>'[2]1. AveInvFlow'!B4</f>
        <v>2</v>
      </c>
      <c r="C11" s="121">
        <f>B11</f>
        <v>2</v>
      </c>
      <c r="D11" s="86">
        <f t="shared" ref="D11:D52" si="0">(B11-C11)^2</f>
        <v>0</v>
      </c>
      <c r="E11" s="119">
        <f>AVERAGE(D$11:D11)</f>
        <v>0</v>
      </c>
      <c r="F11"/>
      <c r="G11"/>
      <c r="H11"/>
      <c r="I11" s="120"/>
      <c r="K11" s="99">
        <f>E52</f>
        <v>3.0957449683156284</v>
      </c>
      <c r="V11" s="194"/>
    </row>
    <row r="12" spans="1:22" x14ac:dyDescent="0.3">
      <c r="A12" s="121">
        <v>2</v>
      </c>
      <c r="B12">
        <f>'[2]1. AveInvFlow'!B5</f>
        <v>2</v>
      </c>
      <c r="C12" s="119">
        <f t="shared" ref="C12:C53" si="1">(1-$E$2)*C11+$E$2*B11</f>
        <v>2</v>
      </c>
      <c r="D12" s="86">
        <f t="shared" si="0"/>
        <v>0</v>
      </c>
      <c r="E12" s="119">
        <f>AVERAGE(D$11:D12)</f>
        <v>0</v>
      </c>
      <c r="F12"/>
      <c r="G12"/>
      <c r="H12"/>
      <c r="I12" s="120"/>
      <c r="J12" s="75">
        <f>J9</f>
        <v>0.1193</v>
      </c>
      <c r="K12" s="75">
        <f t="dataTable" ref="K12:K22" dt2D="0" dtr="0" r1="E2"/>
        <v>2.8591409518312245</v>
      </c>
      <c r="V12" s="194"/>
    </row>
    <row r="13" spans="1:22" x14ac:dyDescent="0.3">
      <c r="A13" s="121">
        <v>3</v>
      </c>
      <c r="B13">
        <f>'[2]1. AveInvFlow'!B6</f>
        <v>1</v>
      </c>
      <c r="C13" s="119">
        <f t="shared" si="1"/>
        <v>2</v>
      </c>
      <c r="D13" s="86">
        <f t="shared" si="0"/>
        <v>1</v>
      </c>
      <c r="E13" s="119">
        <f>AVERAGE(D$11:D13)</f>
        <v>0.33333333333333331</v>
      </c>
      <c r="F13"/>
      <c r="G13"/>
      <c r="H13"/>
      <c r="I13" s="120"/>
      <c r="J13" s="75">
        <f t="shared" ref="J13:J22" si="2">J12+$J$10</f>
        <v>0.11940000000000001</v>
      </c>
      <c r="K13" s="75">
        <v>2.8591388415064656</v>
      </c>
      <c r="V13" s="194"/>
    </row>
    <row r="14" spans="1:22" x14ac:dyDescent="0.3">
      <c r="A14" s="121">
        <v>4</v>
      </c>
      <c r="B14">
        <f>'[2]1. AveInvFlow'!B7</f>
        <v>0</v>
      </c>
      <c r="C14" s="119">
        <f t="shared" si="1"/>
        <v>1.7</v>
      </c>
      <c r="D14" s="86">
        <f t="shared" si="0"/>
        <v>2.8899999999999997</v>
      </c>
      <c r="E14" s="119">
        <f>AVERAGE(D$11:D14)</f>
        <v>0.97249999999999992</v>
      </c>
      <c r="F14"/>
      <c r="G14"/>
      <c r="H14"/>
      <c r="I14" s="120"/>
      <c r="J14" s="75">
        <f t="shared" si="2"/>
        <v>0.11950000000000001</v>
      </c>
      <c r="K14" s="75">
        <v>2.8591370466759756</v>
      </c>
      <c r="V14" s="194"/>
    </row>
    <row r="15" spans="1:22" x14ac:dyDescent="0.3">
      <c r="A15" s="121">
        <v>5</v>
      </c>
      <c r="B15">
        <f>'[2]1. AveInvFlow'!B8</f>
        <v>2</v>
      </c>
      <c r="C15" s="119">
        <f t="shared" si="1"/>
        <v>1.19</v>
      </c>
      <c r="D15" s="86">
        <f t="shared" si="0"/>
        <v>0.65610000000000013</v>
      </c>
      <c r="E15" s="119">
        <f>AVERAGE(D$11:D15)</f>
        <v>0.90922000000000003</v>
      </c>
      <c r="F15"/>
      <c r="G15"/>
      <c r="H15"/>
      <c r="I15" s="120"/>
      <c r="J15" s="75">
        <f t="shared" si="2"/>
        <v>0.11960000000000001</v>
      </c>
      <c r="K15" s="75">
        <v>2.8591355667164855</v>
      </c>
      <c r="V15" s="194"/>
    </row>
    <row r="16" spans="1:22" x14ac:dyDescent="0.3">
      <c r="A16" s="121">
        <v>6</v>
      </c>
      <c r="B16">
        <f>'[2]1. AveInvFlow'!B9</f>
        <v>1</v>
      </c>
      <c r="C16" s="119">
        <f t="shared" si="1"/>
        <v>1.4329999999999998</v>
      </c>
      <c r="D16" s="86">
        <f t="shared" si="0"/>
        <v>0.18748899999999985</v>
      </c>
      <c r="E16" s="119">
        <f>AVERAGE(D$11:D16)</f>
        <v>0.78893150000000001</v>
      </c>
      <c r="F16"/>
      <c r="G16"/>
      <c r="H16"/>
      <c r="I16" s="120"/>
      <c r="J16" s="75">
        <f t="shared" si="2"/>
        <v>0.11970000000000001</v>
      </c>
      <c r="K16" s="75">
        <v>2.8591344010062212</v>
      </c>
      <c r="V16" s="194"/>
    </row>
    <row r="17" spans="1:22" x14ac:dyDescent="0.3">
      <c r="A17" s="121">
        <v>7</v>
      </c>
      <c r="B17">
        <f>'[2]1. AveInvFlow'!B10</f>
        <v>0</v>
      </c>
      <c r="C17" s="119">
        <f t="shared" si="1"/>
        <v>1.3030999999999999</v>
      </c>
      <c r="D17" s="86">
        <f t="shared" si="0"/>
        <v>1.6980696099999999</v>
      </c>
      <c r="E17" s="119">
        <f>AVERAGE(D$11:D17)</f>
        <v>0.9188083728571429</v>
      </c>
      <c r="F17"/>
      <c r="G17"/>
      <c r="H17"/>
      <c r="I17" s="120"/>
      <c r="J17" s="75">
        <f t="shared" si="2"/>
        <v>0.11980000000000002</v>
      </c>
      <c r="K17" s="75">
        <v>2.8591335489248997</v>
      </c>
      <c r="V17" s="194"/>
    </row>
    <row r="18" spans="1:22" x14ac:dyDescent="0.3">
      <c r="A18" s="121">
        <v>8</v>
      </c>
      <c r="B18">
        <f>'[2]1. AveInvFlow'!B11</f>
        <v>1</v>
      </c>
      <c r="C18" s="119">
        <f t="shared" si="1"/>
        <v>0.91216999999999993</v>
      </c>
      <c r="D18" s="86">
        <f t="shared" si="0"/>
        <v>7.7141089000000128E-3</v>
      </c>
      <c r="E18" s="119">
        <f>AVERAGE(D$11:D18)</f>
        <v>0.80492158986250006</v>
      </c>
      <c r="F18"/>
      <c r="G18"/>
      <c r="H18"/>
      <c r="I18" s="120"/>
      <c r="J18" s="75">
        <f t="shared" si="2"/>
        <v>0.11990000000000002</v>
      </c>
      <c r="K18" s="75">
        <v>2.8591330098537235</v>
      </c>
      <c r="V18" s="194"/>
    </row>
    <row r="19" spans="1:22" x14ac:dyDescent="0.3">
      <c r="A19" s="121">
        <v>9</v>
      </c>
      <c r="B19">
        <f>'[2]1. AveInvFlow'!B12</f>
        <v>3</v>
      </c>
      <c r="C19" s="119">
        <f t="shared" si="1"/>
        <v>0.93851899999999988</v>
      </c>
      <c r="D19" s="86">
        <f t="shared" si="0"/>
        <v>4.2497039133610004</v>
      </c>
      <c r="E19" s="119">
        <f>AVERAGE(D$11:D19)</f>
        <v>1.1876751813623334</v>
      </c>
      <c r="F19"/>
      <c r="G19"/>
      <c r="H19"/>
      <c r="I19" s="120"/>
      <c r="J19" s="75">
        <f t="shared" si="2"/>
        <v>0.12000000000000002</v>
      </c>
      <c r="K19" s="75">
        <v>2.8591327831753808</v>
      </c>
      <c r="V19" s="194"/>
    </row>
    <row r="20" spans="1:22" x14ac:dyDescent="0.3">
      <c r="A20" s="121">
        <v>10</v>
      </c>
      <c r="B20">
        <f>'[2]1. AveInvFlow'!B13</f>
        <v>3</v>
      </c>
      <c r="C20" s="119">
        <f t="shared" si="1"/>
        <v>1.5569632999999998</v>
      </c>
      <c r="D20" s="86">
        <f t="shared" si="0"/>
        <v>2.0823549175468905</v>
      </c>
      <c r="E20" s="119">
        <f>AVERAGE(D$11:D20)</f>
        <v>1.2771431549807892</v>
      </c>
      <c r="F20"/>
      <c r="G20"/>
      <c r="H20"/>
      <c r="I20" s="120"/>
      <c r="J20" s="75">
        <f t="shared" si="2"/>
        <v>0.12010000000000003</v>
      </c>
      <c r="K20" s="75">
        <v>2.859132868274036</v>
      </c>
      <c r="V20" s="194"/>
    </row>
    <row r="21" spans="1:22" x14ac:dyDescent="0.3">
      <c r="A21" s="121">
        <v>11</v>
      </c>
      <c r="B21">
        <f>'[2]1. AveInvFlow'!B14</f>
        <v>1</v>
      </c>
      <c r="C21" s="119">
        <f t="shared" si="1"/>
        <v>1.9898743099999998</v>
      </c>
      <c r="D21" s="86">
        <f t="shared" si="0"/>
        <v>0.9798511495979757</v>
      </c>
      <c r="E21" s="119">
        <f>AVERAGE(D$11:D21)</f>
        <v>1.2501166090368969</v>
      </c>
      <c r="F21"/>
      <c r="G21"/>
      <c r="H21"/>
      <c r="I21" s="120"/>
      <c r="J21" s="75">
        <f t="shared" si="2"/>
        <v>0.12020000000000003</v>
      </c>
      <c r="K21" s="75">
        <v>2.8591332645353367</v>
      </c>
      <c r="V21" s="194"/>
    </row>
    <row r="22" spans="1:22" x14ac:dyDescent="0.3">
      <c r="A22" s="121">
        <v>12</v>
      </c>
      <c r="B22">
        <f>'[2]1. AveInvFlow'!B15</f>
        <v>2</v>
      </c>
      <c r="C22" s="119">
        <f t="shared" si="1"/>
        <v>1.6929120169999998</v>
      </c>
      <c r="D22" s="86">
        <f t="shared" si="0"/>
        <v>9.4303029303008393E-2</v>
      </c>
      <c r="E22" s="119">
        <f>AVERAGE(D$11:D22)</f>
        <v>1.1537988107257395</v>
      </c>
      <c r="F22"/>
      <c r="G22"/>
      <c r="H22"/>
      <c r="I22" s="120"/>
      <c r="J22" s="75">
        <f t="shared" si="2"/>
        <v>0.12030000000000003</v>
      </c>
      <c r="K22" s="75">
        <v>2.8591339713463926</v>
      </c>
      <c r="V22" s="194"/>
    </row>
    <row r="23" spans="1:22" x14ac:dyDescent="0.3">
      <c r="A23" s="121">
        <v>13</v>
      </c>
      <c r="B23">
        <f>'[2]1. AveInvFlow'!B16</f>
        <v>3</v>
      </c>
      <c r="C23" s="119">
        <f t="shared" si="1"/>
        <v>1.7850384118999996</v>
      </c>
      <c r="D23" s="86">
        <f t="shared" si="0"/>
        <v>1.4761316605584751</v>
      </c>
      <c r="E23" s="119">
        <f>AVERAGE(D$11:D23)</f>
        <v>1.1785936453282575</v>
      </c>
      <c r="F23"/>
      <c r="G23"/>
      <c r="H23"/>
      <c r="I23" s="120"/>
      <c r="V23" s="194"/>
    </row>
    <row r="24" spans="1:22" x14ac:dyDescent="0.3">
      <c r="A24" s="121">
        <v>14</v>
      </c>
      <c r="B24">
        <f>'[2]1. AveInvFlow'!B17</f>
        <v>2</v>
      </c>
      <c r="C24" s="119">
        <f t="shared" si="1"/>
        <v>2.1495268883299996</v>
      </c>
      <c r="D24" s="86">
        <f t="shared" si="0"/>
        <v>2.2358290333652171E-2</v>
      </c>
      <c r="E24" s="119">
        <f>AVERAGE(D$11:D24)</f>
        <v>1.0960054056857857</v>
      </c>
      <c r="F24"/>
      <c r="G24"/>
      <c r="H24"/>
      <c r="I24" s="120"/>
      <c r="K24" s="75">
        <f>MIN(K12:K22)</f>
        <v>2.8591327831753808</v>
      </c>
      <c r="V24" s="194"/>
    </row>
    <row r="25" spans="1:22" x14ac:dyDescent="0.3">
      <c r="A25" s="121">
        <v>15</v>
      </c>
      <c r="B25">
        <f>'[2]1. AveInvFlow'!B18</f>
        <v>2</v>
      </c>
      <c r="C25" s="119">
        <f t="shared" si="1"/>
        <v>2.1046688218309995</v>
      </c>
      <c r="D25" s="86">
        <f t="shared" si="0"/>
        <v>1.0955562263489508E-2</v>
      </c>
      <c r="E25" s="119">
        <f>AVERAGE(D$11:D25)</f>
        <v>1.0236687494576329</v>
      </c>
      <c r="F25"/>
      <c r="G25"/>
      <c r="H25"/>
      <c r="I25" s="120"/>
      <c r="V25" s="194"/>
    </row>
    <row r="26" spans="1:22" x14ac:dyDescent="0.3">
      <c r="A26" s="121">
        <v>16</v>
      </c>
      <c r="B26">
        <f>'[2]1. AveInvFlow'!B19</f>
        <v>5</v>
      </c>
      <c r="C26" s="119">
        <f t="shared" si="1"/>
        <v>2.0732681752816995</v>
      </c>
      <c r="D26" s="86">
        <f t="shared" si="0"/>
        <v>8.5657591738189129</v>
      </c>
      <c r="E26" s="119">
        <f>AVERAGE(D$11:D26)</f>
        <v>1.4950494009802129</v>
      </c>
      <c r="F26"/>
      <c r="G26"/>
      <c r="H26"/>
      <c r="I26" s="120"/>
      <c r="V26" s="194"/>
    </row>
    <row r="27" spans="1:22" x14ac:dyDescent="0.3">
      <c r="A27" s="121">
        <v>17</v>
      </c>
      <c r="B27">
        <f>'[2]1. AveInvFlow'!B20</f>
        <v>2</v>
      </c>
      <c r="C27" s="119">
        <f t="shared" si="1"/>
        <v>2.9512877226971899</v>
      </c>
      <c r="D27" s="86">
        <f t="shared" si="0"/>
        <v>0.90494833135440556</v>
      </c>
      <c r="E27" s="119">
        <f>AVERAGE(D$11:D27)</f>
        <v>1.4603375733551653</v>
      </c>
      <c r="F27"/>
      <c r="G27"/>
      <c r="H27"/>
      <c r="I27" s="120"/>
      <c r="V27" s="194"/>
    </row>
    <row r="28" spans="1:22" x14ac:dyDescent="0.3">
      <c r="A28" s="121">
        <v>18</v>
      </c>
      <c r="B28">
        <f>'[2]1. AveInvFlow'!B21</f>
        <v>2</v>
      </c>
      <c r="C28" s="119">
        <f t="shared" si="1"/>
        <v>2.6659014058880328</v>
      </c>
      <c r="D28" s="86">
        <f t="shared" si="0"/>
        <v>0.44342468236365862</v>
      </c>
      <c r="E28" s="119">
        <f>AVERAGE(D$11:D28)</f>
        <v>1.4038424127445261</v>
      </c>
      <c r="F28"/>
      <c r="G28"/>
      <c r="H28"/>
      <c r="I28" s="120"/>
      <c r="V28" s="194"/>
    </row>
    <row r="29" spans="1:22" x14ac:dyDescent="0.3">
      <c r="A29" s="121">
        <v>19</v>
      </c>
      <c r="B29">
        <f>'[2]1. AveInvFlow'!B22</f>
        <v>1</v>
      </c>
      <c r="C29" s="119">
        <f t="shared" si="1"/>
        <v>2.466130984121623</v>
      </c>
      <c r="D29" s="86">
        <f t="shared" si="0"/>
        <v>2.1495400626014387</v>
      </c>
      <c r="E29" s="119">
        <f>AVERAGE(D$11:D29)</f>
        <v>1.4430896574738372</v>
      </c>
      <c r="F29"/>
      <c r="G29"/>
      <c r="H29"/>
      <c r="I29" s="120"/>
      <c r="V29" s="194"/>
    </row>
    <row r="30" spans="1:22" x14ac:dyDescent="0.3">
      <c r="A30" s="121">
        <v>20</v>
      </c>
      <c r="B30">
        <f>'[2]1. AveInvFlow'!B23</f>
        <v>2</v>
      </c>
      <c r="C30" s="119">
        <f t="shared" si="1"/>
        <v>2.0262916888851361</v>
      </c>
      <c r="D30" s="86">
        <f t="shared" si="0"/>
        <v>6.9125290443278968E-4</v>
      </c>
      <c r="E30" s="119">
        <f>AVERAGE(D$11:D30)</f>
        <v>1.3709697372453671</v>
      </c>
      <c r="F30"/>
      <c r="G30"/>
      <c r="H30"/>
      <c r="I30" s="120"/>
      <c r="V30" s="194"/>
    </row>
    <row r="31" spans="1:22" x14ac:dyDescent="0.3">
      <c r="A31" s="121">
        <v>21</v>
      </c>
      <c r="B31">
        <f>'[2]1. AveInvFlow'!B24</f>
        <v>3</v>
      </c>
      <c r="C31" s="119">
        <f t="shared" si="1"/>
        <v>2.0184041822195953</v>
      </c>
      <c r="D31" s="86">
        <f t="shared" si="0"/>
        <v>0.96353034948398153</v>
      </c>
      <c r="E31" s="119">
        <f>AVERAGE(D$11:D31)</f>
        <v>1.3515678616376821</v>
      </c>
      <c r="F31"/>
      <c r="G31"/>
      <c r="H31"/>
      <c r="I31" s="120"/>
      <c r="V31" s="194"/>
    </row>
    <row r="32" spans="1:22" x14ac:dyDescent="0.3">
      <c r="A32" s="121">
        <v>22</v>
      </c>
      <c r="B32">
        <f>'[2]1. AveInvFlow'!B25</f>
        <v>3</v>
      </c>
      <c r="C32" s="119">
        <f t="shared" si="1"/>
        <v>2.3128829275537166</v>
      </c>
      <c r="D32" s="86">
        <f t="shared" si="0"/>
        <v>0.47212987124715106</v>
      </c>
      <c r="E32" s="119">
        <f>AVERAGE(D$11:D32)</f>
        <v>1.3115934075290214</v>
      </c>
      <c r="F32"/>
      <c r="G32"/>
      <c r="H32"/>
      <c r="I32" s="120"/>
      <c r="V32" s="194"/>
    </row>
    <row r="33" spans="1:23" x14ac:dyDescent="0.3">
      <c r="A33" s="121">
        <v>23</v>
      </c>
      <c r="B33">
        <f>'[2]1. AveInvFlow'!B26</f>
        <v>3</v>
      </c>
      <c r="C33" s="119">
        <f t="shared" si="1"/>
        <v>2.5190180492876015</v>
      </c>
      <c r="D33" s="86">
        <f t="shared" si="0"/>
        <v>0.2313436369111041</v>
      </c>
      <c r="E33" s="119">
        <f>AVERAGE(D$11:D33)</f>
        <v>1.2646260261978077</v>
      </c>
      <c r="F33"/>
      <c r="G33"/>
      <c r="H33"/>
      <c r="I33" s="120"/>
      <c r="V33" s="194"/>
    </row>
    <row r="34" spans="1:23" x14ac:dyDescent="0.3">
      <c r="A34" s="121">
        <v>24</v>
      </c>
      <c r="B34">
        <f>'[2]1. AveInvFlow'!B27</f>
        <v>4</v>
      </c>
      <c r="C34" s="119">
        <f t="shared" si="1"/>
        <v>2.6633126345013212</v>
      </c>
      <c r="D34" s="86">
        <f t="shared" si="0"/>
        <v>1.7867331130837987</v>
      </c>
      <c r="E34" s="119">
        <f>AVERAGE(D$11:D34)</f>
        <v>1.2863804881513905</v>
      </c>
      <c r="F34"/>
      <c r="G34"/>
      <c r="H34"/>
      <c r="I34" s="120"/>
      <c r="V34" s="194"/>
    </row>
    <row r="35" spans="1:23" x14ac:dyDescent="0.3">
      <c r="A35" s="121">
        <v>25</v>
      </c>
      <c r="B35">
        <f>'[2]1. AveInvFlow'!B28</f>
        <v>7</v>
      </c>
      <c r="C35" s="119">
        <f t="shared" si="1"/>
        <v>3.0643188441509244</v>
      </c>
      <c r="D35" s="86">
        <f t="shared" si="0"/>
        <v>15.489586160505516</v>
      </c>
      <c r="E35" s="119">
        <f>AVERAGE(D$11:D35)</f>
        <v>1.8545087150455555</v>
      </c>
      <c r="F35"/>
      <c r="G35"/>
      <c r="H35"/>
      <c r="I35" s="120"/>
      <c r="V35" s="194"/>
    </row>
    <row r="36" spans="1:23" x14ac:dyDescent="0.3">
      <c r="A36" s="121">
        <v>26</v>
      </c>
      <c r="B36">
        <f>'[2]1. AveInvFlow'!B29</f>
        <v>1</v>
      </c>
      <c r="C36" s="119">
        <f t="shared" si="1"/>
        <v>4.2450231909056466</v>
      </c>
      <c r="D36" s="86">
        <f t="shared" si="0"/>
        <v>10.530175509515464</v>
      </c>
      <c r="E36" s="119">
        <f>AVERAGE(D$11:D36)</f>
        <v>2.1881882071405521</v>
      </c>
      <c r="F36"/>
      <c r="G36"/>
      <c r="H36"/>
      <c r="I36" s="120"/>
      <c r="V36" s="194"/>
    </row>
    <row r="37" spans="1:23" x14ac:dyDescent="0.3">
      <c r="A37" s="121">
        <v>27</v>
      </c>
      <c r="B37">
        <f>'[2]1. AveInvFlow'!B30</f>
        <v>2</v>
      </c>
      <c r="C37" s="119">
        <f t="shared" si="1"/>
        <v>3.2715162336339523</v>
      </c>
      <c r="D37" s="86">
        <f t="shared" si="0"/>
        <v>1.6167535323946716</v>
      </c>
      <c r="E37" s="119">
        <f>AVERAGE(D$11:D37)</f>
        <v>2.1670239599277417</v>
      </c>
      <c r="F37"/>
      <c r="G37"/>
      <c r="H37"/>
      <c r="I37" s="120"/>
      <c r="V37" s="194"/>
    </row>
    <row r="38" spans="1:23" x14ac:dyDescent="0.3">
      <c r="A38" s="121">
        <v>28</v>
      </c>
      <c r="B38">
        <f>'[2]1. AveInvFlow'!B31</f>
        <v>3</v>
      </c>
      <c r="C38" s="119">
        <f t="shared" si="1"/>
        <v>2.8900613635437664</v>
      </c>
      <c r="D38" s="86">
        <f t="shared" si="0"/>
        <v>1.2086503785855893E-2</v>
      </c>
      <c r="E38" s="119">
        <f>AVERAGE(D$11:D38)</f>
        <v>2.0900619079226748</v>
      </c>
      <c r="F38"/>
      <c r="G38"/>
      <c r="H38"/>
      <c r="I38" s="120"/>
      <c r="V38" s="194"/>
    </row>
    <row r="39" spans="1:23" x14ac:dyDescent="0.3">
      <c r="A39" s="121">
        <v>29</v>
      </c>
      <c r="B39">
        <f>'[2]1. AveInvFlow'!B32</f>
        <v>2</v>
      </c>
      <c r="C39" s="119">
        <f t="shared" si="1"/>
        <v>2.9230429544806364</v>
      </c>
      <c r="D39" s="86">
        <f t="shared" si="0"/>
        <v>0.8520082958163423</v>
      </c>
      <c r="E39" s="119">
        <f>AVERAGE(D$11:D39)</f>
        <v>2.0473704040569389</v>
      </c>
      <c r="F39"/>
      <c r="G39"/>
      <c r="H39"/>
      <c r="I39" s="120"/>
      <c r="V39" s="194"/>
    </row>
    <row r="40" spans="1:23" x14ac:dyDescent="0.3">
      <c r="A40" s="121">
        <v>30</v>
      </c>
      <c r="B40">
        <f>'[2]1. AveInvFlow'!B33</f>
        <v>5</v>
      </c>
      <c r="C40" s="119">
        <f t="shared" si="1"/>
        <v>2.6461300681364457</v>
      </c>
      <c r="D40" s="86">
        <f t="shared" si="0"/>
        <v>5.5407036561313339</v>
      </c>
      <c r="E40" s="119">
        <f>AVERAGE(D$11:D40)</f>
        <v>2.1638148457927517</v>
      </c>
      <c r="F40"/>
      <c r="G40"/>
      <c r="H40"/>
      <c r="I40" s="120"/>
      <c r="V40" s="194"/>
    </row>
    <row r="41" spans="1:23" x14ac:dyDescent="0.3">
      <c r="A41" s="121">
        <v>31</v>
      </c>
      <c r="B41">
        <f>'[2]1. AveInvFlow'!B34</f>
        <v>2</v>
      </c>
      <c r="C41" s="119">
        <f t="shared" si="1"/>
        <v>3.3522910476955117</v>
      </c>
      <c r="D41" s="86">
        <f t="shared" si="0"/>
        <v>1.8286910776774246</v>
      </c>
      <c r="E41" s="119">
        <f>AVERAGE(D$11:D41)</f>
        <v>2.1530044016599992</v>
      </c>
      <c r="F41"/>
      <c r="G41"/>
      <c r="H41"/>
      <c r="I41" s="120"/>
      <c r="V41" s="194"/>
    </row>
    <row r="42" spans="1:23" x14ac:dyDescent="0.3">
      <c r="A42" s="121">
        <v>32</v>
      </c>
      <c r="B42">
        <f>'[2]1. AveInvFlow'!B35</f>
        <v>3</v>
      </c>
      <c r="C42" s="119">
        <f t="shared" si="1"/>
        <v>2.946603733386858</v>
      </c>
      <c r="D42" s="86">
        <f t="shared" si="0"/>
        <v>2.8511612882217438E-3</v>
      </c>
      <c r="E42" s="119">
        <f>AVERAGE(D$11:D42)</f>
        <v>2.0858121128983811</v>
      </c>
      <c r="F42"/>
      <c r="G42"/>
      <c r="H42"/>
      <c r="I42" s="120"/>
      <c r="V42" s="194"/>
    </row>
    <row r="43" spans="1:23" x14ac:dyDescent="0.3">
      <c r="A43" s="121">
        <v>33</v>
      </c>
      <c r="B43">
        <f>'[2]1. AveInvFlow'!B36</f>
        <v>1</v>
      </c>
      <c r="C43" s="119">
        <f t="shared" si="1"/>
        <v>2.9626226133708005</v>
      </c>
      <c r="D43" s="86">
        <f t="shared" si="0"/>
        <v>3.8518875225144305</v>
      </c>
      <c r="E43" s="119">
        <f>AVERAGE(D$11:D43)</f>
        <v>2.139329549553413</v>
      </c>
      <c r="F43"/>
      <c r="G43"/>
      <c r="H43"/>
      <c r="I43" s="120"/>
      <c r="V43" s="194"/>
    </row>
    <row r="44" spans="1:23" x14ac:dyDescent="0.3">
      <c r="A44" s="121">
        <v>34</v>
      </c>
      <c r="B44">
        <f>'[2]1. AveInvFlow'!B37</f>
        <v>5</v>
      </c>
      <c r="C44" s="119">
        <f t="shared" si="1"/>
        <v>2.3738358293595598</v>
      </c>
      <c r="D44" s="86">
        <f t="shared" si="0"/>
        <v>6.8967382511555906</v>
      </c>
      <c r="E44" s="119">
        <f>AVERAGE(D$11:D44)</f>
        <v>2.2792533348946535</v>
      </c>
      <c r="F44"/>
      <c r="G44"/>
      <c r="H44"/>
      <c r="I44" s="120"/>
      <c r="V44" s="194"/>
    </row>
    <row r="45" spans="1:23" x14ac:dyDescent="0.3">
      <c r="A45" s="121">
        <v>35</v>
      </c>
      <c r="B45">
        <f>'[2]1. AveInvFlow'!B38</f>
        <v>2</v>
      </c>
      <c r="C45" s="119">
        <f t="shared" si="1"/>
        <v>3.1616850805516918</v>
      </c>
      <c r="D45" s="86">
        <f t="shared" si="0"/>
        <v>1.3495122263763908</v>
      </c>
      <c r="E45" s="119">
        <f>AVERAGE(D$11:D45)</f>
        <v>2.2526893032227031</v>
      </c>
      <c r="F45"/>
      <c r="G45"/>
      <c r="H45"/>
      <c r="I45" s="120"/>
      <c r="V45" s="194"/>
    </row>
    <row r="46" spans="1:23" x14ac:dyDescent="0.3">
      <c r="A46" s="121">
        <v>36</v>
      </c>
      <c r="B46">
        <f>'[2]1. AveInvFlow'!B39</f>
        <v>0</v>
      </c>
      <c r="C46" s="119">
        <f t="shared" si="1"/>
        <v>2.8131795563861841</v>
      </c>
      <c r="D46" s="86">
        <f t="shared" si="0"/>
        <v>7.9139792164691674</v>
      </c>
      <c r="E46" s="119">
        <f>AVERAGE(D$11:D46)</f>
        <v>2.4099473563684386</v>
      </c>
      <c r="F46"/>
      <c r="G46"/>
      <c r="H46"/>
      <c r="I46" s="120"/>
      <c r="V46" s="194"/>
    </row>
    <row r="47" spans="1:23" x14ac:dyDescent="0.3">
      <c r="A47" s="121">
        <v>37</v>
      </c>
      <c r="B47">
        <f>'[2]1. AveInvFlow'!B40</f>
        <v>7</v>
      </c>
      <c r="C47" s="119">
        <f t="shared" si="1"/>
        <v>1.9692256894703288</v>
      </c>
      <c r="D47" s="86">
        <f t="shared" si="0"/>
        <v>25.308690163485291</v>
      </c>
      <c r="E47" s="119">
        <f>AVERAGE(D$11:D47)</f>
        <v>3.0288322971013266</v>
      </c>
      <c r="F47"/>
      <c r="G47"/>
      <c r="H47"/>
      <c r="I47" s="120"/>
      <c r="V47" s="194">
        <v>2</v>
      </c>
      <c r="W47" s="75">
        <f>B47-V47</f>
        <v>5</v>
      </c>
    </row>
    <row r="48" spans="1:23" x14ac:dyDescent="0.3">
      <c r="A48" s="121">
        <v>38</v>
      </c>
      <c r="B48">
        <f>'[2]1. AveInvFlow'!B41</f>
        <v>3</v>
      </c>
      <c r="C48" s="119">
        <f t="shared" si="1"/>
        <v>3.4784579826292301</v>
      </c>
      <c r="D48" s="86">
        <f t="shared" si="0"/>
        <v>0.22892204114163267</v>
      </c>
      <c r="E48" s="119">
        <f>AVERAGE(D$11:D48)</f>
        <v>2.9551504482602819</v>
      </c>
      <c r="F48"/>
      <c r="G48"/>
      <c r="H48"/>
      <c r="I48" s="120"/>
      <c r="V48" s="194">
        <v>0</v>
      </c>
      <c r="W48" s="75">
        <f>B48-V48</f>
        <v>3</v>
      </c>
    </row>
    <row r="49" spans="1:23" x14ac:dyDescent="0.3">
      <c r="A49" s="121">
        <v>39</v>
      </c>
      <c r="B49">
        <f>'[2]1. AveInvFlow'!B42</f>
        <v>5</v>
      </c>
      <c r="C49" s="119">
        <f t="shared" si="1"/>
        <v>3.3349205878404606</v>
      </c>
      <c r="D49" s="86">
        <f t="shared" si="0"/>
        <v>2.7724894487975571</v>
      </c>
      <c r="E49" s="119">
        <f>AVERAGE(D$11:D49)</f>
        <v>2.9504668328894428</v>
      </c>
      <c r="F49"/>
      <c r="G49"/>
      <c r="H49"/>
      <c r="I49" s="120"/>
      <c r="V49" s="194">
        <v>5</v>
      </c>
      <c r="W49" s="75">
        <f>B49-V49</f>
        <v>0</v>
      </c>
    </row>
    <row r="50" spans="1:23" x14ac:dyDescent="0.3">
      <c r="A50" s="121">
        <v>40</v>
      </c>
      <c r="B50">
        <f>'[2]1. AveInvFlow'!B43</f>
        <v>3</v>
      </c>
      <c r="C50" s="119">
        <f t="shared" si="1"/>
        <v>3.8344444114883225</v>
      </c>
      <c r="D50" s="86">
        <f t="shared" si="0"/>
        <v>0.69629747586409285</v>
      </c>
      <c r="E50" s="119">
        <f>AVERAGE(D$11:D50)</f>
        <v>2.894112598963809</v>
      </c>
      <c r="F50"/>
      <c r="G50"/>
      <c r="H50"/>
      <c r="I50" s="120"/>
      <c r="V50" s="194">
        <v>5</v>
      </c>
      <c r="W50" s="75">
        <f>B50-V50</f>
        <v>-2</v>
      </c>
    </row>
    <row r="51" spans="1:23" x14ac:dyDescent="0.3">
      <c r="A51" s="121">
        <v>41</v>
      </c>
      <c r="B51">
        <f>'[2]1. AveInvFlow'!B44</f>
        <v>7</v>
      </c>
      <c r="C51" s="119">
        <f t="shared" si="1"/>
        <v>3.5841110880418254</v>
      </c>
      <c r="D51" s="86">
        <f t="shared" si="0"/>
        <v>11.668297058838801</v>
      </c>
      <c r="E51" s="119">
        <f>AVERAGE(D$11:D51)</f>
        <v>3.1081170979851507</v>
      </c>
      <c r="F51"/>
      <c r="G51"/>
      <c r="H51"/>
      <c r="I51" s="120"/>
      <c r="V51" s="194">
        <v>0</v>
      </c>
      <c r="W51" s="75">
        <f>B51-V51</f>
        <v>7</v>
      </c>
    </row>
    <row r="52" spans="1:23" ht="17.25" thickBot="1" x14ac:dyDescent="0.35">
      <c r="A52" s="121">
        <v>42</v>
      </c>
      <c r="B52">
        <f>'[2]1. AveInvFlow'!B45</f>
        <v>3</v>
      </c>
      <c r="C52" s="119">
        <f t="shared" si="1"/>
        <v>4.6088777616292775</v>
      </c>
      <c r="D52" s="86">
        <f t="shared" si="0"/>
        <v>2.5884876518652344</v>
      </c>
      <c r="E52" s="119">
        <f>AVERAGE(D$11:D52)</f>
        <v>3.0957449683156284</v>
      </c>
      <c r="F52"/>
      <c r="G52"/>
      <c r="H52"/>
      <c r="I52" s="120"/>
    </row>
    <row r="53" spans="1:23" ht="17.25" thickBot="1" x14ac:dyDescent="0.35">
      <c r="B53" s="193" t="s">
        <v>90</v>
      </c>
      <c r="C53" s="192">
        <f t="shared" si="1"/>
        <v>4.1262144331404942</v>
      </c>
      <c r="D53" s="119" t="s">
        <v>89</v>
      </c>
      <c r="E53" s="87">
        <f>SQRT(E52)</f>
        <v>1.7594729234391839</v>
      </c>
      <c r="F53" t="s">
        <v>99</v>
      </c>
      <c r="G53"/>
      <c r="H53"/>
    </row>
    <row r="54" spans="1:23" x14ac:dyDescent="0.3">
      <c r="A54"/>
      <c r="B54"/>
      <c r="E54" s="87">
        <f>SQRT(A52/(A52-1)*E52)</f>
        <v>1.7808006466622239</v>
      </c>
      <c r="F54" t="s">
        <v>98</v>
      </c>
      <c r="G54"/>
      <c r="H54"/>
    </row>
    <row r="55" spans="1:23" x14ac:dyDescent="0.3">
      <c r="A55"/>
      <c r="B55"/>
      <c r="F55"/>
      <c r="G55"/>
      <c r="H55"/>
    </row>
    <row r="56" spans="1:23" x14ac:dyDescent="0.3">
      <c r="A56"/>
      <c r="B56"/>
    </row>
    <row r="57" spans="1:23" x14ac:dyDescent="0.3">
      <c r="A57"/>
      <c r="B57"/>
    </row>
    <row r="58" spans="1:23" x14ac:dyDescent="0.3">
      <c r="A58"/>
      <c r="B58"/>
    </row>
    <row r="59" spans="1:23" x14ac:dyDescent="0.3">
      <c r="A59"/>
      <c r="B59"/>
    </row>
    <row r="60" spans="1:23" x14ac:dyDescent="0.3">
      <c r="A60"/>
      <c r="B60"/>
    </row>
    <row r="61" spans="1:23" x14ac:dyDescent="0.3">
      <c r="A61"/>
      <c r="B61"/>
    </row>
    <row r="62" spans="1:23" x14ac:dyDescent="0.3">
      <c r="A62"/>
      <c r="B62"/>
    </row>
    <row r="63" spans="1:23" x14ac:dyDescent="0.3">
      <c r="A63"/>
      <c r="B63"/>
    </row>
    <row r="64" spans="1:23" x14ac:dyDescent="0.3">
      <c r="A64"/>
      <c r="B64"/>
    </row>
  </sheetData>
  <conditionalFormatting sqref="K12:K22">
    <cfRule type="cellIs" dxfId="4" priority="1" operator="equal">
      <formula>$K$24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Q49"/>
  <sheetViews>
    <sheetView topLeftCell="A15" zoomScaleNormal="100" workbookViewId="0">
      <selection activeCell="L41" sqref="L41"/>
    </sheetView>
  </sheetViews>
  <sheetFormatPr defaultRowHeight="15" x14ac:dyDescent="0.25"/>
  <cols>
    <col min="1" max="1" width="4.85546875" customWidth="1"/>
    <col min="2" max="2" width="7.5703125" customWidth="1"/>
    <col min="3" max="3" width="11.7109375" bestFit="1" customWidth="1"/>
    <col min="4" max="4" width="14" customWidth="1"/>
    <col min="6" max="6" width="11.7109375" bestFit="1" customWidth="1"/>
    <col min="8" max="8" width="17" customWidth="1"/>
    <col min="9" max="9" width="30" customWidth="1"/>
    <col min="10" max="10" width="10.85546875" customWidth="1"/>
    <col min="11" max="11" width="18" bestFit="1" customWidth="1"/>
    <col min="12" max="12" width="18.28515625" customWidth="1"/>
    <col min="13" max="13" width="11.140625" customWidth="1"/>
  </cols>
  <sheetData>
    <row r="1" spans="1:17" ht="16.5" thickBot="1" x14ac:dyDescent="0.3">
      <c r="A1" s="89" t="s">
        <v>130</v>
      </c>
      <c r="J1" s="88"/>
      <c r="K1" t="s">
        <v>129</v>
      </c>
    </row>
    <row r="2" spans="1:17" ht="16.5" thickBot="1" x14ac:dyDescent="0.3">
      <c r="A2" s="89" t="s">
        <v>128</v>
      </c>
      <c r="F2" s="200">
        <f>M5</f>
        <v>0.47043328596187128</v>
      </c>
      <c r="J2" s="88"/>
    </row>
    <row r="3" spans="1:17" ht="16.5" thickBot="1" x14ac:dyDescent="0.3">
      <c r="A3" s="88" t="s">
        <v>127</v>
      </c>
      <c r="F3" s="200">
        <f>C49</f>
        <v>4.0975609756097562</v>
      </c>
      <c r="J3" s="88"/>
      <c r="K3" s="203" t="s">
        <v>126</v>
      </c>
      <c r="L3" s="203"/>
    </row>
    <row r="4" spans="1:17" ht="16.5" thickBot="1" x14ac:dyDescent="0.3">
      <c r="A4" s="88" t="s">
        <v>125</v>
      </c>
      <c r="F4" s="200">
        <f>L7</f>
        <v>1.7600971052614571</v>
      </c>
      <c r="K4" s="201" t="s">
        <v>124</v>
      </c>
      <c r="L4" s="201">
        <v>0.33557415837466764</v>
      </c>
    </row>
    <row r="5" spans="1:17" ht="15.75" thickBot="1" x14ac:dyDescent="0.3">
      <c r="K5" s="201" t="s">
        <v>123</v>
      </c>
      <c r="L5" s="201">
        <v>0.11261001576886653</v>
      </c>
      <c r="M5" s="200">
        <f>CORREL(B7:B48,A7:A48)</f>
        <v>0.47043328596187128</v>
      </c>
    </row>
    <row r="6" spans="1:17" ht="16.5" thickBot="1" x14ac:dyDescent="0.3">
      <c r="A6" s="88" t="s">
        <v>31</v>
      </c>
      <c r="B6" s="121" t="s">
        <v>0</v>
      </c>
      <c r="C6" s="121" t="s">
        <v>122</v>
      </c>
      <c r="K6" s="201" t="s">
        <v>121</v>
      </c>
      <c r="L6" s="201">
        <v>9.0425266163088186E-2</v>
      </c>
      <c r="M6" s="200">
        <f>M5^2</f>
        <v>0.22130747654088376</v>
      </c>
    </row>
    <row r="7" spans="1:17" ht="16.5" x14ac:dyDescent="0.3">
      <c r="A7" s="197">
        <v>1</v>
      </c>
      <c r="B7" s="198">
        <f>'[2]1. AveInvFlow'!B4</f>
        <v>2</v>
      </c>
      <c r="C7" s="196">
        <f t="shared" ref="C7:C49" si="0">$J$17+$J$18*A7</f>
        <v>1.2558139534883719</v>
      </c>
      <c r="K7" s="201" t="s">
        <v>109</v>
      </c>
      <c r="L7" s="201">
        <v>1.7600971052614571</v>
      </c>
    </row>
    <row r="8" spans="1:17" ht="17.25" thickBot="1" x14ac:dyDescent="0.35">
      <c r="A8" s="197">
        <v>2</v>
      </c>
      <c r="B8" s="198">
        <f>'[2]1. AveInvFlow'!B5</f>
        <v>2</v>
      </c>
      <c r="C8" s="196">
        <f t="shared" si="0"/>
        <v>1.3234745968722144</v>
      </c>
      <c r="K8" s="199" t="s">
        <v>120</v>
      </c>
      <c r="L8" s="199">
        <v>42</v>
      </c>
    </row>
    <row r="9" spans="1:17" ht="16.5" x14ac:dyDescent="0.3">
      <c r="A9" s="197">
        <v>3</v>
      </c>
      <c r="B9" s="198">
        <f>'[2]1. AveInvFlow'!B6</f>
        <v>1</v>
      </c>
      <c r="C9" s="196">
        <f t="shared" si="0"/>
        <v>1.3911352402560568</v>
      </c>
    </row>
    <row r="10" spans="1:17" ht="17.25" thickBot="1" x14ac:dyDescent="0.35">
      <c r="A10" s="197">
        <v>4</v>
      </c>
      <c r="B10" s="198">
        <f>'[2]1. AveInvFlow'!B7</f>
        <v>0</v>
      </c>
      <c r="C10" s="196">
        <f t="shared" si="0"/>
        <v>1.4587958836398993</v>
      </c>
      <c r="H10" s="88"/>
      <c r="I10" s="88"/>
      <c r="J10" s="88"/>
      <c r="K10" t="s">
        <v>119</v>
      </c>
    </row>
    <row r="11" spans="1:17" ht="16.5" x14ac:dyDescent="0.3">
      <c r="A11" s="197">
        <v>5</v>
      </c>
      <c r="B11" s="198">
        <f>'[2]1. AveInvFlow'!B8</f>
        <v>2</v>
      </c>
      <c r="C11" s="196">
        <f t="shared" si="0"/>
        <v>1.5264565270237418</v>
      </c>
      <c r="D11" s="88"/>
      <c r="E11" s="88"/>
      <c r="F11" s="88"/>
      <c r="G11" s="88"/>
      <c r="K11" s="202"/>
      <c r="L11" s="202" t="s">
        <v>118</v>
      </c>
      <c r="M11" s="202" t="s">
        <v>117</v>
      </c>
      <c r="N11" s="202" t="s">
        <v>116</v>
      </c>
      <c r="O11" s="202" t="s">
        <v>115</v>
      </c>
      <c r="P11" s="202" t="s">
        <v>114</v>
      </c>
    </row>
    <row r="12" spans="1:17" ht="16.5" x14ac:dyDescent="0.3">
      <c r="A12" s="197">
        <v>6</v>
      </c>
      <c r="B12" s="198">
        <f>'[2]1. AveInvFlow'!B9</f>
        <v>1</v>
      </c>
      <c r="C12" s="196">
        <f t="shared" si="0"/>
        <v>1.5941171704075843</v>
      </c>
      <c r="K12" s="201" t="s">
        <v>113</v>
      </c>
      <c r="L12" s="201">
        <v>1</v>
      </c>
      <c r="M12" s="201">
        <v>15.725184344866719</v>
      </c>
      <c r="N12" s="201">
        <v>15.725184344866719</v>
      </c>
      <c r="O12" s="201">
        <v>5.0760102218839389</v>
      </c>
      <c r="P12" s="201">
        <v>2.9812598505862674E-2</v>
      </c>
    </row>
    <row r="13" spans="1:17" ht="16.5" x14ac:dyDescent="0.3">
      <c r="A13" s="197">
        <v>7</v>
      </c>
      <c r="B13" s="198">
        <f>'[2]1. AveInvFlow'!B10</f>
        <v>0</v>
      </c>
      <c r="C13" s="196">
        <f t="shared" si="0"/>
        <v>1.6617778137914268</v>
      </c>
      <c r="K13" s="201" t="s">
        <v>112</v>
      </c>
      <c r="L13" s="201">
        <v>40</v>
      </c>
      <c r="M13" s="201">
        <v>123.91767279799042</v>
      </c>
      <c r="N13" s="201">
        <v>3.0979418199497606</v>
      </c>
      <c r="O13" s="201"/>
      <c r="P13" s="201"/>
    </row>
    <row r="14" spans="1:17" ht="17.25" thickBot="1" x14ac:dyDescent="0.35">
      <c r="A14" s="197">
        <v>8</v>
      </c>
      <c r="B14" s="198">
        <f>'[2]1. AveInvFlow'!B11</f>
        <v>1</v>
      </c>
      <c r="C14" s="196">
        <f t="shared" si="0"/>
        <v>1.7294384571752692</v>
      </c>
      <c r="K14" s="199" t="s">
        <v>111</v>
      </c>
      <c r="L14" s="199">
        <v>41</v>
      </c>
      <c r="M14" s="199">
        <v>139.64285714285714</v>
      </c>
      <c r="N14" s="199"/>
      <c r="O14" s="199"/>
      <c r="P14" s="199"/>
    </row>
    <row r="15" spans="1:17" ht="17.25" thickBot="1" x14ac:dyDescent="0.35">
      <c r="A15" s="197">
        <v>9</v>
      </c>
      <c r="B15" s="198">
        <f>'[2]1. AveInvFlow'!B12</f>
        <v>3</v>
      </c>
      <c r="C15" s="196">
        <f t="shared" si="0"/>
        <v>1.7970991005591117</v>
      </c>
    </row>
    <row r="16" spans="1:17" ht="17.25" thickBot="1" x14ac:dyDescent="0.35">
      <c r="A16" s="197">
        <v>10</v>
      </c>
      <c r="B16" s="198">
        <f>'[2]1. AveInvFlow'!B13</f>
        <v>3</v>
      </c>
      <c r="C16" s="196">
        <f t="shared" si="0"/>
        <v>1.8647597439429542</v>
      </c>
      <c r="K16" s="202"/>
      <c r="L16" s="202" t="s">
        <v>110</v>
      </c>
      <c r="M16" s="202" t="s">
        <v>109</v>
      </c>
      <c r="N16" s="202" t="s">
        <v>108</v>
      </c>
      <c r="O16" s="202" t="s">
        <v>107</v>
      </c>
      <c r="P16" s="202" t="s">
        <v>106</v>
      </c>
      <c r="Q16" s="202" t="s">
        <v>105</v>
      </c>
    </row>
    <row r="17" spans="1:17" ht="17.25" thickBot="1" x14ac:dyDescent="0.35">
      <c r="A17" s="197">
        <v>11</v>
      </c>
      <c r="B17" s="198">
        <f>'[2]1. AveInvFlow'!B14</f>
        <v>1</v>
      </c>
      <c r="C17" s="196">
        <f t="shared" si="0"/>
        <v>1.9324203873267967</v>
      </c>
      <c r="J17" s="200">
        <f>INTERCEPT(B7:B48,A7:A48)</f>
        <v>1.1881533101045294</v>
      </c>
      <c r="K17" s="201" t="s">
        <v>104</v>
      </c>
      <c r="L17" s="201">
        <v>1.2717770034843201</v>
      </c>
      <c r="M17" s="201">
        <v>0.55302468340899247</v>
      </c>
      <c r="N17" s="201">
        <v>2.2996749361072739</v>
      </c>
      <c r="O17" s="201">
        <v>2.6765107173762532E-2</v>
      </c>
      <c r="P17" s="201">
        <v>0.1540724256144872</v>
      </c>
      <c r="Q17" s="201">
        <v>2.3894815813541532</v>
      </c>
    </row>
    <row r="18" spans="1:17" ht="17.25" thickBot="1" x14ac:dyDescent="0.35">
      <c r="A18" s="197">
        <v>12</v>
      </c>
      <c r="B18" s="198">
        <f>'[2]1. AveInvFlow'!B15</f>
        <v>2</v>
      </c>
      <c r="C18" s="196">
        <f t="shared" si="0"/>
        <v>2.0000810307106391</v>
      </c>
      <c r="I18" s="88"/>
      <c r="J18" s="200">
        <f>SLOPE(B7:B48,A7:A48)</f>
        <v>6.7660643383842478E-2</v>
      </c>
      <c r="K18" s="199" t="s">
        <v>103</v>
      </c>
      <c r="L18" s="199">
        <v>5.0482132728304048E-2</v>
      </c>
      <c r="M18" s="199">
        <v>2.2406625234061266E-2</v>
      </c>
      <c r="N18" s="199">
        <v>2.2530002711681902</v>
      </c>
      <c r="O18" s="200">
        <v>2.981259850586274E-2</v>
      </c>
      <c r="P18" s="199">
        <v>5.1966538879272758E-3</v>
      </c>
      <c r="Q18" s="199">
        <v>9.5767611568680827E-2</v>
      </c>
    </row>
    <row r="19" spans="1:17" ht="16.5" x14ac:dyDescent="0.3">
      <c r="A19" s="197">
        <v>13</v>
      </c>
      <c r="B19" s="198">
        <f>'[2]1. AveInvFlow'!B16</f>
        <v>3</v>
      </c>
      <c r="C19" s="196">
        <f t="shared" si="0"/>
        <v>2.0677416740944814</v>
      </c>
      <c r="I19" s="88"/>
      <c r="J19" s="88"/>
    </row>
    <row r="20" spans="1:17" ht="16.5" x14ac:dyDescent="0.3">
      <c r="A20" s="197">
        <v>14</v>
      </c>
      <c r="B20" s="198">
        <f>'[2]1. AveInvFlow'!B17</f>
        <v>2</v>
      </c>
      <c r="C20" s="196">
        <f t="shared" si="0"/>
        <v>2.1354023174783241</v>
      </c>
      <c r="I20" s="88"/>
      <c r="J20" s="88"/>
    </row>
    <row r="21" spans="1:17" ht="16.5" x14ac:dyDescent="0.3">
      <c r="A21" s="197">
        <v>15</v>
      </c>
      <c r="B21" s="198">
        <f>'[2]1. AveInvFlow'!B18</f>
        <v>2</v>
      </c>
      <c r="C21" s="196">
        <f t="shared" si="0"/>
        <v>2.2030629608621668</v>
      </c>
      <c r="I21" s="88"/>
      <c r="J21" s="88"/>
    </row>
    <row r="22" spans="1:17" ht="16.5" x14ac:dyDescent="0.3">
      <c r="A22" s="197">
        <v>16</v>
      </c>
      <c r="B22" s="198">
        <f>'[2]1. AveInvFlow'!B19</f>
        <v>5</v>
      </c>
      <c r="C22" s="196">
        <f t="shared" si="0"/>
        <v>2.2707236042460091</v>
      </c>
      <c r="I22" s="88"/>
      <c r="J22" s="88"/>
    </row>
    <row r="23" spans="1:17" ht="16.5" x14ac:dyDescent="0.3">
      <c r="A23" s="197">
        <v>17</v>
      </c>
      <c r="B23" s="198">
        <f>'[2]1. AveInvFlow'!B20</f>
        <v>2</v>
      </c>
      <c r="C23" s="196">
        <f t="shared" si="0"/>
        <v>2.3383842476298513</v>
      </c>
      <c r="I23" s="88"/>
      <c r="J23" s="88"/>
    </row>
    <row r="24" spans="1:17" ht="16.5" x14ac:dyDescent="0.3">
      <c r="A24" s="197">
        <v>18</v>
      </c>
      <c r="B24" s="198">
        <f>'[2]1. AveInvFlow'!B21</f>
        <v>2</v>
      </c>
      <c r="C24" s="196">
        <f t="shared" si="0"/>
        <v>2.406044891013694</v>
      </c>
      <c r="I24" s="88"/>
      <c r="J24" s="88"/>
    </row>
    <row r="25" spans="1:17" ht="16.5" x14ac:dyDescent="0.3">
      <c r="A25" s="197">
        <v>19</v>
      </c>
      <c r="B25" s="198">
        <f>'[2]1. AveInvFlow'!B22</f>
        <v>1</v>
      </c>
      <c r="C25" s="196">
        <f t="shared" si="0"/>
        <v>2.4737055343975367</v>
      </c>
      <c r="I25" s="88"/>
      <c r="J25" s="88"/>
    </row>
    <row r="26" spans="1:17" ht="16.5" x14ac:dyDescent="0.3">
      <c r="A26" s="197">
        <v>20</v>
      </c>
      <c r="B26" s="198">
        <f>'[2]1. AveInvFlow'!B23</f>
        <v>2</v>
      </c>
      <c r="C26" s="196">
        <f t="shared" si="0"/>
        <v>2.541366177781379</v>
      </c>
      <c r="I26" s="88"/>
      <c r="J26" s="88"/>
    </row>
    <row r="27" spans="1:17" ht="16.5" x14ac:dyDescent="0.3">
      <c r="A27" s="197">
        <v>21</v>
      </c>
      <c r="B27" s="198">
        <f>'[2]1. AveInvFlow'!B24</f>
        <v>3</v>
      </c>
      <c r="C27" s="196">
        <f t="shared" si="0"/>
        <v>2.6090268211652212</v>
      </c>
      <c r="I27" s="88"/>
      <c r="J27" s="88"/>
    </row>
    <row r="28" spans="1:17" ht="16.5" x14ac:dyDescent="0.3">
      <c r="A28" s="197">
        <v>22</v>
      </c>
      <c r="B28" s="198">
        <f>'[2]1. AveInvFlow'!B25</f>
        <v>3</v>
      </c>
      <c r="C28" s="196">
        <f t="shared" si="0"/>
        <v>2.6766874645490639</v>
      </c>
      <c r="I28" s="88"/>
      <c r="J28" s="88"/>
    </row>
    <row r="29" spans="1:17" ht="16.5" x14ac:dyDescent="0.3">
      <c r="A29" s="197">
        <v>23</v>
      </c>
      <c r="B29" s="198">
        <f>'[2]1. AveInvFlow'!B26</f>
        <v>3</v>
      </c>
      <c r="C29" s="196">
        <f t="shared" si="0"/>
        <v>2.7443481079329066</v>
      </c>
      <c r="I29" s="88"/>
      <c r="J29" s="88"/>
    </row>
    <row r="30" spans="1:17" ht="16.5" x14ac:dyDescent="0.3">
      <c r="A30" s="197">
        <v>24</v>
      </c>
      <c r="B30" s="198">
        <f>'[2]1. AveInvFlow'!B27</f>
        <v>4</v>
      </c>
      <c r="C30" s="196">
        <f t="shared" si="0"/>
        <v>2.8120087513167489</v>
      </c>
      <c r="I30" s="88"/>
      <c r="J30" s="88"/>
    </row>
    <row r="31" spans="1:17" ht="16.5" x14ac:dyDescent="0.3">
      <c r="A31" s="197">
        <v>25</v>
      </c>
      <c r="B31" s="198">
        <f>'[2]1. AveInvFlow'!B28</f>
        <v>7</v>
      </c>
      <c r="C31" s="196">
        <f t="shared" si="0"/>
        <v>2.8796693947005911</v>
      </c>
      <c r="I31" s="88"/>
      <c r="J31" s="88"/>
    </row>
    <row r="32" spans="1:17" ht="16.5" x14ac:dyDescent="0.3">
      <c r="A32" s="197">
        <v>26</v>
      </c>
      <c r="B32" s="198">
        <f>'[2]1. AveInvFlow'!B29</f>
        <v>1</v>
      </c>
      <c r="C32" s="196">
        <f t="shared" si="0"/>
        <v>2.9473300380844338</v>
      </c>
      <c r="I32" s="88"/>
      <c r="J32" s="88"/>
    </row>
    <row r="33" spans="1:10" ht="16.5" x14ac:dyDescent="0.3">
      <c r="A33" s="197">
        <v>27</v>
      </c>
      <c r="B33" s="198">
        <f>'[2]1. AveInvFlow'!B30</f>
        <v>2</v>
      </c>
      <c r="C33" s="196">
        <f t="shared" si="0"/>
        <v>3.0149906814682765</v>
      </c>
      <c r="I33" s="88"/>
      <c r="J33" s="88"/>
    </row>
    <row r="34" spans="1:10" ht="16.5" x14ac:dyDescent="0.3">
      <c r="A34" s="197">
        <v>28</v>
      </c>
      <c r="B34" s="198">
        <f>'[2]1. AveInvFlow'!B31</f>
        <v>3</v>
      </c>
      <c r="C34" s="196">
        <f t="shared" si="0"/>
        <v>3.0826513248521188</v>
      </c>
      <c r="I34" s="88"/>
      <c r="J34" s="88"/>
    </row>
    <row r="35" spans="1:10" ht="16.5" x14ac:dyDescent="0.3">
      <c r="A35" s="197">
        <v>29</v>
      </c>
      <c r="B35" s="198">
        <f>'[2]1. AveInvFlow'!B32</f>
        <v>2</v>
      </c>
      <c r="C35" s="196">
        <f t="shared" si="0"/>
        <v>3.150311968235961</v>
      </c>
      <c r="I35" s="88"/>
      <c r="J35" s="88"/>
    </row>
    <row r="36" spans="1:10" ht="16.5" x14ac:dyDescent="0.3">
      <c r="A36" s="197">
        <v>30</v>
      </c>
      <c r="B36" s="198">
        <f>'[2]1. AveInvFlow'!B33</f>
        <v>5</v>
      </c>
      <c r="C36" s="196">
        <f t="shared" si="0"/>
        <v>3.2179726116198037</v>
      </c>
      <c r="I36" s="88"/>
      <c r="J36" s="88"/>
    </row>
    <row r="37" spans="1:10" ht="16.5" x14ac:dyDescent="0.3">
      <c r="A37" s="197">
        <v>31</v>
      </c>
      <c r="B37" s="198">
        <f>'[2]1. AveInvFlow'!B34</f>
        <v>2</v>
      </c>
      <c r="C37" s="196">
        <f t="shared" si="0"/>
        <v>3.2856332550036464</v>
      </c>
      <c r="I37" s="88"/>
      <c r="J37" s="88"/>
    </row>
    <row r="38" spans="1:10" ht="16.5" x14ac:dyDescent="0.3">
      <c r="A38" s="197">
        <v>32</v>
      </c>
      <c r="B38" s="198">
        <f>'[2]1. AveInvFlow'!B35</f>
        <v>3</v>
      </c>
      <c r="C38" s="196">
        <f t="shared" si="0"/>
        <v>3.3532938983874887</v>
      </c>
      <c r="I38" s="88"/>
      <c r="J38" s="88"/>
    </row>
    <row r="39" spans="1:10" ht="16.5" x14ac:dyDescent="0.3">
      <c r="A39" s="197">
        <v>33</v>
      </c>
      <c r="B39" s="198">
        <f>'[2]1. AveInvFlow'!B36</f>
        <v>1</v>
      </c>
      <c r="C39" s="196">
        <f t="shared" si="0"/>
        <v>3.420954541771331</v>
      </c>
      <c r="I39" s="88"/>
      <c r="J39" s="88"/>
    </row>
    <row r="40" spans="1:10" ht="16.5" x14ac:dyDescent="0.3">
      <c r="A40" s="197">
        <v>34</v>
      </c>
      <c r="B40" s="198">
        <f>'[2]1. AveInvFlow'!B37</f>
        <v>5</v>
      </c>
      <c r="C40" s="196">
        <f t="shared" si="0"/>
        <v>3.4886151851551737</v>
      </c>
      <c r="I40" s="88"/>
      <c r="J40" s="88"/>
    </row>
    <row r="41" spans="1:10" ht="16.5" x14ac:dyDescent="0.3">
      <c r="A41" s="197">
        <v>35</v>
      </c>
      <c r="B41" s="198">
        <f>'[2]1. AveInvFlow'!B38</f>
        <v>2</v>
      </c>
      <c r="C41" s="196">
        <f t="shared" si="0"/>
        <v>3.5562758285390164</v>
      </c>
      <c r="I41" s="88"/>
      <c r="J41" s="88"/>
    </row>
    <row r="42" spans="1:10" ht="16.5" x14ac:dyDescent="0.3">
      <c r="A42" s="197">
        <v>36</v>
      </c>
      <c r="B42" s="198">
        <f>'[2]1. AveInvFlow'!B39</f>
        <v>0</v>
      </c>
      <c r="C42" s="196">
        <f t="shared" si="0"/>
        <v>3.6239364719228586</v>
      </c>
      <c r="I42" s="88"/>
      <c r="J42" s="88"/>
    </row>
    <row r="43" spans="1:10" ht="16.5" x14ac:dyDescent="0.3">
      <c r="A43" s="197">
        <v>37</v>
      </c>
      <c r="B43" s="198">
        <f>'[2]1. AveInvFlow'!B40</f>
        <v>7</v>
      </c>
      <c r="C43" s="196">
        <f t="shared" si="0"/>
        <v>3.6915971153067009</v>
      </c>
      <c r="I43" s="88"/>
      <c r="J43" s="88"/>
    </row>
    <row r="44" spans="1:10" ht="16.5" x14ac:dyDescent="0.3">
      <c r="A44" s="197">
        <v>38</v>
      </c>
      <c r="B44" s="198">
        <f>'[2]1. AveInvFlow'!B41</f>
        <v>3</v>
      </c>
      <c r="C44" s="196">
        <f t="shared" si="0"/>
        <v>3.7592577586905436</v>
      </c>
      <c r="I44" s="88"/>
      <c r="J44" s="88"/>
    </row>
    <row r="45" spans="1:10" ht="16.5" x14ac:dyDescent="0.3">
      <c r="A45" s="197">
        <v>39</v>
      </c>
      <c r="B45" s="198">
        <f>'[2]1. AveInvFlow'!B42</f>
        <v>5</v>
      </c>
      <c r="C45" s="196">
        <f t="shared" si="0"/>
        <v>3.8269184020743863</v>
      </c>
      <c r="I45" s="88"/>
      <c r="J45" s="88"/>
    </row>
    <row r="46" spans="1:10" ht="16.5" x14ac:dyDescent="0.3">
      <c r="A46" s="197">
        <v>40</v>
      </c>
      <c r="B46" s="198">
        <f>'[2]1. AveInvFlow'!B43</f>
        <v>3</v>
      </c>
      <c r="C46" s="196">
        <f t="shared" si="0"/>
        <v>3.8945790454582285</v>
      </c>
      <c r="I46" s="88"/>
      <c r="J46" s="88"/>
    </row>
    <row r="47" spans="1:10" ht="16.5" x14ac:dyDescent="0.3">
      <c r="A47" s="197">
        <v>41</v>
      </c>
      <c r="B47" s="198">
        <f>'[2]1. AveInvFlow'!B44</f>
        <v>7</v>
      </c>
      <c r="C47" s="196">
        <f t="shared" si="0"/>
        <v>3.9622396888420708</v>
      </c>
      <c r="I47" s="88"/>
      <c r="J47" s="88"/>
    </row>
    <row r="48" spans="1:10" ht="16.5" x14ac:dyDescent="0.3">
      <c r="A48" s="197">
        <v>42</v>
      </c>
      <c r="B48" s="198">
        <f>'[2]1. AveInvFlow'!B45</f>
        <v>3</v>
      </c>
      <c r="C48" s="196">
        <f t="shared" si="0"/>
        <v>4.0299003322259139</v>
      </c>
      <c r="I48" s="88"/>
      <c r="J48" s="88"/>
    </row>
    <row r="49" spans="1:3" ht="15.75" x14ac:dyDescent="0.25">
      <c r="A49" s="197">
        <v>43</v>
      </c>
      <c r="C49" s="196">
        <f t="shared" si="0"/>
        <v>4.0975609756097562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89"/>
  <sheetViews>
    <sheetView workbookViewId="0">
      <selection activeCell="K3" sqref="K3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140625" style="3" bestFit="1" customWidth="1"/>
    <col min="4" max="4" width="11.5703125" style="3" bestFit="1" customWidth="1"/>
    <col min="5" max="5" width="9.140625" style="55" customWidth="1"/>
    <col min="6" max="6" width="4.42578125" style="3" bestFit="1" customWidth="1"/>
    <col min="7" max="14" width="9.140625" style="3"/>
    <col min="15" max="15" width="12.28515625" style="3" customWidth="1"/>
    <col min="16" max="16384" width="9.140625" style="3"/>
  </cols>
  <sheetData>
    <row r="1" spans="1:21" ht="15.75" thickBot="1" x14ac:dyDescent="0.3">
      <c r="A1" s="38" t="s">
        <v>33</v>
      </c>
      <c r="B1" s="39"/>
      <c r="C1" s="40"/>
      <c r="D1" s="39"/>
      <c r="E1" s="74"/>
      <c r="G1" s="3" t="s">
        <v>34</v>
      </c>
      <c r="L1" s="41"/>
      <c r="M1" s="43" t="s">
        <v>23</v>
      </c>
      <c r="N1" s="43"/>
      <c r="O1" s="43"/>
      <c r="P1" s="41"/>
      <c r="Q1" s="41"/>
      <c r="R1" s="44">
        <f ca="1">RANDBETWEEN(100,150)</f>
        <v>116</v>
      </c>
      <c r="S1" s="45">
        <f ca="1">RANDBETWEEN(5,15)</f>
        <v>5</v>
      </c>
      <c r="T1" s="44">
        <v>0.1</v>
      </c>
      <c r="U1" s="41"/>
    </row>
    <row r="2" spans="1:21" ht="15.75" thickBot="1" x14ac:dyDescent="0.3">
      <c r="A2" s="46" t="s">
        <v>5</v>
      </c>
      <c r="B2" s="60" t="s">
        <v>30</v>
      </c>
      <c r="C2" s="47" t="s">
        <v>24</v>
      </c>
      <c r="D2" s="57" t="s">
        <v>28</v>
      </c>
      <c r="F2" s="14" t="s">
        <v>5</v>
      </c>
      <c r="G2" s="36" t="s">
        <v>30</v>
      </c>
      <c r="H2" s="36" t="s">
        <v>24</v>
      </c>
      <c r="I2" s="36" t="s">
        <v>28</v>
      </c>
      <c r="L2" s="41"/>
      <c r="M2" s="44"/>
      <c r="N2" s="44"/>
      <c r="O2" s="58" t="s">
        <v>29</v>
      </c>
      <c r="P2" s="42" t="s">
        <v>25</v>
      </c>
      <c r="Q2" s="42" t="s">
        <v>26</v>
      </c>
      <c r="R2" s="59"/>
      <c r="S2" s="48"/>
      <c r="T2" s="41"/>
      <c r="U2" s="41"/>
    </row>
    <row r="3" spans="1:21" ht="15" x14ac:dyDescent="0.25">
      <c r="A3" s="49">
        <v>1</v>
      </c>
      <c r="B3" s="50">
        <f t="shared" ref="B3:B66" ca="1" si="0">INDEX($Q$3:$Q$77,RANK(L3,$L$3:$L$77))</f>
        <v>3868</v>
      </c>
      <c r="C3" s="51">
        <f ca="1">SMALL($Q$3:$Q$77,M3)</f>
        <v>1553</v>
      </c>
      <c r="D3" s="52">
        <f ca="1">Q3</f>
        <v>1553</v>
      </c>
      <c r="E3" s="54"/>
      <c r="F3" s="14">
        <v>1</v>
      </c>
      <c r="G3" s="36">
        <v>10208</v>
      </c>
      <c r="H3" s="36">
        <v>1436</v>
      </c>
      <c r="I3" s="36">
        <v>1436</v>
      </c>
      <c r="L3" s="41">
        <f t="shared" ref="L3:L66" ca="1" si="1">RAND()</f>
        <v>0.62011768435115111</v>
      </c>
      <c r="M3" s="44">
        <v>1</v>
      </c>
      <c r="N3" s="44">
        <v>1</v>
      </c>
      <c r="O3" s="44">
        <f ca="1">INT($R$1+$S$1*N3)</f>
        <v>121</v>
      </c>
      <c r="P3" s="53">
        <f ca="1">(((IF(MOD(N3,5)&lt;&gt;0,MOD(N3,5),5))+12)+_xlfn.NORM.S.INV(RAND()))</f>
        <v>12.836142577162798</v>
      </c>
      <c r="Q3" s="41">
        <f ca="1">ROUND(O3*P3,0)</f>
        <v>1553</v>
      </c>
      <c r="R3" s="41"/>
      <c r="S3" s="48"/>
      <c r="T3" s="41"/>
      <c r="U3" s="41"/>
    </row>
    <row r="4" spans="1:21" ht="15" x14ac:dyDescent="0.25">
      <c r="A4" s="49">
        <v>2</v>
      </c>
      <c r="B4" s="50">
        <f t="shared" ca="1" si="0"/>
        <v>3253</v>
      </c>
      <c r="C4" s="51">
        <f t="shared" ref="C4:C67" ca="1" si="2">SMALL($Q$3:$Q$77,M4)</f>
        <v>1850</v>
      </c>
      <c r="D4" s="52">
        <f t="shared" ref="D4:D67" ca="1" si="3">Q4</f>
        <v>1850</v>
      </c>
      <c r="E4" s="54"/>
      <c r="F4" s="14">
        <v>2</v>
      </c>
      <c r="G4" s="36">
        <v>7226</v>
      </c>
      <c r="H4" s="36">
        <v>1690</v>
      </c>
      <c r="I4" s="36">
        <v>1690</v>
      </c>
      <c r="L4" s="41">
        <f t="shared" ca="1" si="1"/>
        <v>0.72886194238877999</v>
      </c>
      <c r="M4" s="44">
        <v>2</v>
      </c>
      <c r="N4" s="44">
        <v>2</v>
      </c>
      <c r="O4" s="44">
        <f t="shared" ref="O4:O67" ca="1" si="4">INT($R$1+$S$1*N4)</f>
        <v>126</v>
      </c>
      <c r="P4" s="53">
        <f t="shared" ref="P4:P67" ca="1" si="5">(((IF(MOD(N4,5)&lt;&gt;0,MOD(N4,5),5))+12)+_xlfn.NORM.S.INV(RAND()))</f>
        <v>14.682509131977911</v>
      </c>
      <c r="Q4" s="41">
        <f t="shared" ref="Q4:Q67" ca="1" si="6">ROUND(O4*P4,0)</f>
        <v>1850</v>
      </c>
      <c r="R4" s="41"/>
      <c r="S4" s="48"/>
      <c r="T4" s="41"/>
      <c r="U4" s="41"/>
    </row>
    <row r="5" spans="1:21" ht="15" x14ac:dyDescent="0.25">
      <c r="A5" s="49">
        <v>3</v>
      </c>
      <c r="B5" s="50">
        <f t="shared" ca="1" si="0"/>
        <v>4764</v>
      </c>
      <c r="C5" s="51">
        <f t="shared" ca="1" si="2"/>
        <v>1893</v>
      </c>
      <c r="D5" s="52">
        <f t="shared" ca="1" si="3"/>
        <v>1893</v>
      </c>
      <c r="E5" s="54"/>
      <c r="F5" s="14">
        <v>3</v>
      </c>
      <c r="G5" s="36">
        <v>3498</v>
      </c>
      <c r="H5" s="36">
        <v>1909</v>
      </c>
      <c r="I5" s="36">
        <v>1909</v>
      </c>
      <c r="L5" s="41">
        <f t="shared" ca="1" si="1"/>
        <v>0.50535056570943304</v>
      </c>
      <c r="M5" s="44">
        <v>3</v>
      </c>
      <c r="N5" s="44">
        <v>3</v>
      </c>
      <c r="O5" s="44">
        <f t="shared" ca="1" si="4"/>
        <v>131</v>
      </c>
      <c r="P5" s="53">
        <f t="shared" ca="1" si="5"/>
        <v>14.447989247658503</v>
      </c>
      <c r="Q5" s="41">
        <f t="shared" ca="1" si="6"/>
        <v>1893</v>
      </c>
      <c r="R5" s="41"/>
      <c r="S5" s="48"/>
      <c r="T5" s="41"/>
      <c r="U5" s="41"/>
    </row>
    <row r="6" spans="1:21" ht="15" x14ac:dyDescent="0.25">
      <c r="A6" s="49">
        <v>4</v>
      </c>
      <c r="B6" s="50">
        <f t="shared" ca="1" si="0"/>
        <v>6689</v>
      </c>
      <c r="C6" s="51">
        <f t="shared" ca="1" si="2"/>
        <v>2013</v>
      </c>
      <c r="D6" s="52">
        <f t="shared" ca="1" si="3"/>
        <v>2134</v>
      </c>
      <c r="E6" s="54"/>
      <c r="F6" s="14">
        <v>4</v>
      </c>
      <c r="G6" s="36">
        <v>5654</v>
      </c>
      <c r="H6" s="36">
        <v>1984</v>
      </c>
      <c r="I6" s="36">
        <v>2078</v>
      </c>
      <c r="L6" s="41">
        <f t="shared" ca="1" si="1"/>
        <v>0.11040369707590492</v>
      </c>
      <c r="M6" s="44">
        <v>4</v>
      </c>
      <c r="N6" s="44">
        <v>4</v>
      </c>
      <c r="O6" s="44">
        <f t="shared" ca="1" si="4"/>
        <v>136</v>
      </c>
      <c r="P6" s="53">
        <f t="shared" ca="1" si="5"/>
        <v>15.694723800262986</v>
      </c>
      <c r="Q6" s="41">
        <f t="shared" ca="1" si="6"/>
        <v>2134</v>
      </c>
      <c r="R6" s="41"/>
      <c r="S6" s="48"/>
      <c r="T6" s="41"/>
      <c r="U6" s="41"/>
    </row>
    <row r="7" spans="1:21" ht="15" x14ac:dyDescent="0.25">
      <c r="A7" s="49">
        <v>5</v>
      </c>
      <c r="B7" s="50">
        <f t="shared" ca="1" si="0"/>
        <v>5698</v>
      </c>
      <c r="C7" s="51">
        <f t="shared" ca="1" si="2"/>
        <v>2134</v>
      </c>
      <c r="D7" s="52">
        <f t="shared" ca="1" si="3"/>
        <v>2404</v>
      </c>
      <c r="E7" s="54"/>
      <c r="F7" s="14">
        <v>5</v>
      </c>
      <c r="G7" s="36">
        <v>7172</v>
      </c>
      <c r="H7" s="36">
        <v>2078</v>
      </c>
      <c r="I7" s="36">
        <v>2490</v>
      </c>
      <c r="L7" s="41">
        <f t="shared" ca="1" si="1"/>
        <v>0.12937948463779947</v>
      </c>
      <c r="M7" s="44">
        <v>5</v>
      </c>
      <c r="N7" s="44">
        <v>5</v>
      </c>
      <c r="O7" s="44">
        <f t="shared" ca="1" si="4"/>
        <v>141</v>
      </c>
      <c r="P7" s="53">
        <f t="shared" ca="1" si="5"/>
        <v>17.04736976005869</v>
      </c>
      <c r="Q7" s="41">
        <f t="shared" ca="1" si="6"/>
        <v>2404</v>
      </c>
      <c r="R7" s="41"/>
      <c r="S7" s="48"/>
      <c r="T7" s="41"/>
      <c r="U7" s="41"/>
    </row>
    <row r="8" spans="1:21" ht="15" x14ac:dyDescent="0.25">
      <c r="A8" s="49">
        <v>6</v>
      </c>
      <c r="B8" s="50">
        <f t="shared" ca="1" si="0"/>
        <v>2158</v>
      </c>
      <c r="C8" s="51">
        <f t="shared" ca="1" si="2"/>
        <v>2158</v>
      </c>
      <c r="D8" s="52">
        <f t="shared" ca="1" si="3"/>
        <v>2013</v>
      </c>
      <c r="E8" s="54"/>
      <c r="F8" s="14">
        <v>6</v>
      </c>
      <c r="G8" s="36">
        <v>6532</v>
      </c>
      <c r="H8" s="36">
        <v>2216</v>
      </c>
      <c r="I8" s="36">
        <v>1984</v>
      </c>
      <c r="L8" s="41">
        <f t="shared" ca="1" si="1"/>
        <v>0.93788974766855804</v>
      </c>
      <c r="M8" s="44">
        <v>6</v>
      </c>
      <c r="N8" s="44">
        <v>6</v>
      </c>
      <c r="O8" s="44">
        <f t="shared" ca="1" si="4"/>
        <v>146</v>
      </c>
      <c r="P8" s="53">
        <f t="shared" ca="1" si="5"/>
        <v>13.785507514967222</v>
      </c>
      <c r="Q8" s="41">
        <f t="shared" ca="1" si="6"/>
        <v>2013</v>
      </c>
      <c r="R8" s="41"/>
      <c r="S8" s="48"/>
      <c r="T8" s="41"/>
      <c r="U8" s="41"/>
    </row>
    <row r="9" spans="1:21" ht="15" x14ac:dyDescent="0.25">
      <c r="A9" s="49">
        <v>7</v>
      </c>
      <c r="B9" s="50">
        <f t="shared" ca="1" si="0"/>
        <v>4628</v>
      </c>
      <c r="C9" s="51">
        <f t="shared" ca="1" si="2"/>
        <v>2386</v>
      </c>
      <c r="D9" s="52">
        <f t="shared" ca="1" si="3"/>
        <v>2158</v>
      </c>
      <c r="E9" s="54"/>
      <c r="F9" s="14">
        <v>7</v>
      </c>
      <c r="G9" s="36">
        <v>6032</v>
      </c>
      <c r="H9" s="36">
        <v>2452</v>
      </c>
      <c r="I9" s="36">
        <v>2216</v>
      </c>
      <c r="L9" s="41">
        <f t="shared" ca="1" si="1"/>
        <v>0.26563659045087218</v>
      </c>
      <c r="M9" s="44">
        <v>8</v>
      </c>
      <c r="N9" s="44">
        <v>7</v>
      </c>
      <c r="O9" s="44">
        <f t="shared" ca="1" si="4"/>
        <v>151</v>
      </c>
      <c r="P9" s="53">
        <f t="shared" ca="1" si="5"/>
        <v>14.288971086564899</v>
      </c>
      <c r="Q9" s="41">
        <f t="shared" ca="1" si="6"/>
        <v>2158</v>
      </c>
      <c r="R9" s="41"/>
      <c r="S9" s="48"/>
      <c r="T9" s="41"/>
      <c r="U9" s="41"/>
    </row>
    <row r="10" spans="1:21" ht="15" x14ac:dyDescent="0.25">
      <c r="A10" s="49">
        <v>8</v>
      </c>
      <c r="B10" s="50">
        <f t="shared" ca="1" si="0"/>
        <v>6681</v>
      </c>
      <c r="C10" s="51">
        <f t="shared" ca="1" si="2"/>
        <v>2176</v>
      </c>
      <c r="D10" s="52">
        <f t="shared" ca="1" si="3"/>
        <v>2601</v>
      </c>
      <c r="E10" s="54"/>
      <c r="F10" s="14">
        <v>8</v>
      </c>
      <c r="G10" s="36">
        <v>7472</v>
      </c>
      <c r="H10" s="36">
        <v>2323</v>
      </c>
      <c r="I10" s="36">
        <v>2528</v>
      </c>
      <c r="L10" s="41">
        <f t="shared" ca="1" si="1"/>
        <v>0.12022554386182294</v>
      </c>
      <c r="M10" s="44">
        <v>7</v>
      </c>
      <c r="N10" s="44">
        <v>8</v>
      </c>
      <c r="O10" s="44">
        <f ca="1">INT($R$1+$S$1*N10)</f>
        <v>156</v>
      </c>
      <c r="P10" s="53">
        <f t="shared" ca="1" si="5"/>
        <v>16.671263387803563</v>
      </c>
      <c r="Q10" s="41">
        <f t="shared" ca="1" si="6"/>
        <v>2601</v>
      </c>
      <c r="R10" s="41"/>
      <c r="S10" s="48"/>
      <c r="T10" s="41"/>
      <c r="U10" s="41"/>
    </row>
    <row r="11" spans="1:21" ht="15" x14ac:dyDescent="0.25">
      <c r="A11" s="49">
        <v>9</v>
      </c>
      <c r="B11" s="50">
        <f t="shared" ca="1" si="0"/>
        <v>2820</v>
      </c>
      <c r="C11" s="51">
        <f t="shared" ca="1" si="2"/>
        <v>2601</v>
      </c>
      <c r="D11" s="52">
        <f t="shared" ca="1" si="3"/>
        <v>2442</v>
      </c>
      <c r="E11" s="54"/>
      <c r="F11" s="14">
        <v>9</v>
      </c>
      <c r="G11" s="36">
        <v>5714</v>
      </c>
      <c r="H11" s="36">
        <v>2946</v>
      </c>
      <c r="I11" s="36">
        <v>3018</v>
      </c>
      <c r="L11" s="41">
        <f t="shared" ca="1" si="1"/>
        <v>0.89884036187620409</v>
      </c>
      <c r="M11" s="44">
        <v>12</v>
      </c>
      <c r="N11" s="44">
        <v>9</v>
      </c>
      <c r="O11" s="44">
        <f t="shared" ca="1" si="4"/>
        <v>161</v>
      </c>
      <c r="P11" s="53">
        <f t="shared" ca="1" si="5"/>
        <v>15.168025130464198</v>
      </c>
      <c r="Q11" s="41">
        <f t="shared" ca="1" si="6"/>
        <v>2442</v>
      </c>
      <c r="R11" s="41"/>
      <c r="S11" s="48"/>
      <c r="T11" s="41"/>
      <c r="U11" s="41"/>
    </row>
    <row r="12" spans="1:21" ht="15" x14ac:dyDescent="0.25">
      <c r="A12" s="49">
        <v>10</v>
      </c>
      <c r="B12" s="50">
        <f t="shared" ca="1" si="0"/>
        <v>1893</v>
      </c>
      <c r="C12" s="51">
        <f t="shared" ca="1" si="2"/>
        <v>2404</v>
      </c>
      <c r="D12" s="52">
        <f t="shared" ca="1" si="3"/>
        <v>2820</v>
      </c>
      <c r="E12" s="54"/>
      <c r="F12" s="14">
        <v>10</v>
      </c>
      <c r="G12" s="36">
        <v>12275</v>
      </c>
      <c r="H12" s="36">
        <v>2490</v>
      </c>
      <c r="I12" s="36">
        <v>2946</v>
      </c>
      <c r="L12" s="41">
        <f t="shared" ca="1" si="1"/>
        <v>0.95735555547845141</v>
      </c>
      <c r="M12" s="44">
        <v>9</v>
      </c>
      <c r="N12" s="44">
        <v>10</v>
      </c>
      <c r="O12" s="44">
        <f t="shared" ca="1" si="4"/>
        <v>166</v>
      </c>
      <c r="P12" s="53">
        <f t="shared" ca="1" si="5"/>
        <v>16.990005385124562</v>
      </c>
      <c r="Q12" s="41">
        <f t="shared" ca="1" si="6"/>
        <v>2820</v>
      </c>
      <c r="R12" s="41"/>
      <c r="S12" s="48"/>
      <c r="T12" s="41"/>
      <c r="U12" s="41"/>
    </row>
    <row r="13" spans="1:21" ht="15" x14ac:dyDescent="0.25">
      <c r="A13" s="49">
        <v>11</v>
      </c>
      <c r="B13" s="50">
        <f t="shared" ca="1" si="0"/>
        <v>5504</v>
      </c>
      <c r="C13" s="51">
        <f t="shared" ca="1" si="2"/>
        <v>2442</v>
      </c>
      <c r="D13" s="52">
        <f t="shared" ca="1" si="3"/>
        <v>2176</v>
      </c>
      <c r="E13" s="54"/>
      <c r="F13" s="14">
        <v>11</v>
      </c>
      <c r="G13" s="36">
        <v>3747</v>
      </c>
      <c r="H13" s="36">
        <v>2528</v>
      </c>
      <c r="I13" s="36">
        <v>2323</v>
      </c>
      <c r="L13" s="41">
        <f t="shared" ca="1" si="1"/>
        <v>0.4828976773110345</v>
      </c>
      <c r="M13" s="44">
        <v>10</v>
      </c>
      <c r="N13" s="44">
        <v>11</v>
      </c>
      <c r="O13" s="44">
        <f t="shared" ca="1" si="4"/>
        <v>171</v>
      </c>
      <c r="P13" s="53">
        <f t="shared" ca="1" si="5"/>
        <v>12.726959011061586</v>
      </c>
      <c r="Q13" s="41">
        <f t="shared" ca="1" si="6"/>
        <v>2176</v>
      </c>
      <c r="R13" s="41"/>
      <c r="S13" s="48"/>
      <c r="T13" s="41"/>
      <c r="U13" s="41"/>
    </row>
    <row r="14" spans="1:21" ht="15" x14ac:dyDescent="0.25">
      <c r="A14" s="49">
        <v>12</v>
      </c>
      <c r="B14" s="50">
        <f t="shared" ca="1" si="0"/>
        <v>4428</v>
      </c>
      <c r="C14" s="51">
        <f t="shared" ca="1" si="2"/>
        <v>2476</v>
      </c>
      <c r="D14" s="52">
        <f t="shared" ca="1" si="3"/>
        <v>2476</v>
      </c>
      <c r="E14" s="54"/>
      <c r="F14" s="14">
        <v>12</v>
      </c>
      <c r="G14" s="36">
        <v>2323</v>
      </c>
      <c r="H14" s="36">
        <v>2877</v>
      </c>
      <c r="I14" s="36">
        <v>2452</v>
      </c>
      <c r="L14" s="41">
        <f t="shared" ca="1" si="1"/>
        <v>0.4611278944670637</v>
      </c>
      <c r="M14" s="44">
        <v>11</v>
      </c>
      <c r="N14" s="44">
        <v>12</v>
      </c>
      <c r="O14" s="44">
        <f t="shared" ca="1" si="4"/>
        <v>176</v>
      </c>
      <c r="P14" s="53">
        <f t="shared" ca="1" si="5"/>
        <v>14.070906993843082</v>
      </c>
      <c r="Q14" s="41">
        <f t="shared" ca="1" si="6"/>
        <v>2476</v>
      </c>
      <c r="R14" s="41"/>
      <c r="S14" s="48"/>
      <c r="T14" s="41"/>
      <c r="U14" s="41"/>
    </row>
    <row r="15" spans="1:21" ht="15" x14ac:dyDescent="0.25">
      <c r="A15" s="49">
        <v>13</v>
      </c>
      <c r="B15" s="50">
        <f t="shared" ca="1" si="0"/>
        <v>4065</v>
      </c>
      <c r="C15" s="51">
        <f t="shared" ca="1" si="2"/>
        <v>2864</v>
      </c>
      <c r="D15" s="52">
        <f t="shared" ca="1" si="3"/>
        <v>2932</v>
      </c>
      <c r="E15" s="54"/>
      <c r="F15" s="14">
        <v>13</v>
      </c>
      <c r="G15" s="36">
        <v>2216</v>
      </c>
      <c r="H15" s="36">
        <v>3019</v>
      </c>
      <c r="I15" s="36">
        <v>3019</v>
      </c>
      <c r="L15" s="41">
        <f t="shared" ca="1" si="1"/>
        <v>0.42105375884910468</v>
      </c>
      <c r="M15" s="44">
        <v>14</v>
      </c>
      <c r="N15" s="44">
        <v>13</v>
      </c>
      <c r="O15" s="44">
        <f t="shared" ca="1" si="4"/>
        <v>181</v>
      </c>
      <c r="P15" s="53">
        <f t="shared" ca="1" si="5"/>
        <v>16.199322332742302</v>
      </c>
      <c r="Q15" s="41">
        <f t="shared" ca="1" si="6"/>
        <v>2932</v>
      </c>
      <c r="R15" s="41"/>
      <c r="S15" s="48"/>
      <c r="T15" s="41"/>
      <c r="U15" s="41"/>
    </row>
    <row r="16" spans="1:21" ht="15" x14ac:dyDescent="0.25">
      <c r="A16" s="49">
        <v>14</v>
      </c>
      <c r="B16" s="50">
        <f t="shared" ca="1" si="0"/>
        <v>3099</v>
      </c>
      <c r="C16" s="51">
        <f t="shared" ca="1" si="2"/>
        <v>2997</v>
      </c>
      <c r="D16" s="52">
        <f t="shared" ca="1" si="3"/>
        <v>2997</v>
      </c>
      <c r="E16" s="54"/>
      <c r="F16" s="14">
        <v>14</v>
      </c>
      <c r="G16" s="36">
        <v>6894</v>
      </c>
      <c r="H16" s="36">
        <v>3498</v>
      </c>
      <c r="I16" s="36">
        <v>3498</v>
      </c>
      <c r="L16" s="41">
        <f t="shared" ca="1" si="1"/>
        <v>0.64635074742423571</v>
      </c>
      <c r="M16" s="44">
        <v>16</v>
      </c>
      <c r="N16" s="44">
        <v>14</v>
      </c>
      <c r="O16" s="44">
        <f t="shared" ca="1" si="4"/>
        <v>186</v>
      </c>
      <c r="P16" s="53">
        <f t="shared" ca="1" si="5"/>
        <v>16.110643647927922</v>
      </c>
      <c r="Q16" s="41">
        <f t="shared" ca="1" si="6"/>
        <v>2997</v>
      </c>
      <c r="R16" s="41"/>
      <c r="S16" s="48"/>
      <c r="T16" s="41"/>
      <c r="U16" s="41"/>
    </row>
    <row r="17" spans="1:21" ht="15" x14ac:dyDescent="0.25">
      <c r="A17" s="49">
        <v>15</v>
      </c>
      <c r="B17" s="50">
        <f t="shared" ca="1" si="0"/>
        <v>4556</v>
      </c>
      <c r="C17" s="51">
        <f t="shared" ca="1" si="2"/>
        <v>3107</v>
      </c>
      <c r="D17" s="52">
        <f t="shared" ca="1" si="3"/>
        <v>3156</v>
      </c>
      <c r="E17" s="54"/>
      <c r="F17" s="14">
        <v>15</v>
      </c>
      <c r="G17" s="36">
        <v>10359</v>
      </c>
      <c r="H17" s="36">
        <v>3743</v>
      </c>
      <c r="I17" s="36">
        <v>3747</v>
      </c>
      <c r="L17" s="41">
        <f t="shared" ca="1" si="1"/>
        <v>0.34366716037776113</v>
      </c>
      <c r="M17" s="44">
        <v>18</v>
      </c>
      <c r="N17" s="44">
        <v>15</v>
      </c>
      <c r="O17" s="44">
        <f t="shared" ca="1" si="4"/>
        <v>191</v>
      </c>
      <c r="P17" s="53">
        <f t="shared" ca="1" si="5"/>
        <v>16.521548438383853</v>
      </c>
      <c r="Q17" s="41">
        <f t="shared" ca="1" si="6"/>
        <v>3156</v>
      </c>
      <c r="R17" s="41"/>
      <c r="S17" s="48"/>
      <c r="T17" s="41"/>
      <c r="U17" s="41"/>
    </row>
    <row r="18" spans="1:21" ht="15" x14ac:dyDescent="0.25">
      <c r="A18" s="49">
        <v>16</v>
      </c>
      <c r="B18" s="50">
        <f t="shared" ca="1" si="0"/>
        <v>6483</v>
      </c>
      <c r="C18" s="51">
        <f t="shared" ca="1" si="2"/>
        <v>2820</v>
      </c>
      <c r="D18" s="52">
        <f t="shared" ca="1" si="3"/>
        <v>2386</v>
      </c>
      <c r="E18" s="54"/>
      <c r="F18" s="14">
        <v>16</v>
      </c>
      <c r="G18" s="36">
        <v>4421</v>
      </c>
      <c r="H18" s="36">
        <v>3018</v>
      </c>
      <c r="I18" s="36">
        <v>3099</v>
      </c>
      <c r="L18" s="41">
        <f t="shared" ca="1" si="1"/>
        <v>0.2160455552716164</v>
      </c>
      <c r="M18" s="44">
        <v>13</v>
      </c>
      <c r="N18" s="44">
        <v>16</v>
      </c>
      <c r="O18" s="44">
        <f t="shared" ca="1" si="4"/>
        <v>196</v>
      </c>
      <c r="P18" s="53">
        <f t="shared" ca="1" si="5"/>
        <v>12.175924820786873</v>
      </c>
      <c r="Q18" s="41">
        <f t="shared" ca="1" si="6"/>
        <v>2386</v>
      </c>
      <c r="R18" s="41"/>
      <c r="S18" s="48"/>
      <c r="T18" s="41"/>
      <c r="U18" s="41"/>
    </row>
    <row r="19" spans="1:21" ht="15" x14ac:dyDescent="0.25">
      <c r="A19" s="49">
        <v>17</v>
      </c>
      <c r="B19" s="50">
        <f t="shared" ca="1" si="0"/>
        <v>5961</v>
      </c>
      <c r="C19" s="51">
        <f t="shared" ca="1" si="2"/>
        <v>3099</v>
      </c>
      <c r="D19" s="52">
        <f t="shared" ca="1" si="3"/>
        <v>2864</v>
      </c>
      <c r="E19" s="54"/>
      <c r="F19" s="14">
        <v>17</v>
      </c>
      <c r="G19" s="36">
        <v>8720</v>
      </c>
      <c r="H19" s="36">
        <v>3578</v>
      </c>
      <c r="I19" s="36">
        <v>2877</v>
      </c>
      <c r="L19" s="41">
        <f t="shared" ca="1" si="1"/>
        <v>0.19928016444188879</v>
      </c>
      <c r="M19" s="44">
        <v>17</v>
      </c>
      <c r="N19" s="44">
        <v>17</v>
      </c>
      <c r="O19" s="44">
        <f t="shared" ca="1" si="4"/>
        <v>201</v>
      </c>
      <c r="P19" s="53">
        <f t="shared" ca="1" si="5"/>
        <v>14.248135445095022</v>
      </c>
      <c r="Q19" s="41">
        <f t="shared" ca="1" si="6"/>
        <v>2864</v>
      </c>
      <c r="R19" s="41"/>
      <c r="S19" s="48"/>
      <c r="T19" s="41"/>
      <c r="U19" s="41"/>
    </row>
    <row r="20" spans="1:21" ht="15" x14ac:dyDescent="0.25">
      <c r="A20" s="49">
        <v>18</v>
      </c>
      <c r="B20" s="50">
        <f t="shared" ca="1" si="0"/>
        <v>6004</v>
      </c>
      <c r="C20" s="51">
        <f t="shared" ca="1" si="2"/>
        <v>2932</v>
      </c>
      <c r="D20" s="52">
        <f t="shared" ca="1" si="3"/>
        <v>3253</v>
      </c>
      <c r="E20" s="54"/>
      <c r="F20" s="14">
        <v>18</v>
      </c>
      <c r="G20" s="36">
        <v>6526</v>
      </c>
      <c r="H20" s="36">
        <v>3099</v>
      </c>
      <c r="I20" s="36">
        <v>3779</v>
      </c>
      <c r="L20" s="41">
        <f t="shared" ca="1" si="1"/>
        <v>0.35305796541870393</v>
      </c>
      <c r="M20" s="44">
        <v>15</v>
      </c>
      <c r="N20" s="44">
        <v>18</v>
      </c>
      <c r="O20" s="44">
        <f t="shared" ca="1" si="4"/>
        <v>206</v>
      </c>
      <c r="P20" s="53">
        <f t="shared" ca="1" si="5"/>
        <v>15.789144566189542</v>
      </c>
      <c r="Q20" s="41">
        <f t="shared" ca="1" si="6"/>
        <v>3253</v>
      </c>
      <c r="R20" s="41"/>
      <c r="S20" s="48"/>
      <c r="T20" s="41"/>
      <c r="U20" s="41"/>
    </row>
    <row r="21" spans="1:21" ht="15" x14ac:dyDescent="0.25">
      <c r="A21" s="49">
        <v>19</v>
      </c>
      <c r="B21" s="50">
        <f t="shared" ca="1" si="0"/>
        <v>4759</v>
      </c>
      <c r="C21" s="51">
        <f t="shared" ca="1" si="2"/>
        <v>3133</v>
      </c>
      <c r="D21" s="52">
        <f t="shared" ca="1" si="3"/>
        <v>3379</v>
      </c>
      <c r="E21" s="54"/>
      <c r="F21" s="14">
        <v>19</v>
      </c>
      <c r="G21" s="36">
        <v>12037</v>
      </c>
      <c r="H21" s="36">
        <v>3747</v>
      </c>
      <c r="I21" s="36">
        <v>4336</v>
      </c>
      <c r="L21" s="41">
        <f t="shared" ca="1" si="1"/>
        <v>0.49188253919061609</v>
      </c>
      <c r="M21" s="44">
        <v>19</v>
      </c>
      <c r="N21" s="44">
        <v>19</v>
      </c>
      <c r="O21" s="44">
        <f t="shared" ca="1" si="4"/>
        <v>211</v>
      </c>
      <c r="P21" s="53">
        <f t="shared" ca="1" si="5"/>
        <v>16.012592541005453</v>
      </c>
      <c r="Q21" s="41">
        <f t="shared" ca="1" si="6"/>
        <v>3379</v>
      </c>
      <c r="R21" s="41"/>
      <c r="S21" s="48"/>
      <c r="T21" s="41"/>
      <c r="U21" s="41"/>
    </row>
    <row r="22" spans="1:21" ht="15" x14ac:dyDescent="0.25">
      <c r="A22" s="49">
        <v>20</v>
      </c>
      <c r="B22" s="50">
        <f t="shared" ca="1" si="0"/>
        <v>7957</v>
      </c>
      <c r="C22" s="51">
        <f t="shared" ca="1" si="2"/>
        <v>3156</v>
      </c>
      <c r="D22" s="52">
        <f t="shared" ca="1" si="3"/>
        <v>3761</v>
      </c>
      <c r="E22" s="54"/>
      <c r="F22" s="14">
        <v>20</v>
      </c>
      <c r="G22" s="36">
        <v>8593</v>
      </c>
      <c r="H22" s="36">
        <v>3779</v>
      </c>
      <c r="I22" s="36">
        <v>4492</v>
      </c>
      <c r="L22" s="41">
        <f t="shared" ca="1" si="1"/>
        <v>5.8785618224909464E-2</v>
      </c>
      <c r="M22" s="44">
        <v>20</v>
      </c>
      <c r="N22" s="44">
        <v>20</v>
      </c>
      <c r="O22" s="44">
        <f t="shared" ca="1" si="4"/>
        <v>216</v>
      </c>
      <c r="P22" s="53">
        <f t="shared" ca="1" si="5"/>
        <v>17.411751620487369</v>
      </c>
      <c r="Q22" s="41">
        <f t="shared" ca="1" si="6"/>
        <v>3761</v>
      </c>
      <c r="R22" s="41"/>
      <c r="S22" s="48"/>
      <c r="T22" s="41"/>
      <c r="U22" s="41"/>
    </row>
    <row r="23" spans="1:21" ht="15" x14ac:dyDescent="0.25">
      <c r="A23" s="49">
        <v>21</v>
      </c>
      <c r="B23" s="50">
        <f t="shared" ca="1" si="0"/>
        <v>5233</v>
      </c>
      <c r="C23" s="51">
        <f t="shared" ca="1" si="2"/>
        <v>3379</v>
      </c>
      <c r="D23" s="52">
        <f t="shared" ca="1" si="3"/>
        <v>3133</v>
      </c>
      <c r="E23" s="54"/>
      <c r="F23" s="14">
        <v>21</v>
      </c>
      <c r="G23" s="36">
        <v>3578</v>
      </c>
      <c r="H23" s="36">
        <v>4336</v>
      </c>
      <c r="I23" s="36">
        <v>3578</v>
      </c>
      <c r="L23" s="41">
        <f t="shared" ca="1" si="1"/>
        <v>0.42375266624195485</v>
      </c>
      <c r="M23" s="44">
        <v>24</v>
      </c>
      <c r="N23" s="44">
        <v>21</v>
      </c>
      <c r="O23" s="44">
        <f t="shared" ca="1" si="4"/>
        <v>221</v>
      </c>
      <c r="P23" s="53">
        <f t="shared" ca="1" si="5"/>
        <v>14.178086528530226</v>
      </c>
      <c r="Q23" s="41">
        <f t="shared" ca="1" si="6"/>
        <v>3133</v>
      </c>
      <c r="R23" s="41"/>
      <c r="S23" s="48"/>
      <c r="T23" s="41"/>
      <c r="U23" s="41"/>
    </row>
    <row r="24" spans="1:21" ht="15" x14ac:dyDescent="0.25">
      <c r="A24" s="49">
        <v>22</v>
      </c>
      <c r="B24" s="50">
        <f t="shared" ca="1" si="0"/>
        <v>3285</v>
      </c>
      <c r="C24" s="51">
        <f t="shared" ca="1" si="2"/>
        <v>3253</v>
      </c>
      <c r="D24" s="52">
        <f t="shared" ca="1" si="3"/>
        <v>3250</v>
      </c>
      <c r="E24" s="54"/>
      <c r="F24" s="14">
        <v>22</v>
      </c>
      <c r="G24" s="36">
        <v>3018</v>
      </c>
      <c r="H24" s="36">
        <v>4185</v>
      </c>
      <c r="I24" s="36">
        <v>4185</v>
      </c>
      <c r="L24" s="41">
        <f t="shared" ca="1" si="1"/>
        <v>0.50664218613092771</v>
      </c>
      <c r="M24" s="44">
        <v>22</v>
      </c>
      <c r="N24" s="44">
        <v>22</v>
      </c>
      <c r="O24" s="44">
        <f t="shared" ca="1" si="4"/>
        <v>226</v>
      </c>
      <c r="P24" s="53">
        <f t="shared" ca="1" si="5"/>
        <v>14.382433713463634</v>
      </c>
      <c r="Q24" s="41">
        <f t="shared" ca="1" si="6"/>
        <v>3250</v>
      </c>
      <c r="R24" s="41"/>
      <c r="S24" s="48"/>
      <c r="T24" s="41"/>
      <c r="U24" s="41"/>
    </row>
    <row r="25" spans="1:21" ht="15" x14ac:dyDescent="0.25">
      <c r="A25" s="49">
        <v>23</v>
      </c>
      <c r="B25" s="50">
        <f t="shared" ca="1" si="0"/>
        <v>5644</v>
      </c>
      <c r="C25" s="51">
        <f t="shared" ca="1" si="2"/>
        <v>3285</v>
      </c>
      <c r="D25" s="52">
        <f t="shared" ca="1" si="3"/>
        <v>3107</v>
      </c>
      <c r="E25" s="54"/>
      <c r="F25" s="14">
        <v>23</v>
      </c>
      <c r="G25" s="36">
        <v>4185</v>
      </c>
      <c r="H25" s="36">
        <v>4254</v>
      </c>
      <c r="I25" s="36">
        <v>4523</v>
      </c>
      <c r="L25" s="41">
        <f t="shared" ca="1" si="1"/>
        <v>0.31570107286482485</v>
      </c>
      <c r="M25" s="44">
        <v>23</v>
      </c>
      <c r="N25" s="44">
        <v>23</v>
      </c>
      <c r="O25" s="44">
        <f t="shared" ca="1" si="4"/>
        <v>231</v>
      </c>
      <c r="P25" s="53">
        <f t="shared" ca="1" si="5"/>
        <v>13.449075461862609</v>
      </c>
      <c r="Q25" s="41">
        <f t="shared" ca="1" si="6"/>
        <v>3107</v>
      </c>
      <c r="R25" s="41"/>
      <c r="S25" s="48"/>
      <c r="T25" s="41"/>
      <c r="U25" s="41"/>
    </row>
    <row r="26" spans="1:21" ht="15" x14ac:dyDescent="0.25">
      <c r="A26" s="49">
        <v>24</v>
      </c>
      <c r="B26" s="50">
        <f t="shared" ca="1" si="0"/>
        <v>2404</v>
      </c>
      <c r="C26" s="51">
        <f t="shared" ca="1" si="2"/>
        <v>3606</v>
      </c>
      <c r="D26" s="52">
        <f t="shared" ca="1" si="3"/>
        <v>3790</v>
      </c>
      <c r="E26" s="54"/>
      <c r="F26" s="14">
        <v>24</v>
      </c>
      <c r="G26" s="36">
        <v>9678</v>
      </c>
      <c r="H26" s="36">
        <v>4421</v>
      </c>
      <c r="I26" s="36">
        <v>5005</v>
      </c>
      <c r="L26" s="41">
        <f t="shared" ca="1" si="1"/>
        <v>0.95206892415115574</v>
      </c>
      <c r="M26" s="44">
        <v>25</v>
      </c>
      <c r="N26" s="44">
        <v>24</v>
      </c>
      <c r="O26" s="44">
        <f t="shared" ca="1" si="4"/>
        <v>236</v>
      </c>
      <c r="P26" s="53">
        <f t="shared" ca="1" si="5"/>
        <v>16.0588665342115</v>
      </c>
      <c r="Q26" s="41">
        <f t="shared" ca="1" si="6"/>
        <v>3790</v>
      </c>
      <c r="R26" s="41"/>
      <c r="S26" s="48"/>
      <c r="T26" s="41"/>
      <c r="U26" s="41"/>
    </row>
    <row r="27" spans="1:21" ht="15" x14ac:dyDescent="0.25">
      <c r="A27" s="49">
        <v>25</v>
      </c>
      <c r="B27" s="50">
        <f t="shared" ca="1" si="0"/>
        <v>2442</v>
      </c>
      <c r="C27" s="51">
        <f t="shared" ca="1" si="2"/>
        <v>3250</v>
      </c>
      <c r="D27" s="52">
        <f t="shared" ca="1" si="3"/>
        <v>3911</v>
      </c>
      <c r="E27" s="54"/>
      <c r="F27" s="14">
        <v>25</v>
      </c>
      <c r="G27" s="36">
        <v>9442</v>
      </c>
      <c r="H27" s="36">
        <v>3935</v>
      </c>
      <c r="I27" s="36">
        <v>5417</v>
      </c>
      <c r="L27" s="41">
        <f t="shared" ca="1" si="1"/>
        <v>0.89936826437994388</v>
      </c>
      <c r="M27" s="44">
        <v>21</v>
      </c>
      <c r="N27" s="44">
        <v>25</v>
      </c>
      <c r="O27" s="44">
        <f t="shared" ca="1" si="4"/>
        <v>241</v>
      </c>
      <c r="P27" s="53">
        <f t="shared" ca="1" si="5"/>
        <v>16.228474781491833</v>
      </c>
      <c r="Q27" s="41">
        <f t="shared" ca="1" si="6"/>
        <v>3911</v>
      </c>
      <c r="R27" s="41"/>
      <c r="S27" s="48"/>
      <c r="T27" s="41"/>
      <c r="U27" s="41"/>
    </row>
    <row r="28" spans="1:21" ht="15" x14ac:dyDescent="0.25">
      <c r="A28" s="49">
        <v>26</v>
      </c>
      <c r="B28" s="50">
        <f t="shared" ca="1" si="0"/>
        <v>5578</v>
      </c>
      <c r="C28" s="51">
        <f t="shared" ca="1" si="2"/>
        <v>3761</v>
      </c>
      <c r="D28" s="52">
        <f t="shared" ca="1" si="3"/>
        <v>3099</v>
      </c>
      <c r="E28" s="54"/>
      <c r="F28" s="14">
        <v>26</v>
      </c>
      <c r="G28" s="36">
        <v>9895</v>
      </c>
      <c r="H28" s="36">
        <v>4523</v>
      </c>
      <c r="I28" s="36">
        <v>3935</v>
      </c>
      <c r="L28" s="41">
        <f t="shared" ca="1" si="1"/>
        <v>0.31631459967486819</v>
      </c>
      <c r="M28" s="44">
        <v>27</v>
      </c>
      <c r="N28" s="44">
        <v>26</v>
      </c>
      <c r="O28" s="44">
        <f t="shared" ca="1" si="4"/>
        <v>246</v>
      </c>
      <c r="P28" s="53">
        <f t="shared" ca="1" si="5"/>
        <v>12.59578609168959</v>
      </c>
      <c r="Q28" s="41">
        <f t="shared" ca="1" si="6"/>
        <v>3099</v>
      </c>
      <c r="R28" s="41"/>
      <c r="S28" s="48"/>
      <c r="T28" s="41"/>
      <c r="U28" s="41"/>
    </row>
    <row r="29" spans="1:21" ht="15" x14ac:dyDescent="0.25">
      <c r="A29" s="49">
        <v>27</v>
      </c>
      <c r="B29" s="50">
        <f t="shared" ca="1" si="0"/>
        <v>3790</v>
      </c>
      <c r="C29" s="51">
        <f t="shared" ca="1" si="2"/>
        <v>3744</v>
      </c>
      <c r="D29" s="52">
        <f t="shared" ca="1" si="3"/>
        <v>3606</v>
      </c>
      <c r="E29" s="54"/>
      <c r="F29" s="14">
        <v>27</v>
      </c>
      <c r="G29" s="36">
        <v>5005</v>
      </c>
      <c r="H29" s="36">
        <v>4492</v>
      </c>
      <c r="I29" s="36">
        <v>4254</v>
      </c>
      <c r="L29" s="41">
        <f t="shared" ca="1" si="1"/>
        <v>0.69667866507356457</v>
      </c>
      <c r="M29" s="44">
        <v>26</v>
      </c>
      <c r="N29" s="44">
        <v>27</v>
      </c>
      <c r="O29" s="44">
        <f t="shared" ca="1" si="4"/>
        <v>251</v>
      </c>
      <c r="P29" s="53">
        <f t="shared" ca="1" si="5"/>
        <v>14.366229829375468</v>
      </c>
      <c r="Q29" s="41">
        <f t="shared" ca="1" si="6"/>
        <v>3606</v>
      </c>
      <c r="R29" s="41"/>
      <c r="S29" s="48"/>
      <c r="T29" s="41"/>
      <c r="U29" s="41"/>
    </row>
    <row r="30" spans="1:21" ht="15" x14ac:dyDescent="0.25">
      <c r="A30" s="49">
        <v>28</v>
      </c>
      <c r="B30" s="50">
        <f t="shared" ca="1" si="0"/>
        <v>2476</v>
      </c>
      <c r="C30" s="51">
        <f t="shared" ca="1" si="2"/>
        <v>4209</v>
      </c>
      <c r="D30" s="52">
        <f t="shared" ca="1" si="3"/>
        <v>3868</v>
      </c>
      <c r="E30" s="54"/>
      <c r="F30" s="14">
        <v>28</v>
      </c>
      <c r="G30" s="36">
        <v>7242</v>
      </c>
      <c r="H30" s="36">
        <v>5461</v>
      </c>
      <c r="I30" s="36">
        <v>4421</v>
      </c>
      <c r="L30" s="41">
        <f t="shared" ca="1" si="1"/>
        <v>0.84413806762247834</v>
      </c>
      <c r="M30" s="44">
        <v>33</v>
      </c>
      <c r="N30" s="44">
        <v>28</v>
      </c>
      <c r="O30" s="44">
        <f t="shared" ca="1" si="4"/>
        <v>256</v>
      </c>
      <c r="P30" s="53">
        <f t="shared" ca="1" si="5"/>
        <v>15.109341443903258</v>
      </c>
      <c r="Q30" s="41">
        <f t="shared" ca="1" si="6"/>
        <v>3868</v>
      </c>
      <c r="R30" s="41"/>
      <c r="S30" s="48"/>
      <c r="T30" s="41"/>
      <c r="U30" s="41"/>
    </row>
    <row r="31" spans="1:21" ht="15" x14ac:dyDescent="0.25">
      <c r="A31" s="49">
        <v>29</v>
      </c>
      <c r="B31" s="50">
        <f t="shared" ca="1" si="0"/>
        <v>6077</v>
      </c>
      <c r="C31" s="51">
        <f t="shared" ca="1" si="2"/>
        <v>4334</v>
      </c>
      <c r="D31" s="52">
        <f t="shared" ca="1" si="3"/>
        <v>4365</v>
      </c>
      <c r="E31" s="54"/>
      <c r="F31" s="14">
        <v>29</v>
      </c>
      <c r="G31" s="36">
        <v>5461</v>
      </c>
      <c r="H31" s="36">
        <v>5475</v>
      </c>
      <c r="I31" s="36">
        <v>5130</v>
      </c>
      <c r="L31" s="41">
        <f t="shared" ca="1" si="1"/>
        <v>0.18632638941650514</v>
      </c>
      <c r="M31" s="44">
        <v>34</v>
      </c>
      <c r="N31" s="44">
        <v>29</v>
      </c>
      <c r="O31" s="44">
        <f t="shared" ca="1" si="4"/>
        <v>261</v>
      </c>
      <c r="P31" s="53">
        <f t="shared" ca="1" si="5"/>
        <v>16.723216770465886</v>
      </c>
      <c r="Q31" s="41">
        <f t="shared" ca="1" si="6"/>
        <v>4365</v>
      </c>
      <c r="R31" s="41"/>
      <c r="S31" s="48"/>
      <c r="T31" s="41"/>
      <c r="U31" s="41"/>
    </row>
    <row r="32" spans="1:21" ht="15" x14ac:dyDescent="0.25">
      <c r="A32" s="49">
        <v>30</v>
      </c>
      <c r="B32" s="50">
        <f t="shared" ca="1" si="0"/>
        <v>3379</v>
      </c>
      <c r="C32" s="51">
        <f t="shared" ca="1" si="2"/>
        <v>3790</v>
      </c>
      <c r="D32" s="52">
        <f t="shared" ca="1" si="3"/>
        <v>4334</v>
      </c>
      <c r="E32" s="54"/>
      <c r="F32" s="14">
        <v>30</v>
      </c>
      <c r="G32" s="36">
        <v>9652</v>
      </c>
      <c r="H32" s="36">
        <v>4861</v>
      </c>
      <c r="I32" s="36">
        <v>5801</v>
      </c>
      <c r="L32" s="41">
        <f t="shared" ca="1" si="1"/>
        <v>0.72722519255315587</v>
      </c>
      <c r="M32" s="44">
        <v>28</v>
      </c>
      <c r="N32" s="44">
        <v>30</v>
      </c>
      <c r="O32" s="44">
        <f t="shared" ca="1" si="4"/>
        <v>266</v>
      </c>
      <c r="P32" s="53">
        <f t="shared" ca="1" si="5"/>
        <v>16.293961629867674</v>
      </c>
      <c r="Q32" s="41">
        <f t="shared" ca="1" si="6"/>
        <v>4334</v>
      </c>
      <c r="R32" s="41"/>
      <c r="S32" s="48"/>
      <c r="T32" s="41"/>
      <c r="U32" s="41"/>
    </row>
    <row r="33" spans="1:21" ht="15" x14ac:dyDescent="0.25">
      <c r="A33" s="49">
        <v>31</v>
      </c>
      <c r="B33" s="50">
        <f t="shared" ca="1" si="0"/>
        <v>6123</v>
      </c>
      <c r="C33" s="51">
        <f t="shared" ca="1" si="2"/>
        <v>3911</v>
      </c>
      <c r="D33" s="52">
        <f t="shared" ca="1" si="3"/>
        <v>3744</v>
      </c>
      <c r="E33" s="54"/>
      <c r="F33" s="14">
        <v>31</v>
      </c>
      <c r="G33" s="36">
        <v>1690</v>
      </c>
      <c r="H33" s="36">
        <v>5130</v>
      </c>
      <c r="I33" s="36">
        <v>3743</v>
      </c>
      <c r="L33" s="41">
        <f t="shared" ca="1" si="1"/>
        <v>0.42333775904507376</v>
      </c>
      <c r="M33" s="44">
        <v>30</v>
      </c>
      <c r="N33" s="44">
        <v>31</v>
      </c>
      <c r="O33" s="44">
        <f t="shared" ca="1" si="4"/>
        <v>271</v>
      </c>
      <c r="P33" s="53">
        <f t="shared" ca="1" si="5"/>
        <v>13.815767982076926</v>
      </c>
      <c r="Q33" s="41">
        <f t="shared" ca="1" si="6"/>
        <v>3744</v>
      </c>
      <c r="R33" s="41"/>
      <c r="S33" s="48"/>
      <c r="T33" s="41"/>
      <c r="U33" s="41"/>
    </row>
    <row r="34" spans="1:21" ht="15" x14ac:dyDescent="0.25">
      <c r="A34" s="49">
        <v>32</v>
      </c>
      <c r="B34" s="50">
        <f t="shared" ca="1" si="0"/>
        <v>2997</v>
      </c>
      <c r="C34" s="51">
        <f t="shared" ca="1" si="2"/>
        <v>3868</v>
      </c>
      <c r="D34" s="52">
        <f t="shared" ca="1" si="3"/>
        <v>4209</v>
      </c>
      <c r="E34" s="54"/>
      <c r="F34" s="14">
        <v>32</v>
      </c>
      <c r="G34" s="36">
        <v>2946</v>
      </c>
      <c r="H34" s="36">
        <v>5005</v>
      </c>
      <c r="I34" s="36">
        <v>4861</v>
      </c>
      <c r="L34" s="41">
        <f t="shared" ca="1" si="1"/>
        <v>0.82657266266729823</v>
      </c>
      <c r="M34" s="44">
        <v>29</v>
      </c>
      <c r="N34" s="44">
        <v>32</v>
      </c>
      <c r="O34" s="44">
        <f t="shared" ca="1" si="4"/>
        <v>276</v>
      </c>
      <c r="P34" s="53">
        <f t="shared" ca="1" si="5"/>
        <v>15.248517479627093</v>
      </c>
      <c r="Q34" s="41">
        <f t="shared" ca="1" si="6"/>
        <v>4209</v>
      </c>
      <c r="R34" s="41"/>
      <c r="S34" s="48"/>
      <c r="T34" s="41"/>
      <c r="U34" s="41"/>
    </row>
    <row r="35" spans="1:21" ht="15" x14ac:dyDescent="0.25">
      <c r="A35" s="49">
        <v>33</v>
      </c>
      <c r="B35" s="50">
        <f t="shared" ca="1" si="0"/>
        <v>3156</v>
      </c>
      <c r="C35" s="51">
        <f t="shared" ca="1" si="2"/>
        <v>4065</v>
      </c>
      <c r="D35" s="52">
        <f t="shared" ca="1" si="3"/>
        <v>4143</v>
      </c>
      <c r="E35" s="54"/>
      <c r="F35" s="14">
        <v>33</v>
      </c>
      <c r="G35" s="36">
        <v>2877</v>
      </c>
      <c r="H35" s="36">
        <v>5192</v>
      </c>
      <c r="I35" s="36">
        <v>5475</v>
      </c>
      <c r="L35" s="41">
        <f t="shared" ca="1" si="1"/>
        <v>0.79820053774319366</v>
      </c>
      <c r="M35" s="44">
        <v>31</v>
      </c>
      <c r="N35" s="44">
        <v>33</v>
      </c>
      <c r="O35" s="44">
        <f t="shared" ca="1" si="4"/>
        <v>281</v>
      </c>
      <c r="P35" s="53">
        <f t="shared" ca="1" si="5"/>
        <v>14.744468034235021</v>
      </c>
      <c r="Q35" s="41">
        <f t="shared" ca="1" si="6"/>
        <v>4143</v>
      </c>
      <c r="R35" s="41"/>
      <c r="S35" s="48"/>
      <c r="T35" s="41"/>
      <c r="U35" s="41"/>
    </row>
    <row r="36" spans="1:21" ht="15" x14ac:dyDescent="0.25">
      <c r="A36" s="49">
        <v>34</v>
      </c>
      <c r="B36" s="50">
        <f t="shared" ca="1" si="0"/>
        <v>5673</v>
      </c>
      <c r="C36" s="51">
        <f t="shared" ca="1" si="2"/>
        <v>4143</v>
      </c>
      <c r="D36" s="52">
        <f t="shared" ca="1" si="3"/>
        <v>4375</v>
      </c>
      <c r="E36" s="54"/>
      <c r="F36" s="14">
        <v>34</v>
      </c>
      <c r="G36" s="36">
        <v>9135</v>
      </c>
      <c r="H36" s="36">
        <v>5417</v>
      </c>
      <c r="I36" s="36">
        <v>5654</v>
      </c>
      <c r="L36" s="41">
        <f t="shared" ca="1" si="1"/>
        <v>0.22670778070728248</v>
      </c>
      <c r="M36" s="44">
        <v>32</v>
      </c>
      <c r="N36" s="44">
        <v>34</v>
      </c>
      <c r="O36" s="44">
        <f t="shared" ca="1" si="4"/>
        <v>286</v>
      </c>
      <c r="P36" s="53">
        <f t="shared" ca="1" si="5"/>
        <v>15.297060313627261</v>
      </c>
      <c r="Q36" s="41">
        <f t="shared" ca="1" si="6"/>
        <v>4375</v>
      </c>
      <c r="R36" s="41"/>
      <c r="S36" s="48"/>
      <c r="T36" s="41"/>
      <c r="U36" s="41"/>
    </row>
    <row r="37" spans="1:21" ht="15" x14ac:dyDescent="0.25">
      <c r="A37" s="49">
        <v>35</v>
      </c>
      <c r="B37" s="50">
        <f t="shared" ca="1" si="0"/>
        <v>5486</v>
      </c>
      <c r="C37" s="51">
        <f t="shared" ca="1" si="2"/>
        <v>4365</v>
      </c>
      <c r="D37" s="52">
        <f t="shared" ca="1" si="3"/>
        <v>5321</v>
      </c>
      <c r="E37" s="54"/>
      <c r="F37" s="14">
        <v>35</v>
      </c>
      <c r="G37" s="36">
        <v>1984</v>
      </c>
      <c r="H37" s="36">
        <v>5561</v>
      </c>
      <c r="I37" s="36">
        <v>6532</v>
      </c>
      <c r="L37" s="41">
        <f t="shared" ca="1" si="1"/>
        <v>0.37285046153750334</v>
      </c>
      <c r="M37" s="44">
        <v>35</v>
      </c>
      <c r="N37" s="44">
        <v>35</v>
      </c>
      <c r="O37" s="44">
        <f t="shared" ca="1" si="4"/>
        <v>291</v>
      </c>
      <c r="P37" s="53">
        <f t="shared" ca="1" si="5"/>
        <v>18.283595124646048</v>
      </c>
      <c r="Q37" s="41">
        <f t="shared" ca="1" si="6"/>
        <v>5321</v>
      </c>
      <c r="R37" s="41"/>
      <c r="S37" s="48"/>
      <c r="T37" s="41"/>
      <c r="U37" s="41"/>
    </row>
    <row r="38" spans="1:21" ht="15" x14ac:dyDescent="0.25">
      <c r="A38" s="49">
        <v>36</v>
      </c>
      <c r="B38" s="50">
        <f t="shared" ca="1" si="0"/>
        <v>4143</v>
      </c>
      <c r="C38" s="51">
        <f t="shared" ca="1" si="2"/>
        <v>4556</v>
      </c>
      <c r="D38" s="52">
        <f t="shared" ca="1" si="3"/>
        <v>3285</v>
      </c>
      <c r="E38" s="54"/>
      <c r="F38" s="14">
        <v>36</v>
      </c>
      <c r="G38" s="36">
        <v>6552</v>
      </c>
      <c r="H38" s="36">
        <v>5801</v>
      </c>
      <c r="I38" s="36">
        <v>5561</v>
      </c>
      <c r="L38" s="41">
        <f t="shared" ca="1" si="1"/>
        <v>0.56655177613226704</v>
      </c>
      <c r="M38" s="44">
        <v>39</v>
      </c>
      <c r="N38" s="44">
        <v>36</v>
      </c>
      <c r="O38" s="44">
        <f t="shared" ca="1" si="4"/>
        <v>296</v>
      </c>
      <c r="P38" s="53">
        <f t="shared" ca="1" si="5"/>
        <v>11.097735196876837</v>
      </c>
      <c r="Q38" s="41">
        <f t="shared" ca="1" si="6"/>
        <v>3285</v>
      </c>
      <c r="R38" s="41"/>
      <c r="S38" s="48"/>
      <c r="T38" s="41"/>
      <c r="U38" s="41"/>
    </row>
    <row r="39" spans="1:21" ht="15" x14ac:dyDescent="0.25">
      <c r="A39" s="49">
        <v>37</v>
      </c>
      <c r="B39" s="50">
        <f t="shared" ca="1" si="0"/>
        <v>3107</v>
      </c>
      <c r="C39" s="51">
        <f t="shared" ca="1" si="2"/>
        <v>4375</v>
      </c>
      <c r="D39" s="52">
        <f t="shared" ca="1" si="3"/>
        <v>4764</v>
      </c>
      <c r="E39" s="54"/>
      <c r="F39" s="14">
        <v>37</v>
      </c>
      <c r="G39" s="36">
        <v>11930</v>
      </c>
      <c r="H39" s="36">
        <v>5654</v>
      </c>
      <c r="I39" s="36">
        <v>5461</v>
      </c>
      <c r="L39" s="41">
        <f t="shared" ca="1" si="1"/>
        <v>0.70562342264038491</v>
      </c>
      <c r="M39" s="44">
        <v>36</v>
      </c>
      <c r="N39" s="44">
        <v>37</v>
      </c>
      <c r="O39" s="44">
        <f t="shared" ca="1" si="4"/>
        <v>301</v>
      </c>
      <c r="P39" s="53">
        <f t="shared" ca="1" si="5"/>
        <v>15.82761739747891</v>
      </c>
      <c r="Q39" s="41">
        <f t="shared" ca="1" si="6"/>
        <v>4764</v>
      </c>
      <c r="R39" s="41"/>
      <c r="S39" s="48"/>
      <c r="T39" s="41"/>
      <c r="U39" s="41"/>
    </row>
    <row r="40" spans="1:21" ht="15" x14ac:dyDescent="0.25">
      <c r="A40" s="49">
        <v>38</v>
      </c>
      <c r="B40" s="50">
        <f t="shared" ca="1" si="0"/>
        <v>6180</v>
      </c>
      <c r="C40" s="51">
        <f t="shared" ca="1" si="2"/>
        <v>4382</v>
      </c>
      <c r="D40" s="52">
        <f t="shared" ca="1" si="3"/>
        <v>4759</v>
      </c>
      <c r="E40" s="54"/>
      <c r="F40" s="14">
        <v>38</v>
      </c>
      <c r="G40" s="36">
        <v>6290</v>
      </c>
      <c r="H40" s="36">
        <v>5714</v>
      </c>
      <c r="I40" s="36">
        <v>5714</v>
      </c>
      <c r="L40" s="41">
        <f t="shared" ca="1" si="1"/>
        <v>0.18139026274201275</v>
      </c>
      <c r="M40" s="44">
        <v>37</v>
      </c>
      <c r="N40" s="44">
        <v>38</v>
      </c>
      <c r="O40" s="44">
        <f t="shared" ca="1" si="4"/>
        <v>306</v>
      </c>
      <c r="P40" s="53">
        <f t="shared" ca="1" si="5"/>
        <v>15.553613969114522</v>
      </c>
      <c r="Q40" s="41">
        <f t="shared" ca="1" si="6"/>
        <v>4759</v>
      </c>
      <c r="R40" s="41"/>
      <c r="S40" s="48"/>
      <c r="T40" s="41"/>
      <c r="U40" s="41"/>
    </row>
    <row r="41" spans="1:21" ht="15" x14ac:dyDescent="0.25">
      <c r="A41" s="49">
        <v>39</v>
      </c>
      <c r="B41" s="50">
        <f t="shared" ca="1" si="0"/>
        <v>2932</v>
      </c>
      <c r="C41" s="51">
        <f t="shared" ca="1" si="2"/>
        <v>4428</v>
      </c>
      <c r="D41" s="52">
        <f t="shared" ca="1" si="3"/>
        <v>5569</v>
      </c>
      <c r="E41" s="54"/>
      <c r="F41" s="14">
        <v>39</v>
      </c>
      <c r="G41" s="36">
        <v>8783</v>
      </c>
      <c r="H41" s="36">
        <v>5761</v>
      </c>
      <c r="I41" s="36">
        <v>6032</v>
      </c>
      <c r="L41" s="41">
        <f t="shared" ca="1" si="1"/>
        <v>0.83264564114199136</v>
      </c>
      <c r="M41" s="44">
        <v>38</v>
      </c>
      <c r="N41" s="44">
        <v>39</v>
      </c>
      <c r="O41" s="44">
        <f t="shared" ca="1" si="4"/>
        <v>311</v>
      </c>
      <c r="P41" s="53">
        <f t="shared" ca="1" si="5"/>
        <v>17.906448247764949</v>
      </c>
      <c r="Q41" s="41">
        <f t="shared" ca="1" si="6"/>
        <v>5569</v>
      </c>
      <c r="R41" s="41"/>
      <c r="S41" s="48"/>
      <c r="T41" s="41"/>
      <c r="U41" s="41"/>
    </row>
    <row r="42" spans="1:21" ht="15" x14ac:dyDescent="0.25">
      <c r="A42" s="49">
        <v>40</v>
      </c>
      <c r="B42" s="50">
        <f t="shared" ca="1" si="0"/>
        <v>2134</v>
      </c>
      <c r="C42" s="51">
        <f t="shared" ca="1" si="2"/>
        <v>4759</v>
      </c>
      <c r="D42" s="52">
        <f t="shared" ca="1" si="3"/>
        <v>5504</v>
      </c>
      <c r="E42" s="54"/>
      <c r="F42" s="14">
        <v>40</v>
      </c>
      <c r="G42" s="36">
        <v>5417</v>
      </c>
      <c r="H42" s="36">
        <v>6290</v>
      </c>
      <c r="I42" s="36">
        <v>7172</v>
      </c>
      <c r="L42" s="41">
        <f t="shared" ca="1" si="1"/>
        <v>0.95387048682693232</v>
      </c>
      <c r="M42" s="44">
        <v>41</v>
      </c>
      <c r="N42" s="44">
        <v>40</v>
      </c>
      <c r="O42" s="44">
        <f t="shared" ca="1" si="4"/>
        <v>316</v>
      </c>
      <c r="P42" s="53">
        <f t="shared" ca="1" si="5"/>
        <v>17.418426375080827</v>
      </c>
      <c r="Q42" s="41">
        <f t="shared" ca="1" si="6"/>
        <v>5504</v>
      </c>
      <c r="R42" s="41"/>
      <c r="S42" s="48"/>
      <c r="T42" s="41"/>
      <c r="U42" s="41"/>
    </row>
    <row r="43" spans="1:21" ht="15" x14ac:dyDescent="0.25">
      <c r="A43" s="49">
        <v>41</v>
      </c>
      <c r="B43" s="50">
        <f t="shared" ca="1" si="0"/>
        <v>6933</v>
      </c>
      <c r="C43" s="51">
        <f t="shared" ca="1" si="2"/>
        <v>4628</v>
      </c>
      <c r="D43" s="52">
        <f t="shared" ca="1" si="3"/>
        <v>4428</v>
      </c>
      <c r="E43" s="54"/>
      <c r="F43" s="14">
        <v>41</v>
      </c>
      <c r="G43" s="36">
        <v>8751</v>
      </c>
      <c r="H43" s="36">
        <v>6032</v>
      </c>
      <c r="I43" s="36">
        <v>5192</v>
      </c>
      <c r="L43" s="41">
        <f t="shared" ca="1" si="1"/>
        <v>0.2001393149834797</v>
      </c>
      <c r="M43" s="44">
        <v>40</v>
      </c>
      <c r="N43" s="44">
        <v>41</v>
      </c>
      <c r="O43" s="44">
        <f t="shared" ca="1" si="4"/>
        <v>321</v>
      </c>
      <c r="P43" s="53">
        <f t="shared" ca="1" si="5"/>
        <v>13.79549870812515</v>
      </c>
      <c r="Q43" s="41">
        <f t="shared" ca="1" si="6"/>
        <v>4428</v>
      </c>
      <c r="R43" s="41"/>
      <c r="S43" s="48"/>
      <c r="T43" s="41"/>
      <c r="U43" s="41"/>
    </row>
    <row r="44" spans="1:21" ht="15" x14ac:dyDescent="0.25">
      <c r="A44" s="49">
        <v>42</v>
      </c>
      <c r="B44" s="50">
        <f t="shared" ca="1" si="0"/>
        <v>8899</v>
      </c>
      <c r="C44" s="51">
        <f t="shared" ca="1" si="2"/>
        <v>5384</v>
      </c>
      <c r="D44" s="52">
        <f t="shared" ca="1" si="3"/>
        <v>4382</v>
      </c>
      <c r="E44" s="54"/>
      <c r="F44" s="14">
        <v>42</v>
      </c>
      <c r="G44" s="36">
        <v>5130</v>
      </c>
      <c r="H44" s="36">
        <v>6894</v>
      </c>
      <c r="I44" s="36">
        <v>6552</v>
      </c>
      <c r="L44" s="41">
        <f t="shared" ca="1" si="1"/>
        <v>1.0198022558084552E-2</v>
      </c>
      <c r="M44" s="44">
        <v>46</v>
      </c>
      <c r="N44" s="44">
        <v>42</v>
      </c>
      <c r="O44" s="44">
        <f t="shared" ca="1" si="4"/>
        <v>326</v>
      </c>
      <c r="P44" s="53">
        <f t="shared" ca="1" si="5"/>
        <v>13.442881470361698</v>
      </c>
      <c r="Q44" s="41">
        <f t="shared" ca="1" si="6"/>
        <v>4382</v>
      </c>
      <c r="R44" s="41"/>
      <c r="S44" s="48"/>
      <c r="T44" s="41"/>
      <c r="U44" s="41"/>
    </row>
    <row r="45" spans="1:21" ht="15" x14ac:dyDescent="0.25">
      <c r="A45" s="49">
        <v>43</v>
      </c>
      <c r="B45" s="50">
        <f t="shared" ca="1" si="0"/>
        <v>6678</v>
      </c>
      <c r="C45" s="51">
        <f t="shared" ca="1" si="2"/>
        <v>5321</v>
      </c>
      <c r="D45" s="52">
        <f t="shared" ca="1" si="3"/>
        <v>5433</v>
      </c>
      <c r="E45" s="54"/>
      <c r="F45" s="14">
        <v>43</v>
      </c>
      <c r="G45" s="36">
        <v>6754</v>
      </c>
      <c r="H45" s="36">
        <v>6552</v>
      </c>
      <c r="I45" s="36">
        <v>6290</v>
      </c>
      <c r="L45" s="41">
        <f t="shared" ca="1" si="1"/>
        <v>0.16248919723302169</v>
      </c>
      <c r="M45" s="44">
        <v>44</v>
      </c>
      <c r="N45" s="44">
        <v>43</v>
      </c>
      <c r="O45" s="44">
        <f t="shared" ca="1" si="4"/>
        <v>331</v>
      </c>
      <c r="P45" s="53">
        <f t="shared" ca="1" si="5"/>
        <v>16.414612568460345</v>
      </c>
      <c r="Q45" s="41">
        <f t="shared" ca="1" si="6"/>
        <v>5433</v>
      </c>
      <c r="R45" s="41"/>
      <c r="S45" s="48"/>
      <c r="T45" s="41"/>
      <c r="U45" s="41"/>
    </row>
    <row r="46" spans="1:21" ht="15" x14ac:dyDescent="0.25">
      <c r="A46" s="49">
        <v>44</v>
      </c>
      <c r="B46" s="50">
        <f t="shared" ca="1" si="0"/>
        <v>2601</v>
      </c>
      <c r="C46" s="51">
        <f t="shared" ca="1" si="2"/>
        <v>5368</v>
      </c>
      <c r="D46" s="52">
        <f t="shared" ca="1" si="3"/>
        <v>5233</v>
      </c>
      <c r="E46" s="54"/>
      <c r="F46" s="14">
        <v>44</v>
      </c>
      <c r="G46" s="36">
        <v>1436</v>
      </c>
      <c r="H46" s="36">
        <v>6754</v>
      </c>
      <c r="I46" s="36">
        <v>7538</v>
      </c>
      <c r="L46" s="41">
        <f t="shared" ca="1" si="1"/>
        <v>0.92290919338959898</v>
      </c>
      <c r="M46" s="3">
        <v>45</v>
      </c>
      <c r="N46" s="44">
        <v>44</v>
      </c>
      <c r="O46" s="44">
        <f t="shared" ca="1" si="4"/>
        <v>336</v>
      </c>
      <c r="P46" s="53">
        <f t="shared" ca="1" si="5"/>
        <v>15.574413250344277</v>
      </c>
      <c r="Q46" s="41">
        <f t="shared" ca="1" si="6"/>
        <v>5233</v>
      </c>
      <c r="R46" s="41"/>
      <c r="S46" s="48"/>
      <c r="T46" s="41"/>
      <c r="U46" s="41"/>
    </row>
    <row r="47" spans="1:21" ht="15" x14ac:dyDescent="0.25">
      <c r="A47" s="49">
        <v>45</v>
      </c>
      <c r="B47" s="50">
        <f t="shared" ca="1" si="0"/>
        <v>5937</v>
      </c>
      <c r="C47" s="51">
        <f t="shared" ca="1" si="2"/>
        <v>5433</v>
      </c>
      <c r="D47" s="52">
        <f t="shared" ca="1" si="3"/>
        <v>6123</v>
      </c>
      <c r="E47" s="54"/>
      <c r="F47" s="14">
        <v>45</v>
      </c>
      <c r="G47" s="36">
        <v>7787</v>
      </c>
      <c r="H47" s="36">
        <v>6983</v>
      </c>
      <c r="I47" s="36">
        <v>7226</v>
      </c>
      <c r="L47" s="41">
        <f t="shared" ca="1" si="1"/>
        <v>5.1518974220111091E-2</v>
      </c>
      <c r="M47" s="44">
        <v>47</v>
      </c>
      <c r="N47" s="44">
        <v>45</v>
      </c>
      <c r="O47" s="44">
        <f t="shared" ca="1" si="4"/>
        <v>341</v>
      </c>
      <c r="P47" s="53">
        <f t="shared" ca="1" si="5"/>
        <v>17.957463171870046</v>
      </c>
      <c r="Q47" s="41">
        <f t="shared" ca="1" si="6"/>
        <v>6123</v>
      </c>
      <c r="R47" s="41"/>
      <c r="S47" s="48"/>
      <c r="T47" s="41"/>
      <c r="U47" s="41"/>
    </row>
    <row r="48" spans="1:21" ht="15" x14ac:dyDescent="0.25">
      <c r="A48" s="49">
        <v>46</v>
      </c>
      <c r="B48" s="50">
        <f t="shared" ca="1" si="0"/>
        <v>1850</v>
      </c>
      <c r="C48" s="51">
        <f t="shared" ca="1" si="2"/>
        <v>5486</v>
      </c>
      <c r="D48" s="52">
        <f t="shared" ca="1" si="3"/>
        <v>4065</v>
      </c>
      <c r="E48" s="54"/>
      <c r="F48" s="14">
        <v>46</v>
      </c>
      <c r="G48" s="36">
        <v>9099</v>
      </c>
      <c r="H48" s="36">
        <v>7001</v>
      </c>
      <c r="I48" s="36">
        <v>6526</v>
      </c>
      <c r="L48" s="41">
        <f t="shared" ca="1" si="1"/>
        <v>0.98270654306267446</v>
      </c>
      <c r="M48" s="44">
        <v>48</v>
      </c>
      <c r="N48" s="44">
        <v>46</v>
      </c>
      <c r="O48" s="44">
        <f t="shared" ca="1" si="4"/>
        <v>346</v>
      </c>
      <c r="P48" s="53">
        <f t="shared" ca="1" si="5"/>
        <v>11.748958452097471</v>
      </c>
      <c r="Q48" s="41">
        <f t="shared" ca="1" si="6"/>
        <v>4065</v>
      </c>
      <c r="R48" s="41"/>
      <c r="S48" s="48"/>
      <c r="T48" s="41"/>
      <c r="U48" s="41"/>
    </row>
    <row r="49" spans="1:21" ht="15" x14ac:dyDescent="0.25">
      <c r="A49" s="49">
        <v>47</v>
      </c>
      <c r="B49" s="50">
        <f t="shared" ca="1" si="0"/>
        <v>5368</v>
      </c>
      <c r="C49" s="51">
        <f t="shared" ca="1" si="2"/>
        <v>4764</v>
      </c>
      <c r="D49" s="52">
        <f t="shared" ca="1" si="3"/>
        <v>5486</v>
      </c>
      <c r="E49" s="54"/>
      <c r="F49" s="14">
        <v>47</v>
      </c>
      <c r="G49" s="36">
        <v>7001</v>
      </c>
      <c r="H49" s="36">
        <v>6526</v>
      </c>
      <c r="I49" s="36">
        <v>7472</v>
      </c>
      <c r="L49" s="41">
        <f t="shared" ca="1" si="1"/>
        <v>0.33003140480163362</v>
      </c>
      <c r="M49" s="44">
        <v>42</v>
      </c>
      <c r="N49" s="44">
        <v>47</v>
      </c>
      <c r="O49" s="44">
        <f t="shared" ca="1" si="4"/>
        <v>351</v>
      </c>
      <c r="P49" s="53">
        <f t="shared" ca="1" si="5"/>
        <v>15.629663388243751</v>
      </c>
      <c r="Q49" s="41">
        <f t="shared" ca="1" si="6"/>
        <v>5486</v>
      </c>
      <c r="R49" s="41"/>
      <c r="S49" s="48"/>
      <c r="T49" s="41"/>
      <c r="U49" s="41"/>
    </row>
    <row r="50" spans="1:21" ht="15" x14ac:dyDescent="0.25">
      <c r="A50" s="49">
        <v>48</v>
      </c>
      <c r="B50" s="50">
        <f t="shared" ca="1" si="0"/>
        <v>5321</v>
      </c>
      <c r="C50" s="51">
        <f t="shared" ca="1" si="2"/>
        <v>5233</v>
      </c>
      <c r="D50" s="52">
        <f t="shared" ca="1" si="3"/>
        <v>5943</v>
      </c>
      <c r="E50" s="54"/>
      <c r="F50" s="14">
        <v>48</v>
      </c>
      <c r="G50" s="36">
        <v>9499</v>
      </c>
      <c r="H50" s="36">
        <v>6532</v>
      </c>
      <c r="I50" s="36">
        <v>7242</v>
      </c>
      <c r="L50" s="41">
        <f t="shared" ca="1" si="1"/>
        <v>0.53905072090764783</v>
      </c>
      <c r="M50" s="44">
        <v>43</v>
      </c>
      <c r="N50" s="44">
        <v>48</v>
      </c>
      <c r="O50" s="44">
        <f t="shared" ca="1" si="4"/>
        <v>356</v>
      </c>
      <c r="P50" s="53">
        <f t="shared" ca="1" si="5"/>
        <v>16.692893965223114</v>
      </c>
      <c r="Q50" s="41">
        <f t="shared" ca="1" si="6"/>
        <v>5943</v>
      </c>
      <c r="R50" s="41"/>
      <c r="S50" s="48"/>
      <c r="T50" s="41"/>
      <c r="U50" s="41"/>
    </row>
    <row r="51" spans="1:21" ht="15" x14ac:dyDescent="0.25">
      <c r="A51" s="49">
        <v>49</v>
      </c>
      <c r="B51" s="50">
        <f t="shared" ca="1" si="0"/>
        <v>7537</v>
      </c>
      <c r="C51" s="51">
        <f t="shared" ca="1" si="2"/>
        <v>5569</v>
      </c>
      <c r="D51" s="52">
        <f t="shared" ca="1" si="3"/>
        <v>5384</v>
      </c>
      <c r="E51" s="54"/>
      <c r="F51" s="14">
        <v>49</v>
      </c>
      <c r="G51" s="36">
        <v>2078</v>
      </c>
      <c r="H51" s="36">
        <v>7226</v>
      </c>
      <c r="I51" s="36">
        <v>7583</v>
      </c>
      <c r="L51" s="41">
        <f t="shared" ca="1" si="1"/>
        <v>2.9468627046790208E-2</v>
      </c>
      <c r="M51" s="44">
        <v>50</v>
      </c>
      <c r="N51" s="44">
        <v>49</v>
      </c>
      <c r="O51" s="44">
        <f t="shared" ca="1" si="4"/>
        <v>361</v>
      </c>
      <c r="P51" s="53">
        <f t="shared" ca="1" si="5"/>
        <v>14.914903882382315</v>
      </c>
      <c r="Q51" s="41">
        <f t="shared" ca="1" si="6"/>
        <v>5384</v>
      </c>
      <c r="R51" s="41"/>
      <c r="S51" s="48"/>
      <c r="T51" s="41"/>
      <c r="U51" s="41"/>
    </row>
    <row r="52" spans="1:21" ht="15" x14ac:dyDescent="0.25">
      <c r="A52" s="49">
        <v>50</v>
      </c>
      <c r="B52" s="50">
        <f t="shared" ca="1" si="0"/>
        <v>3911</v>
      </c>
      <c r="C52" s="51">
        <f t="shared" ca="1" si="2"/>
        <v>5504</v>
      </c>
      <c r="D52" s="52">
        <f t="shared" ca="1" si="3"/>
        <v>6004</v>
      </c>
      <c r="E52" s="54"/>
      <c r="F52" s="14">
        <v>50</v>
      </c>
      <c r="G52" s="36">
        <v>4336</v>
      </c>
      <c r="H52" s="36">
        <v>7172</v>
      </c>
      <c r="I52" s="36">
        <v>9442</v>
      </c>
      <c r="L52" s="41">
        <f t="shared" ca="1" si="1"/>
        <v>0.68466656110596691</v>
      </c>
      <c r="M52" s="44">
        <v>49</v>
      </c>
      <c r="N52" s="44">
        <v>50</v>
      </c>
      <c r="O52" s="44">
        <f t="shared" ca="1" si="4"/>
        <v>366</v>
      </c>
      <c r="P52" s="53">
        <f t="shared" ca="1" si="5"/>
        <v>16.404566487480995</v>
      </c>
      <c r="Q52" s="41">
        <f t="shared" ca="1" si="6"/>
        <v>6004</v>
      </c>
      <c r="R52" s="41"/>
      <c r="S52" s="48"/>
      <c r="T52" s="41"/>
      <c r="U52" s="41"/>
    </row>
    <row r="53" spans="1:21" ht="15" x14ac:dyDescent="0.25">
      <c r="A53" s="49">
        <v>51</v>
      </c>
      <c r="B53" s="50">
        <f t="shared" ca="1" si="0"/>
        <v>2386</v>
      </c>
      <c r="C53" s="51">
        <f t="shared" ca="1" si="2"/>
        <v>5578</v>
      </c>
      <c r="D53" s="52">
        <f t="shared" ca="1" si="3"/>
        <v>4556</v>
      </c>
      <c r="E53" s="54"/>
      <c r="F53" s="14">
        <v>51</v>
      </c>
      <c r="G53" s="36">
        <v>2528</v>
      </c>
      <c r="H53" s="36">
        <v>7242</v>
      </c>
      <c r="I53" s="36">
        <v>6983</v>
      </c>
      <c r="L53" s="41">
        <f t="shared" ca="1" si="1"/>
        <v>0.77047846201566272</v>
      </c>
      <c r="M53" s="44">
        <v>51</v>
      </c>
      <c r="N53" s="44">
        <v>51</v>
      </c>
      <c r="O53" s="44">
        <f t="shared" ca="1" si="4"/>
        <v>371</v>
      </c>
      <c r="P53" s="53">
        <f t="shared" ca="1" si="5"/>
        <v>12.281545733327635</v>
      </c>
      <c r="Q53" s="41">
        <f t="shared" ca="1" si="6"/>
        <v>4556</v>
      </c>
      <c r="R53" s="41"/>
      <c r="S53" s="48"/>
      <c r="T53" s="41"/>
      <c r="U53" s="41"/>
    </row>
    <row r="54" spans="1:21" ht="15" x14ac:dyDescent="0.25">
      <c r="A54" s="49">
        <v>52</v>
      </c>
      <c r="B54" s="50">
        <f t="shared" ca="1" si="0"/>
        <v>6740</v>
      </c>
      <c r="C54" s="51">
        <f t="shared" ca="1" si="2"/>
        <v>5698</v>
      </c>
      <c r="D54" s="52">
        <f t="shared" ca="1" si="3"/>
        <v>5368</v>
      </c>
      <c r="E54" s="54"/>
      <c r="F54" s="14">
        <v>52</v>
      </c>
      <c r="G54" s="36">
        <v>5761</v>
      </c>
      <c r="H54" s="36">
        <v>7583</v>
      </c>
      <c r="I54" s="36">
        <v>6894</v>
      </c>
      <c r="L54" s="41">
        <f t="shared" ca="1" si="1"/>
        <v>0.3054934551792684</v>
      </c>
      <c r="M54" s="44">
        <v>54</v>
      </c>
      <c r="N54" s="44">
        <v>52</v>
      </c>
      <c r="O54" s="44">
        <f t="shared" ca="1" si="4"/>
        <v>376</v>
      </c>
      <c r="P54" s="53">
        <f t="shared" ca="1" si="5"/>
        <v>14.276287193966247</v>
      </c>
      <c r="Q54" s="41">
        <f t="shared" ca="1" si="6"/>
        <v>5368</v>
      </c>
      <c r="R54" s="41"/>
      <c r="S54" s="48"/>
      <c r="T54" s="41"/>
      <c r="U54" s="41"/>
    </row>
    <row r="55" spans="1:21" ht="15" x14ac:dyDescent="0.25">
      <c r="A55" s="49">
        <v>53</v>
      </c>
      <c r="B55" s="50">
        <f t="shared" ca="1" si="0"/>
        <v>3606</v>
      </c>
      <c r="C55" s="51">
        <f t="shared" ca="1" si="2"/>
        <v>5673</v>
      </c>
      <c r="D55" s="52">
        <f t="shared" ca="1" si="3"/>
        <v>5578</v>
      </c>
      <c r="E55" s="54"/>
      <c r="F55" s="14">
        <v>53</v>
      </c>
      <c r="G55" s="36">
        <v>8721</v>
      </c>
      <c r="H55" s="36">
        <v>7538</v>
      </c>
      <c r="I55" s="36">
        <v>7001</v>
      </c>
      <c r="L55" s="41">
        <f t="shared" ca="1" si="1"/>
        <v>0.62346183628949492</v>
      </c>
      <c r="M55" s="44">
        <v>53</v>
      </c>
      <c r="N55" s="44">
        <v>53</v>
      </c>
      <c r="O55" s="44">
        <f t="shared" ca="1" si="4"/>
        <v>381</v>
      </c>
      <c r="P55" s="53">
        <f t="shared" ca="1" si="5"/>
        <v>14.639533113933226</v>
      </c>
      <c r="Q55" s="41">
        <f t="shared" ca="1" si="6"/>
        <v>5578</v>
      </c>
      <c r="R55" s="41"/>
      <c r="S55" s="41"/>
      <c r="T55" s="41"/>
      <c r="U55" s="41"/>
    </row>
    <row r="56" spans="1:21" ht="15" x14ac:dyDescent="0.25">
      <c r="A56" s="49">
        <v>54</v>
      </c>
      <c r="B56" s="50">
        <f t="shared" ca="1" si="0"/>
        <v>7523</v>
      </c>
      <c r="C56" s="51">
        <f t="shared" ca="1" si="2"/>
        <v>5644</v>
      </c>
      <c r="D56" s="52">
        <f t="shared" ca="1" si="3"/>
        <v>5644</v>
      </c>
      <c r="E56" s="54"/>
      <c r="F56" s="14">
        <v>54</v>
      </c>
      <c r="G56" s="36">
        <v>5561</v>
      </c>
      <c r="H56" s="36">
        <v>7472</v>
      </c>
      <c r="I56" s="36">
        <v>9135</v>
      </c>
      <c r="L56" s="41">
        <f t="shared" ca="1" si="1"/>
        <v>8.1991743858940702E-2</v>
      </c>
      <c r="M56" s="44">
        <v>52</v>
      </c>
      <c r="N56" s="44">
        <v>54</v>
      </c>
      <c r="O56" s="44">
        <f t="shared" ca="1" si="4"/>
        <v>386</v>
      </c>
      <c r="P56" s="53">
        <f t="shared" ca="1" si="5"/>
        <v>14.620790810860044</v>
      </c>
      <c r="Q56" s="41">
        <f t="shared" ca="1" si="6"/>
        <v>5644</v>
      </c>
      <c r="R56" s="41"/>
      <c r="S56" s="41"/>
      <c r="T56" s="41"/>
      <c r="U56" s="41"/>
    </row>
    <row r="57" spans="1:21" ht="15" x14ac:dyDescent="0.25">
      <c r="A57" s="49">
        <v>55</v>
      </c>
      <c r="B57" s="50">
        <f t="shared" ca="1" si="0"/>
        <v>5943</v>
      </c>
      <c r="C57" s="51">
        <f t="shared" ca="1" si="2"/>
        <v>5937</v>
      </c>
      <c r="D57" s="52">
        <f t="shared" ca="1" si="3"/>
        <v>6740</v>
      </c>
      <c r="E57" s="54"/>
      <c r="F57" s="14">
        <v>55</v>
      </c>
      <c r="G57" s="36">
        <v>3935</v>
      </c>
      <c r="H57" s="36">
        <v>7787</v>
      </c>
      <c r="I57" s="36">
        <v>9895</v>
      </c>
      <c r="L57" s="41">
        <f t="shared" ca="1" si="1"/>
        <v>0.36313539196229416</v>
      </c>
      <c r="M57" s="44">
        <v>55</v>
      </c>
      <c r="N57" s="44">
        <v>55</v>
      </c>
      <c r="O57" s="44">
        <f t="shared" ca="1" si="4"/>
        <v>391</v>
      </c>
      <c r="P57" s="53">
        <f t="shared" ca="1" si="5"/>
        <v>17.238490427142438</v>
      </c>
      <c r="Q57" s="41">
        <f t="shared" ca="1" si="6"/>
        <v>6740</v>
      </c>
      <c r="R57" s="41"/>
      <c r="S57" s="41"/>
      <c r="T57" s="41"/>
      <c r="U57" s="41"/>
    </row>
    <row r="58" spans="1:21" ht="15" x14ac:dyDescent="0.25">
      <c r="A58" s="49">
        <v>56</v>
      </c>
      <c r="B58" s="50">
        <f t="shared" ca="1" si="0"/>
        <v>2864</v>
      </c>
      <c r="C58" s="51">
        <f t="shared" ca="1" si="2"/>
        <v>5943</v>
      </c>
      <c r="D58" s="52">
        <f t="shared" ca="1" si="3"/>
        <v>4628</v>
      </c>
      <c r="E58" s="54"/>
      <c r="F58" s="14">
        <v>56</v>
      </c>
      <c r="G58" s="36">
        <v>3019</v>
      </c>
      <c r="H58" s="36">
        <v>8593</v>
      </c>
      <c r="I58" s="36">
        <v>5761</v>
      </c>
      <c r="L58" s="41">
        <f t="shared" ca="1" si="1"/>
        <v>0.73540570380013337</v>
      </c>
      <c r="M58" s="44">
        <v>56</v>
      </c>
      <c r="N58" s="44">
        <v>56</v>
      </c>
      <c r="O58" s="44">
        <f t="shared" ca="1" si="4"/>
        <v>396</v>
      </c>
      <c r="P58" s="53">
        <f t="shared" ca="1" si="5"/>
        <v>11.685821808893914</v>
      </c>
      <c r="Q58" s="41">
        <f t="shared" ca="1" si="6"/>
        <v>4628</v>
      </c>
      <c r="R58" s="41"/>
      <c r="S58" s="41"/>
      <c r="T58" s="41"/>
      <c r="U58" s="41"/>
    </row>
    <row r="59" spans="1:21" ht="15" x14ac:dyDescent="0.25">
      <c r="A59" s="49">
        <v>57</v>
      </c>
      <c r="B59" s="50">
        <f t="shared" ca="1" si="0"/>
        <v>7273</v>
      </c>
      <c r="C59" s="51">
        <f t="shared" ca="1" si="2"/>
        <v>6004</v>
      </c>
      <c r="D59" s="52">
        <f t="shared" ca="1" si="3"/>
        <v>5673</v>
      </c>
      <c r="E59" s="54"/>
      <c r="F59" s="14">
        <v>57</v>
      </c>
      <c r="G59" s="36">
        <v>5801</v>
      </c>
      <c r="H59" s="36">
        <v>8720</v>
      </c>
      <c r="I59" s="36">
        <v>6754</v>
      </c>
      <c r="L59" s="41">
        <f t="shared" ca="1" si="1"/>
        <v>0.15696532454518919</v>
      </c>
      <c r="M59" s="44">
        <v>58</v>
      </c>
      <c r="N59" s="44">
        <v>57</v>
      </c>
      <c r="O59" s="44">
        <f t="shared" ca="1" si="4"/>
        <v>401</v>
      </c>
      <c r="P59" s="53">
        <f t="shared" ca="1" si="5"/>
        <v>14.14735452332093</v>
      </c>
      <c r="Q59" s="41">
        <f t="shared" ca="1" si="6"/>
        <v>5673</v>
      </c>
      <c r="R59" s="41"/>
      <c r="S59" s="41"/>
      <c r="T59" s="41"/>
      <c r="U59" s="41"/>
    </row>
    <row r="60" spans="1:21" ht="15" x14ac:dyDescent="0.25">
      <c r="A60" s="49">
        <v>58</v>
      </c>
      <c r="B60" s="50">
        <f t="shared" ca="1" si="0"/>
        <v>2013</v>
      </c>
      <c r="C60" s="51">
        <f t="shared" ca="1" si="2"/>
        <v>6390</v>
      </c>
      <c r="D60" s="52">
        <f t="shared" ca="1" si="3"/>
        <v>6483</v>
      </c>
      <c r="E60" s="54"/>
      <c r="F60" s="14">
        <v>58</v>
      </c>
      <c r="G60" s="36">
        <v>3099</v>
      </c>
      <c r="H60" s="36">
        <v>9099</v>
      </c>
      <c r="I60" s="36">
        <v>7787</v>
      </c>
      <c r="L60" s="41">
        <f t="shared" ca="1" si="1"/>
        <v>0.95132215357998773</v>
      </c>
      <c r="M60" s="44">
        <v>62</v>
      </c>
      <c r="N60" s="44">
        <v>58</v>
      </c>
      <c r="O60" s="44">
        <f t="shared" ca="1" si="4"/>
        <v>406</v>
      </c>
      <c r="P60" s="53">
        <f t="shared" ca="1" si="5"/>
        <v>15.967887635013685</v>
      </c>
      <c r="Q60" s="41">
        <f t="shared" ca="1" si="6"/>
        <v>6483</v>
      </c>
      <c r="R60" s="41"/>
      <c r="S60" s="41"/>
      <c r="T60" s="41"/>
      <c r="U60" s="41"/>
    </row>
    <row r="61" spans="1:21" ht="15" x14ac:dyDescent="0.25">
      <c r="A61" s="49">
        <v>59</v>
      </c>
      <c r="B61" s="50">
        <f t="shared" ca="1" si="0"/>
        <v>6390</v>
      </c>
      <c r="C61" s="51">
        <f t="shared" ca="1" si="2"/>
        <v>5961</v>
      </c>
      <c r="D61" s="52">
        <f t="shared" ca="1" si="3"/>
        <v>6390</v>
      </c>
      <c r="E61" s="54"/>
      <c r="F61" s="14">
        <v>59</v>
      </c>
      <c r="G61" s="36">
        <v>4861</v>
      </c>
      <c r="H61" s="36">
        <v>8705</v>
      </c>
      <c r="I61" s="36">
        <v>10108</v>
      </c>
      <c r="L61" s="41">
        <f t="shared" ca="1" si="1"/>
        <v>0.20161951140044621</v>
      </c>
      <c r="M61" s="44">
        <v>57</v>
      </c>
      <c r="N61" s="44">
        <v>59</v>
      </c>
      <c r="O61" s="44">
        <f t="shared" ca="1" si="4"/>
        <v>411</v>
      </c>
      <c r="P61" s="53">
        <f t="shared" ca="1" si="5"/>
        <v>15.547192843054473</v>
      </c>
      <c r="Q61" s="41">
        <f t="shared" ca="1" si="6"/>
        <v>6390</v>
      </c>
      <c r="R61" s="41"/>
      <c r="S61" s="41"/>
      <c r="T61" s="41"/>
      <c r="U61" s="41"/>
    </row>
    <row r="62" spans="1:21" ht="15" x14ac:dyDescent="0.25">
      <c r="A62" s="49">
        <v>60</v>
      </c>
      <c r="B62" s="50">
        <f t="shared" ca="1" si="0"/>
        <v>5433</v>
      </c>
      <c r="C62" s="51">
        <f t="shared" ca="1" si="2"/>
        <v>6077</v>
      </c>
      <c r="D62" s="52">
        <f t="shared" ca="1" si="3"/>
        <v>6933</v>
      </c>
      <c r="E62" s="54"/>
      <c r="F62" s="14">
        <v>60</v>
      </c>
      <c r="G62" s="36">
        <v>7538</v>
      </c>
      <c r="H62" s="36">
        <v>8721</v>
      </c>
      <c r="I62" s="36">
        <v>8783</v>
      </c>
      <c r="L62" s="41">
        <f t="shared" ca="1" si="1"/>
        <v>0.44312738804855956</v>
      </c>
      <c r="M62" s="44">
        <v>59</v>
      </c>
      <c r="N62" s="44">
        <v>60</v>
      </c>
      <c r="O62" s="44">
        <f t="shared" ca="1" si="4"/>
        <v>416</v>
      </c>
      <c r="P62" s="53">
        <f t="shared" ca="1" si="5"/>
        <v>16.666706764165902</v>
      </c>
      <c r="Q62" s="41">
        <f t="shared" ca="1" si="6"/>
        <v>6933</v>
      </c>
      <c r="R62" s="41"/>
      <c r="S62" s="41"/>
      <c r="T62" s="41"/>
      <c r="U62" s="41"/>
    </row>
    <row r="63" spans="1:21" ht="15" x14ac:dyDescent="0.25">
      <c r="A63" s="49">
        <v>61</v>
      </c>
      <c r="B63" s="50">
        <f t="shared" ca="1" si="0"/>
        <v>3744</v>
      </c>
      <c r="C63" s="51">
        <f t="shared" ca="1" si="2"/>
        <v>6123</v>
      </c>
      <c r="D63" s="52">
        <f t="shared" ca="1" si="3"/>
        <v>5961</v>
      </c>
      <c r="E63" s="54"/>
      <c r="F63" s="14">
        <v>61</v>
      </c>
      <c r="G63" s="36">
        <v>7583</v>
      </c>
      <c r="H63" s="36">
        <v>8751</v>
      </c>
      <c r="I63" s="36">
        <v>8705</v>
      </c>
      <c r="L63" s="41">
        <f t="shared" ca="1" si="1"/>
        <v>0.5897031844428624</v>
      </c>
      <c r="M63" s="44">
        <v>60</v>
      </c>
      <c r="N63" s="44">
        <v>61</v>
      </c>
      <c r="O63" s="44">
        <f t="shared" ca="1" si="4"/>
        <v>421</v>
      </c>
      <c r="P63" s="53">
        <f t="shared" ca="1" si="5"/>
        <v>14.158000108258138</v>
      </c>
      <c r="Q63" s="41">
        <f t="shared" ca="1" si="6"/>
        <v>5961</v>
      </c>
      <c r="R63" s="41"/>
      <c r="S63" s="41"/>
      <c r="T63" s="41"/>
      <c r="U63" s="41"/>
    </row>
    <row r="64" spans="1:21" ht="15" x14ac:dyDescent="0.25">
      <c r="A64" s="49">
        <v>62</v>
      </c>
      <c r="B64" s="50">
        <f t="shared" ca="1" si="0"/>
        <v>4375</v>
      </c>
      <c r="C64" s="51">
        <f t="shared" ca="1" si="2"/>
        <v>6180</v>
      </c>
      <c r="D64" s="52">
        <f t="shared" ca="1" si="3"/>
        <v>6077</v>
      </c>
      <c r="E64" s="54"/>
      <c r="F64" s="14">
        <v>62</v>
      </c>
      <c r="G64" s="36">
        <v>3779</v>
      </c>
      <c r="H64" s="36">
        <v>8783</v>
      </c>
      <c r="I64" s="36">
        <v>8721</v>
      </c>
      <c r="L64" s="41">
        <f t="shared" ca="1" si="1"/>
        <v>0.54789031585891834</v>
      </c>
      <c r="M64" s="44">
        <v>61</v>
      </c>
      <c r="N64" s="44">
        <v>62</v>
      </c>
      <c r="O64" s="44">
        <f t="shared" ca="1" si="4"/>
        <v>426</v>
      </c>
      <c r="P64" s="53">
        <f t="shared" ca="1" si="5"/>
        <v>14.265201624441932</v>
      </c>
      <c r="Q64" s="41">
        <f t="shared" ca="1" si="6"/>
        <v>6077</v>
      </c>
      <c r="R64" s="41"/>
      <c r="S64" s="41"/>
      <c r="T64" s="41"/>
      <c r="U64" s="41"/>
    </row>
    <row r="65" spans="1:22" ht="15" x14ac:dyDescent="0.25">
      <c r="A65" s="49">
        <v>63</v>
      </c>
      <c r="B65" s="50">
        <f t="shared" ca="1" si="0"/>
        <v>7034</v>
      </c>
      <c r="C65" s="51">
        <f t="shared" ca="1" si="2"/>
        <v>6678</v>
      </c>
      <c r="D65" s="52">
        <f t="shared" ca="1" si="3"/>
        <v>6180</v>
      </c>
      <c r="E65" s="54"/>
      <c r="F65" s="14">
        <v>63</v>
      </c>
      <c r="G65" s="36">
        <v>4523</v>
      </c>
      <c r="H65" s="36">
        <v>9442</v>
      </c>
      <c r="I65" s="36">
        <v>8593</v>
      </c>
      <c r="L65" s="41">
        <f t="shared" ca="1" si="1"/>
        <v>4.3337906564637318E-2</v>
      </c>
      <c r="M65" s="44">
        <v>64</v>
      </c>
      <c r="N65" s="44">
        <v>63</v>
      </c>
      <c r="O65" s="44">
        <f t="shared" ca="1" si="4"/>
        <v>431</v>
      </c>
      <c r="P65" s="53">
        <f t="shared" ca="1" si="5"/>
        <v>14.338283069995796</v>
      </c>
      <c r="Q65" s="41">
        <f t="shared" ca="1" si="6"/>
        <v>6180</v>
      </c>
      <c r="R65" s="41"/>
      <c r="S65" s="41"/>
      <c r="T65" s="41"/>
      <c r="U65" s="41"/>
    </row>
    <row r="66" spans="1:22" ht="15" x14ac:dyDescent="0.25">
      <c r="A66" s="49">
        <v>64</v>
      </c>
      <c r="B66" s="50">
        <f t="shared" ca="1" si="0"/>
        <v>2176</v>
      </c>
      <c r="C66" s="51">
        <f t="shared" ca="1" si="2"/>
        <v>6483</v>
      </c>
      <c r="D66" s="52">
        <f t="shared" ca="1" si="3"/>
        <v>6678</v>
      </c>
      <c r="E66" s="54"/>
      <c r="F66" s="14">
        <v>64</v>
      </c>
      <c r="G66" s="36">
        <v>5475</v>
      </c>
      <c r="H66" s="36">
        <v>9135</v>
      </c>
      <c r="I66" s="36">
        <v>9499</v>
      </c>
      <c r="L66" s="41">
        <f t="shared" ca="1" si="1"/>
        <v>0.87596448085727574</v>
      </c>
      <c r="M66" s="44">
        <v>63</v>
      </c>
      <c r="N66" s="44">
        <v>64</v>
      </c>
      <c r="O66" s="44">
        <f t="shared" ca="1" si="4"/>
        <v>436</v>
      </c>
      <c r="P66" s="53">
        <f t="shared" ca="1" si="5"/>
        <v>15.317277575905246</v>
      </c>
      <c r="Q66" s="41">
        <f t="shared" ca="1" si="6"/>
        <v>6678</v>
      </c>
      <c r="R66" s="41"/>
      <c r="S66" s="41"/>
      <c r="T66" s="41"/>
      <c r="U66" s="41"/>
    </row>
    <row r="67" spans="1:22" ht="15" x14ac:dyDescent="0.25">
      <c r="A67" s="49">
        <v>65</v>
      </c>
      <c r="B67" s="50">
        <f t="shared" ref="B67:B77" ca="1" si="7">INDEX($Q$3:$Q$77,RANK(L67,$L$3:$L$77))</f>
        <v>5569</v>
      </c>
      <c r="C67" s="51">
        <f t="shared" ca="1" si="2"/>
        <v>6933</v>
      </c>
      <c r="D67" s="52">
        <f t="shared" ca="1" si="3"/>
        <v>7273</v>
      </c>
      <c r="E67" s="54"/>
      <c r="F67" s="14">
        <v>65</v>
      </c>
      <c r="G67" s="36">
        <v>1909</v>
      </c>
      <c r="H67" s="36">
        <v>9895</v>
      </c>
      <c r="I67" s="36">
        <v>10367</v>
      </c>
      <c r="L67" s="41">
        <f t="shared" ref="L67:L77" ca="1" si="8">RAND()</f>
        <v>0.48657396545238907</v>
      </c>
      <c r="M67" s="44">
        <v>68</v>
      </c>
      <c r="N67" s="44">
        <v>65</v>
      </c>
      <c r="O67" s="44">
        <f t="shared" ca="1" si="4"/>
        <v>441</v>
      </c>
      <c r="P67" s="53">
        <f t="shared" ca="1" si="5"/>
        <v>16.492197942436977</v>
      </c>
      <c r="Q67" s="41">
        <f t="shared" ca="1" si="6"/>
        <v>7273</v>
      </c>
      <c r="R67" s="41"/>
      <c r="S67" s="41"/>
      <c r="T67" s="41"/>
      <c r="U67" s="41"/>
    </row>
    <row r="68" spans="1:22" ht="15" x14ac:dyDescent="0.25">
      <c r="A68" s="49">
        <v>66</v>
      </c>
      <c r="B68" s="50">
        <f t="shared" ca="1" si="7"/>
        <v>3133</v>
      </c>
      <c r="C68" s="51">
        <f t="shared" ref="C68:C77" ca="1" si="9">SMALL($Q$3:$Q$77,M68)</f>
        <v>6689</v>
      </c>
      <c r="D68" s="52">
        <f t="shared" ref="D68:D77" ca="1" si="10">Q68</f>
        <v>5698</v>
      </c>
      <c r="E68" s="54"/>
      <c r="F68" s="14">
        <v>66</v>
      </c>
      <c r="G68" s="36">
        <v>10108</v>
      </c>
      <c r="H68" s="36">
        <v>9652</v>
      </c>
      <c r="I68" s="36">
        <v>8720</v>
      </c>
      <c r="L68" s="41">
        <f t="shared" ca="1" si="8"/>
        <v>0.72402741725901099</v>
      </c>
      <c r="M68" s="44">
        <v>66</v>
      </c>
      <c r="N68" s="44">
        <v>66</v>
      </c>
      <c r="O68" s="44">
        <f t="shared" ref="O68:O77" ca="1" si="11">INT($R$1+$S$1*N68)</f>
        <v>446</v>
      </c>
      <c r="P68" s="53">
        <f t="shared" ref="P68:P77" ca="1" si="12">(((IF(MOD(N68,5)&lt;&gt;0,MOD(N68,5),5))+12)+_xlfn.NORM.S.INV(RAND()))</f>
        <v>12.774834630534135</v>
      </c>
      <c r="Q68" s="41">
        <f t="shared" ref="Q68:Q76" ca="1" si="13">ROUND(O68*P68,0)</f>
        <v>5698</v>
      </c>
      <c r="R68" s="41"/>
      <c r="S68" s="41"/>
      <c r="T68" s="41"/>
      <c r="U68" s="41"/>
    </row>
    <row r="69" spans="1:22" ht="15" x14ac:dyDescent="0.25">
      <c r="A69" s="49">
        <v>67</v>
      </c>
      <c r="B69" s="50">
        <f t="shared" ca="1" si="7"/>
        <v>4209</v>
      </c>
      <c r="C69" s="51">
        <f t="shared" ca="1" si="9"/>
        <v>6740</v>
      </c>
      <c r="D69" s="52">
        <f t="shared" ca="1" si="10"/>
        <v>6681</v>
      </c>
      <c r="E69" s="54"/>
      <c r="F69" s="14">
        <v>67</v>
      </c>
      <c r="G69" s="36">
        <v>4492</v>
      </c>
      <c r="H69" s="36">
        <v>9678</v>
      </c>
      <c r="I69" s="36">
        <v>9099</v>
      </c>
      <c r="L69" s="41">
        <f t="shared" ca="1" si="8"/>
        <v>0.58094985891233808</v>
      </c>
      <c r="M69" s="44">
        <v>67</v>
      </c>
      <c r="N69" s="44">
        <v>67</v>
      </c>
      <c r="O69" s="44">
        <f t="shared" ca="1" si="11"/>
        <v>451</v>
      </c>
      <c r="P69" s="53">
        <f t="shared" ca="1" si="12"/>
        <v>14.814548297648184</v>
      </c>
      <c r="Q69" s="41">
        <f t="shared" ca="1" si="13"/>
        <v>6681</v>
      </c>
      <c r="R69" s="41"/>
      <c r="S69" s="41"/>
      <c r="T69" s="41"/>
      <c r="U69" s="41"/>
    </row>
    <row r="70" spans="1:22" ht="15" x14ac:dyDescent="0.25">
      <c r="A70" s="49">
        <v>68</v>
      </c>
      <c r="B70" s="50">
        <f t="shared" ca="1" si="7"/>
        <v>3250</v>
      </c>
      <c r="C70" s="51">
        <f t="shared" ca="1" si="9"/>
        <v>6681</v>
      </c>
      <c r="D70" s="52">
        <f t="shared" ca="1" si="10"/>
        <v>6689</v>
      </c>
      <c r="E70" s="54"/>
      <c r="F70" s="14">
        <v>68</v>
      </c>
      <c r="G70" s="36">
        <v>8705</v>
      </c>
      <c r="H70" s="36">
        <v>9499</v>
      </c>
      <c r="I70" s="36">
        <v>9652</v>
      </c>
      <c r="L70" s="41">
        <f t="shared" ca="1" si="8"/>
        <v>0.70611453391208467</v>
      </c>
      <c r="M70" s="44">
        <v>65</v>
      </c>
      <c r="N70" s="44">
        <v>68</v>
      </c>
      <c r="O70" s="44">
        <f t="shared" ca="1" si="11"/>
        <v>456</v>
      </c>
      <c r="P70" s="53">
        <f t="shared" ca="1" si="12"/>
        <v>14.668688710749917</v>
      </c>
      <c r="Q70" s="41">
        <f t="shared" ca="1" si="13"/>
        <v>6689</v>
      </c>
      <c r="R70" s="41"/>
      <c r="S70" s="41"/>
      <c r="T70" s="41"/>
      <c r="U70" s="41"/>
    </row>
    <row r="71" spans="1:22" ht="15" x14ac:dyDescent="0.25">
      <c r="A71" s="49">
        <v>69</v>
      </c>
      <c r="B71" s="50">
        <f t="shared" ca="1" si="7"/>
        <v>4365</v>
      </c>
      <c r="C71" s="51">
        <f t="shared" ca="1" si="9"/>
        <v>7034</v>
      </c>
      <c r="D71" s="52">
        <f t="shared" ca="1" si="10"/>
        <v>7523</v>
      </c>
      <c r="E71" s="54"/>
      <c r="F71" s="14">
        <v>69</v>
      </c>
      <c r="G71" s="36">
        <v>5192</v>
      </c>
      <c r="H71" s="36">
        <v>10108</v>
      </c>
      <c r="I71" s="36">
        <v>10359</v>
      </c>
      <c r="L71" s="41">
        <f t="shared" ca="1" si="8"/>
        <v>0.60777767568538754</v>
      </c>
      <c r="M71" s="44">
        <v>69</v>
      </c>
      <c r="N71" s="44">
        <v>69</v>
      </c>
      <c r="O71" s="44">
        <f t="shared" ca="1" si="11"/>
        <v>461</v>
      </c>
      <c r="P71" s="53">
        <f t="shared" ca="1" si="12"/>
        <v>16.318004772220604</v>
      </c>
      <c r="Q71" s="41">
        <f t="shared" ca="1" si="13"/>
        <v>7523</v>
      </c>
      <c r="R71" s="41"/>
      <c r="S71" s="41"/>
      <c r="T71" s="41"/>
      <c r="U71" s="41"/>
    </row>
    <row r="72" spans="1:22" ht="15" x14ac:dyDescent="0.25">
      <c r="A72" s="49">
        <v>70</v>
      </c>
      <c r="B72" s="50">
        <f t="shared" ca="1" si="7"/>
        <v>3761</v>
      </c>
      <c r="C72" s="51">
        <f t="shared" ca="1" si="9"/>
        <v>7273</v>
      </c>
      <c r="D72" s="52">
        <f t="shared" ca="1" si="10"/>
        <v>7957</v>
      </c>
      <c r="E72" s="54"/>
      <c r="F72" s="14">
        <v>70</v>
      </c>
      <c r="G72" s="36">
        <v>3743</v>
      </c>
      <c r="H72" s="36">
        <v>10208</v>
      </c>
      <c r="I72" s="36">
        <v>11930</v>
      </c>
      <c r="L72" s="41">
        <f t="shared" ca="1" si="8"/>
        <v>0.72408952686549966</v>
      </c>
      <c r="M72" s="44">
        <v>70</v>
      </c>
      <c r="N72" s="44">
        <v>70</v>
      </c>
      <c r="O72" s="44">
        <f t="shared" ca="1" si="11"/>
        <v>466</v>
      </c>
      <c r="P72" s="53">
        <f t="shared" ca="1" si="12"/>
        <v>17.074614179297697</v>
      </c>
      <c r="Q72" s="41">
        <f t="shared" ca="1" si="13"/>
        <v>7957</v>
      </c>
      <c r="R72" s="41"/>
      <c r="S72" s="41"/>
      <c r="T72" s="41"/>
      <c r="U72" s="41"/>
    </row>
    <row r="73" spans="1:22" ht="15" x14ac:dyDescent="0.25">
      <c r="A73" s="49">
        <v>71</v>
      </c>
      <c r="B73" s="50">
        <f t="shared" ca="1" si="7"/>
        <v>1553</v>
      </c>
      <c r="C73" s="51">
        <f t="shared" ca="1" si="9"/>
        <v>7537</v>
      </c>
      <c r="D73" s="52">
        <f t="shared" ca="1" si="10"/>
        <v>5937</v>
      </c>
      <c r="E73" s="54"/>
      <c r="F73" s="14">
        <v>71</v>
      </c>
      <c r="G73" s="36">
        <v>10367</v>
      </c>
      <c r="H73" s="36">
        <v>10367</v>
      </c>
      <c r="I73" s="36">
        <v>8751</v>
      </c>
      <c r="L73" s="41">
        <f t="shared" ca="1" si="8"/>
        <v>0.98900036059632956</v>
      </c>
      <c r="M73" s="44">
        <v>72</v>
      </c>
      <c r="N73" s="44">
        <v>71</v>
      </c>
      <c r="O73" s="44">
        <f t="shared" ca="1" si="11"/>
        <v>471</v>
      </c>
      <c r="P73" s="53">
        <f t="shared" ca="1" si="12"/>
        <v>12.604341315485946</v>
      </c>
      <c r="Q73" s="41">
        <f t="shared" ca="1" si="13"/>
        <v>5937</v>
      </c>
      <c r="R73" s="41"/>
      <c r="S73" s="41"/>
      <c r="T73" s="41"/>
      <c r="U73" s="41"/>
    </row>
    <row r="74" spans="1:22" ht="15" x14ac:dyDescent="0.25">
      <c r="A74" s="49">
        <v>72</v>
      </c>
      <c r="B74" s="50">
        <f t="shared" ca="1" si="7"/>
        <v>5384</v>
      </c>
      <c r="C74" s="51">
        <f t="shared" ca="1" si="9"/>
        <v>8899</v>
      </c>
      <c r="D74" s="52">
        <f t="shared" ca="1" si="10"/>
        <v>7034</v>
      </c>
      <c r="E74" s="54"/>
      <c r="F74" s="14">
        <v>72</v>
      </c>
      <c r="G74" s="36">
        <v>4254</v>
      </c>
      <c r="H74" s="36">
        <v>12275</v>
      </c>
      <c r="I74" s="36">
        <v>9678</v>
      </c>
      <c r="L74" s="41">
        <f t="shared" ca="1" si="8"/>
        <v>0.35666989750516476</v>
      </c>
      <c r="M74" s="44">
        <v>75</v>
      </c>
      <c r="N74" s="44">
        <v>72</v>
      </c>
      <c r="O74" s="44">
        <f t="shared" ca="1" si="11"/>
        <v>476</v>
      </c>
      <c r="P74" s="53">
        <f t="shared" ca="1" si="12"/>
        <v>14.776999360564249</v>
      </c>
      <c r="Q74" s="41">
        <f t="shared" ca="1" si="13"/>
        <v>7034</v>
      </c>
      <c r="R74" s="41"/>
      <c r="S74" s="41"/>
      <c r="T74" s="41"/>
      <c r="U74" s="41"/>
    </row>
    <row r="75" spans="1:22" ht="15" x14ac:dyDescent="0.25">
      <c r="A75" s="49">
        <v>73</v>
      </c>
      <c r="B75" s="50">
        <f t="shared" ca="1" si="7"/>
        <v>4334</v>
      </c>
      <c r="C75" s="51">
        <f t="shared" ca="1" si="9"/>
        <v>7523</v>
      </c>
      <c r="D75" s="52">
        <f t="shared" ca="1" si="10"/>
        <v>7537</v>
      </c>
      <c r="E75" s="54"/>
      <c r="F75" s="14">
        <v>73</v>
      </c>
      <c r="G75" s="36">
        <v>6983</v>
      </c>
      <c r="H75" s="36">
        <v>10359</v>
      </c>
      <c r="I75" s="36">
        <v>10208</v>
      </c>
      <c r="L75" s="41">
        <f t="shared" ca="1" si="8"/>
        <v>0.59197432714608167</v>
      </c>
      <c r="M75" s="44">
        <v>71</v>
      </c>
      <c r="N75" s="44">
        <v>73</v>
      </c>
      <c r="O75" s="44">
        <f t="shared" ca="1" si="11"/>
        <v>481</v>
      </c>
      <c r="P75" s="53">
        <f t="shared" ca="1" si="12"/>
        <v>15.669738604245278</v>
      </c>
      <c r="Q75" s="41">
        <f t="shared" ca="1" si="13"/>
        <v>7537</v>
      </c>
      <c r="R75" s="41"/>
      <c r="S75" s="41"/>
      <c r="T75" s="41"/>
      <c r="U75" s="41"/>
    </row>
    <row r="76" spans="1:22" ht="15" x14ac:dyDescent="0.25">
      <c r="A76" s="49">
        <v>74</v>
      </c>
      <c r="B76" s="50">
        <f t="shared" ca="1" si="7"/>
        <v>7806</v>
      </c>
      <c r="C76" s="51">
        <f t="shared" ca="1" si="9"/>
        <v>7806</v>
      </c>
      <c r="D76" s="52">
        <f t="shared" ca="1" si="10"/>
        <v>7806</v>
      </c>
      <c r="E76" s="54"/>
      <c r="F76" s="14">
        <v>74</v>
      </c>
      <c r="G76" s="36">
        <v>2490</v>
      </c>
      <c r="H76" s="36">
        <v>11930</v>
      </c>
      <c r="I76" s="36">
        <v>12037</v>
      </c>
      <c r="L76" s="41">
        <f t="shared" ca="1" si="8"/>
        <v>1.292981442073593E-2</v>
      </c>
      <c r="M76" s="44">
        <v>73</v>
      </c>
      <c r="N76" s="44">
        <v>74</v>
      </c>
      <c r="O76" s="44">
        <f t="shared" ca="1" si="11"/>
        <v>486</v>
      </c>
      <c r="P76" s="53">
        <f t="shared" ca="1" si="12"/>
        <v>16.06173633803094</v>
      </c>
      <c r="Q76" s="41">
        <f t="shared" ca="1" si="13"/>
        <v>7806</v>
      </c>
      <c r="R76" s="41"/>
      <c r="S76" s="41"/>
      <c r="T76" s="41"/>
      <c r="U76" s="41"/>
    </row>
    <row r="77" spans="1:22" ht="15" x14ac:dyDescent="0.25">
      <c r="A77" s="49">
        <v>75</v>
      </c>
      <c r="B77" s="50">
        <f t="shared" ca="1" si="7"/>
        <v>4382</v>
      </c>
      <c r="C77" s="51">
        <f t="shared" ca="1" si="9"/>
        <v>7957</v>
      </c>
      <c r="D77" s="52">
        <f t="shared" ca="1" si="10"/>
        <v>8899</v>
      </c>
      <c r="E77" s="54"/>
      <c r="F77" s="14">
        <v>75</v>
      </c>
      <c r="G77" s="36">
        <v>2452</v>
      </c>
      <c r="H77" s="36">
        <v>12037</v>
      </c>
      <c r="I77" s="36">
        <v>12275</v>
      </c>
      <c r="L77" s="41">
        <f t="shared" ca="1" si="8"/>
        <v>0.45513682304840519</v>
      </c>
      <c r="M77" s="44">
        <v>74</v>
      </c>
      <c r="N77" s="44">
        <v>75</v>
      </c>
      <c r="O77" s="44">
        <f t="shared" ca="1" si="11"/>
        <v>491</v>
      </c>
      <c r="P77" s="53">
        <f t="shared" ca="1" si="12"/>
        <v>18.124718786681598</v>
      </c>
      <c r="Q77" s="41">
        <f ca="1">ROUND(O77*P77,0)</f>
        <v>8899</v>
      </c>
      <c r="R77" s="41"/>
      <c r="S77" s="41"/>
      <c r="T77" s="41"/>
      <c r="U77" s="41"/>
    </row>
    <row r="78" spans="1:22" ht="15" x14ac:dyDescent="0.25">
      <c r="A78"/>
      <c r="B78"/>
      <c r="C78"/>
      <c r="D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x14ac:dyDescent="0.25">
      <c r="A79"/>
      <c r="B79"/>
      <c r="C79"/>
      <c r="D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x14ac:dyDescent="0.25">
      <c r="A80"/>
      <c r="B80"/>
      <c r="C80"/>
      <c r="D80"/>
      <c r="E80" s="56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x14ac:dyDescent="0.25">
      <c r="A81"/>
      <c r="B81"/>
      <c r="C81"/>
      <c r="D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x14ac:dyDescent="0.25"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x14ac:dyDescent="0.25"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x14ac:dyDescent="0.25"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x14ac:dyDescent="0.25"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15" x14ac:dyDescent="0.25"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15" x14ac:dyDescent="0.25"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15" x14ac:dyDescent="0.25"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15" x14ac:dyDescent="0.25"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7FFDC-6B0A-48E6-A8EB-5D218066709B}">
  <sheetPr>
    <tabColor rgb="FFFFFF00"/>
  </sheetPr>
  <dimension ref="A1:V64"/>
  <sheetViews>
    <sheetView topLeftCell="A12" zoomScaleNormal="100" workbookViewId="0">
      <selection activeCell="I4" sqref="I4"/>
    </sheetView>
  </sheetViews>
  <sheetFormatPr defaultColWidth="9.140625" defaultRowHeight="15.75" x14ac:dyDescent="0.25"/>
  <cols>
    <col min="1" max="1" width="9.140625" style="88"/>
    <col min="2" max="2" width="4.85546875" style="88" customWidth="1"/>
    <col min="3" max="3" width="20" style="88" bestFit="1" customWidth="1"/>
    <col min="4" max="4" width="14.85546875" style="88" bestFit="1" customWidth="1"/>
    <col min="5" max="5" width="8" style="121" bestFit="1" customWidth="1"/>
    <col min="6" max="6" width="12.42578125" style="121" bestFit="1" customWidth="1"/>
    <col min="7" max="10" width="8.42578125" style="121" bestFit="1" customWidth="1"/>
    <col min="11" max="12" width="11.42578125" style="121" customWidth="1"/>
    <col min="13" max="13" width="15.42578125" style="88" bestFit="1" customWidth="1"/>
    <col min="14" max="16384" width="9.140625" style="88"/>
  </cols>
  <sheetData>
    <row r="1" spans="1:22" x14ac:dyDescent="0.25">
      <c r="A1" s="88" t="s">
        <v>136</v>
      </c>
      <c r="E1" s="88"/>
      <c r="F1" s="88"/>
      <c r="G1" s="88"/>
      <c r="H1" s="88"/>
      <c r="I1" s="88"/>
      <c r="J1" s="213">
        <f>I5</f>
        <v>4.7996478069290013E-2</v>
      </c>
      <c r="K1"/>
      <c r="L1"/>
      <c r="M1" t="str">
        <f>B7&amp;" vs. "&amp;C7</f>
        <v>At vs. Ft=(1-α)Ft+αAt</v>
      </c>
      <c r="N1"/>
      <c r="O1"/>
      <c r="P1"/>
      <c r="Q1"/>
      <c r="R1"/>
      <c r="S1"/>
      <c r="T1"/>
      <c r="U1"/>
      <c r="V1"/>
    </row>
    <row r="2" spans="1:22" x14ac:dyDescent="0.25">
      <c r="A2" s="88" t="s">
        <v>135</v>
      </c>
      <c r="E2" s="88"/>
      <c r="F2" s="88"/>
      <c r="G2" s="88"/>
      <c r="H2" s="88"/>
      <c r="I2" s="88"/>
      <c r="J2" s="88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88" t="s">
        <v>134</v>
      </c>
      <c r="E3" s="88"/>
      <c r="F3" s="88"/>
      <c r="G3" s="88"/>
      <c r="H3" s="88"/>
      <c r="I3" s="88"/>
      <c r="J3" s="88"/>
      <c r="K3"/>
      <c r="L3">
        <v>0.154</v>
      </c>
      <c r="M3"/>
      <c r="N3"/>
      <c r="O3"/>
      <c r="P3"/>
      <c r="Q3"/>
      <c r="R3"/>
      <c r="S3"/>
      <c r="T3"/>
      <c r="U3"/>
      <c r="V3"/>
    </row>
    <row r="4" spans="1:22" x14ac:dyDescent="0.25">
      <c r="A4" s="88" t="s">
        <v>133</v>
      </c>
      <c r="E4" s="88"/>
      <c r="F4" s="88"/>
      <c r="G4" s="88"/>
      <c r="H4" s="88"/>
      <c r="I4" s="88"/>
      <c r="J4" s="88"/>
      <c r="K4"/>
      <c r="L4">
        <v>1E-4</v>
      </c>
      <c r="M4"/>
      <c r="N4"/>
      <c r="O4"/>
      <c r="P4"/>
      <c r="Q4"/>
      <c r="R4"/>
      <c r="S4"/>
    </row>
    <row r="5" spans="1:22" x14ac:dyDescent="0.25">
      <c r="E5" s="88"/>
      <c r="F5" s="88"/>
      <c r="G5" s="213">
        <v>0.14951773249266317</v>
      </c>
      <c r="H5" s="213">
        <v>0.15487165456799762</v>
      </c>
      <c r="I5" s="213">
        <v>4.7996478069290013E-2</v>
      </c>
      <c r="J5" s="88"/>
      <c r="K5"/>
      <c r="L5"/>
      <c r="M5"/>
      <c r="N5"/>
      <c r="O5"/>
      <c r="P5"/>
      <c r="Q5"/>
      <c r="R5"/>
      <c r="S5"/>
    </row>
    <row r="6" spans="1:22" ht="16.5" x14ac:dyDescent="0.3">
      <c r="E6" s="88"/>
      <c r="F6" s="88"/>
      <c r="G6" s="212">
        <f>G57</f>
        <v>1.3778215133578211</v>
      </c>
      <c r="H6" s="212">
        <f>H57</f>
        <v>3.8820787106886701</v>
      </c>
      <c r="I6" s="212">
        <f>I57</f>
        <v>0.41731771070848306</v>
      </c>
      <c r="J6" s="88"/>
      <c r="K6"/>
      <c r="L6"/>
      <c r="M6" s="211">
        <f>H6</f>
        <v>3.8820787106886701</v>
      </c>
      <c r="N6"/>
      <c r="O6"/>
      <c r="P6"/>
      <c r="Q6"/>
      <c r="R6"/>
      <c r="S6"/>
    </row>
    <row r="7" spans="1:22" ht="16.5" x14ac:dyDescent="0.3">
      <c r="A7" s="121" t="s">
        <v>74</v>
      </c>
      <c r="B7" s="210" t="s">
        <v>0</v>
      </c>
      <c r="C7" s="204" t="s">
        <v>41</v>
      </c>
      <c r="D7" s="204" t="s">
        <v>73</v>
      </c>
      <c r="E7" s="204" t="s">
        <v>72</v>
      </c>
      <c r="F7" s="204" t="s">
        <v>132</v>
      </c>
      <c r="G7" s="204" t="s">
        <v>1</v>
      </c>
      <c r="H7" s="204" t="s">
        <v>100</v>
      </c>
      <c r="I7" s="204" t="s">
        <v>131</v>
      </c>
      <c r="J7" s="88"/>
      <c r="K7" s="88"/>
      <c r="L7">
        <f>L3</f>
        <v>0.154</v>
      </c>
      <c r="M7">
        <f t="dataTable" ref="M7:M17" dt2D="0" dtr="0" r1="J1"/>
        <v>3.4833857783179378</v>
      </c>
      <c r="N7"/>
    </row>
    <row r="8" spans="1:22" ht="16.5" x14ac:dyDescent="0.3">
      <c r="A8" s="209">
        <v>1</v>
      </c>
      <c r="B8" s="208">
        <v>2</v>
      </c>
      <c r="C8" s="207">
        <f>B8</f>
        <v>2</v>
      </c>
      <c r="D8" s="207">
        <f>ABS(B8-C8)</f>
        <v>0</v>
      </c>
      <c r="E8" s="205">
        <f>D8^2</f>
        <v>0</v>
      </c>
      <c r="F8" s="205">
        <f>IFERROR(D8/B8,"")</f>
        <v>0</v>
      </c>
      <c r="G8" s="205">
        <f>AVERAGE(D$8:D8)</f>
        <v>0</v>
      </c>
      <c r="H8" s="205">
        <f>AVERAGE(E$8:E8)</f>
        <v>0</v>
      </c>
      <c r="I8" s="205">
        <f>AVERAGE(F$8:F8)</f>
        <v>0</v>
      </c>
      <c r="J8" s="88"/>
      <c r="K8" s="88"/>
      <c r="L8">
        <f>L7+$L$4</f>
        <v>0.15409999999999999</v>
      </c>
      <c r="M8">
        <v>3.4833836896595698</v>
      </c>
      <c r="N8"/>
    </row>
    <row r="9" spans="1:22" ht="16.5" x14ac:dyDescent="0.3">
      <c r="A9" s="209">
        <v>2</v>
      </c>
      <c r="B9" s="208">
        <v>2</v>
      </c>
      <c r="C9" s="207">
        <f>(1-$J$1)*C8+$J$1*B8</f>
        <v>2</v>
      </c>
      <c r="D9" s="207">
        <f>ABS(B9-C9)</f>
        <v>0</v>
      </c>
      <c r="E9" s="205">
        <f>D9^2</f>
        <v>0</v>
      </c>
      <c r="F9" s="205">
        <f>IFERROR(D9/B9,"")</f>
        <v>0</v>
      </c>
      <c r="G9" s="205">
        <f>AVERAGE(D$8:D9)</f>
        <v>0</v>
      </c>
      <c r="H9" s="205">
        <f>AVERAGE(E$8:E9)</f>
        <v>0</v>
      </c>
      <c r="I9" s="205">
        <f>AVERAGE(F$8:F9)</f>
        <v>0</v>
      </c>
      <c r="K9" s="88"/>
      <c r="L9">
        <f>L8+$L$4</f>
        <v>0.15419999999999998</v>
      </c>
      <c r="M9">
        <v>3.4833818570080859</v>
      </c>
      <c r="N9"/>
    </row>
    <row r="10" spans="1:22" ht="16.5" x14ac:dyDescent="0.3">
      <c r="A10" s="209">
        <v>3</v>
      </c>
      <c r="B10" s="208">
        <v>1</v>
      </c>
      <c r="C10" s="207">
        <f>(1-$J$1)*C9+$J$1*B9</f>
        <v>2</v>
      </c>
      <c r="D10" s="207">
        <f>ABS(B10-C10)</f>
        <v>1</v>
      </c>
      <c r="E10" s="205">
        <f>D10^2</f>
        <v>1</v>
      </c>
      <c r="F10" s="205">
        <f>IFERROR(D10/B10,"")</f>
        <v>1</v>
      </c>
      <c r="G10" s="205">
        <f>AVERAGE(D$8:D10)</f>
        <v>0.33333333333333331</v>
      </c>
      <c r="H10" s="205">
        <f>AVERAGE(E$8:E10)</f>
        <v>0.33333333333333331</v>
      </c>
      <c r="I10" s="205">
        <f>AVERAGE(F$8:F10)</f>
        <v>0.33333333333333331</v>
      </c>
      <c r="J10" s="88"/>
      <c r="K10" s="88"/>
      <c r="L10">
        <f>L9+$L$4</f>
        <v>0.15429999999999996</v>
      </c>
      <c r="M10">
        <v>3.4833802798598312</v>
      </c>
    </row>
    <row r="11" spans="1:22" ht="16.5" x14ac:dyDescent="0.3">
      <c r="A11" s="209">
        <v>4</v>
      </c>
      <c r="B11" s="208">
        <v>0</v>
      </c>
      <c r="C11" s="207">
        <f>(1-$J$1)*C10+$J$1*B10</f>
        <v>1.9520035219307101</v>
      </c>
      <c r="D11" s="207">
        <f>ABS(B11-C11)</f>
        <v>1.9520035219307101</v>
      </c>
      <c r="E11" s="205">
        <f>D11^2</f>
        <v>3.8103177496298963</v>
      </c>
      <c r="F11" s="205" t="str">
        <f>IFERROR(D11/B11,"")</f>
        <v/>
      </c>
      <c r="G11" s="205">
        <f>AVERAGE(D$8:D11)</f>
        <v>0.73800088048267753</v>
      </c>
      <c r="H11" s="205">
        <f>AVERAGE(E$8:E11)</f>
        <v>1.2025794374074741</v>
      </c>
      <c r="I11" s="205">
        <f>AVERAGE(F$8:F11)</f>
        <v>0.33333333333333331</v>
      </c>
      <c r="K11" s="88"/>
      <c r="L11">
        <f>L10+$L$4</f>
        <v>0.15439999999999995</v>
      </c>
      <c r="M11">
        <v>3.4833789577124197</v>
      </c>
    </row>
    <row r="12" spans="1:22" ht="16.5" x14ac:dyDescent="0.3">
      <c r="A12" s="209">
        <v>5</v>
      </c>
      <c r="B12" s="208">
        <v>2</v>
      </c>
      <c r="C12" s="207">
        <f>(1-$J$1)*C11+$J$1*B11</f>
        <v>1.858314227699186</v>
      </c>
      <c r="D12" s="207">
        <f>ABS(B12-C12)</f>
        <v>0.14168577230081403</v>
      </c>
      <c r="E12" s="205">
        <f>D12^2</f>
        <v>2.0074858072478118E-2</v>
      </c>
      <c r="F12" s="205">
        <f>IFERROR(D12/B12,"")</f>
        <v>7.0842886150407014E-2</v>
      </c>
      <c r="G12" s="205">
        <f>AVERAGE(D$8:D12)</f>
        <v>0.61873785884630483</v>
      </c>
      <c r="H12" s="205">
        <f>AVERAGE(E$8:E12)</f>
        <v>0.96607852154047491</v>
      </c>
      <c r="I12" s="205">
        <f>AVERAGE(F$8:F12)</f>
        <v>0.26771072153760178</v>
      </c>
      <c r="J12" s="88"/>
      <c r="L12">
        <f>L11+$L$4</f>
        <v>0.15449999999999994</v>
      </c>
      <c r="M12">
        <v>3.483377890064737</v>
      </c>
    </row>
    <row r="13" spans="1:22" ht="16.5" x14ac:dyDescent="0.3">
      <c r="A13" s="209">
        <v>6</v>
      </c>
      <c r="B13" s="208">
        <v>1</v>
      </c>
      <c r="C13" s="207">
        <f>(1-$J$1)*C12+$J$1*B12</f>
        <v>1.8651146457621524</v>
      </c>
      <c r="D13" s="207">
        <f>ABS(B13-C13)</f>
        <v>0.86511464576215236</v>
      </c>
      <c r="E13" s="205">
        <f>D13^2</f>
        <v>0.74842335031217433</v>
      </c>
      <c r="F13" s="205">
        <f>IFERROR(D13/B13,"")</f>
        <v>0.86511464576215236</v>
      </c>
      <c r="G13" s="205">
        <f>AVERAGE(D$8:D13)</f>
        <v>0.65980065666561272</v>
      </c>
      <c r="H13" s="205">
        <f>AVERAGE(E$8:E13)</f>
        <v>0.92980265966909148</v>
      </c>
      <c r="I13" s="205">
        <f>AVERAGE(F$8:F13)</f>
        <v>0.38719150638251187</v>
      </c>
      <c r="J13" s="206"/>
      <c r="L13">
        <f>L12+$L$4</f>
        <v>0.15459999999999993</v>
      </c>
      <c r="M13">
        <v>3.4833770764169363</v>
      </c>
      <c r="O13"/>
      <c r="P13"/>
      <c r="Q13"/>
    </row>
    <row r="14" spans="1:22" ht="16.5" x14ac:dyDescent="0.3">
      <c r="A14" s="209">
        <v>7</v>
      </c>
      <c r="B14" s="208">
        <v>0</v>
      </c>
      <c r="C14" s="207">
        <f>(1-$J$1)*C13+$J$1*B13</f>
        <v>1.8235921896394078</v>
      </c>
      <c r="D14" s="207">
        <f>ABS(B14-C14)</f>
        <v>1.8235921896394078</v>
      </c>
      <c r="E14" s="205">
        <f>D14^2</f>
        <v>3.32548847411385</v>
      </c>
      <c r="F14" s="205" t="str">
        <f>IFERROR(D14/B14,"")</f>
        <v/>
      </c>
      <c r="G14" s="205">
        <f>AVERAGE(D$8:D14)</f>
        <v>0.82605658994758346</v>
      </c>
      <c r="H14" s="205">
        <f>AVERAGE(E$8:E14)</f>
        <v>1.2720434903040569</v>
      </c>
      <c r="I14" s="205">
        <f>AVERAGE(F$8:F14)</f>
        <v>0.38719150638251187</v>
      </c>
      <c r="J14" s="206"/>
      <c r="L14">
        <f>L13+$L$4</f>
        <v>0.15469999999999992</v>
      </c>
      <c r="M14">
        <v>3.4833765162704289</v>
      </c>
      <c r="O14"/>
      <c r="P14"/>
      <c r="Q14"/>
    </row>
    <row r="15" spans="1:22" ht="16.5" x14ac:dyDescent="0.3">
      <c r="A15" s="209">
        <v>8</v>
      </c>
      <c r="B15" s="208">
        <v>2</v>
      </c>
      <c r="C15" s="207">
        <f>(1-$J$1)*C14+$J$1*B14</f>
        <v>1.7360661871020515</v>
      </c>
      <c r="D15" s="207">
        <f>ABS(B15-C15)</f>
        <v>0.26393381289794848</v>
      </c>
      <c r="E15" s="205">
        <f>D15^2</f>
        <v>6.9661057590849271E-2</v>
      </c>
      <c r="F15" s="205">
        <f>IFERROR(D15/B15,"")</f>
        <v>0.13196690644897424</v>
      </c>
      <c r="G15" s="205">
        <f>AVERAGE(D$8:D15)</f>
        <v>0.75579124281637911</v>
      </c>
      <c r="H15" s="205">
        <f>AVERAGE(E$8:E15)</f>
        <v>1.121745686214906</v>
      </c>
      <c r="I15" s="205">
        <f>AVERAGE(F$8:F15)</f>
        <v>0.34465407306025564</v>
      </c>
      <c r="J15" s="206"/>
      <c r="L15">
        <f>L14+$L$4</f>
        <v>0.15479999999999991</v>
      </c>
      <c r="M15">
        <v>3.4833762091278828</v>
      </c>
      <c r="O15"/>
      <c r="P15"/>
      <c r="Q15"/>
    </row>
    <row r="16" spans="1:22" ht="16.5" x14ac:dyDescent="0.3">
      <c r="A16" s="209">
        <v>9</v>
      </c>
      <c r="B16" s="208">
        <v>2</v>
      </c>
      <c r="C16" s="207">
        <f>(1-$J$1)*C15+$J$1*B15</f>
        <v>1.7487340805645519</v>
      </c>
      <c r="D16" s="207">
        <f>ABS(B16-C16)</f>
        <v>0.25126591943544807</v>
      </c>
      <c r="E16" s="205">
        <f>D16^2</f>
        <v>6.3134562269741082E-2</v>
      </c>
      <c r="F16" s="205">
        <f>IFERROR(D16/B16,"")</f>
        <v>0.12563295971772404</v>
      </c>
      <c r="G16" s="205">
        <f>AVERAGE(D$8:D16)</f>
        <v>0.69973287355183122</v>
      </c>
      <c r="H16" s="205">
        <f>AVERAGE(E$8:E16)</f>
        <v>1.0041222279987767</v>
      </c>
      <c r="I16" s="205">
        <f>AVERAGE(F$8:F16)</f>
        <v>0.31336534258275112</v>
      </c>
      <c r="J16" s="206"/>
      <c r="L16">
        <f>L15+$L$4</f>
        <v>0.1548999999999999</v>
      </c>
      <c r="M16">
        <v>3.4833761544932265</v>
      </c>
      <c r="O16"/>
      <c r="P16"/>
      <c r="Q16"/>
    </row>
    <row r="17" spans="1:17" ht="16.5" x14ac:dyDescent="0.3">
      <c r="A17" s="209">
        <v>10</v>
      </c>
      <c r="B17" s="208">
        <v>3</v>
      </c>
      <c r="C17" s="207">
        <f>(1-$J$1)*C16+$J$1*B16</f>
        <v>1.7607939597562954</v>
      </c>
      <c r="D17" s="207">
        <f>ABS(B17-C17)</f>
        <v>1.2392060402437046</v>
      </c>
      <c r="E17" s="205">
        <f>D17^2</f>
        <v>1.535631610176482</v>
      </c>
      <c r="F17" s="205">
        <f>IFERROR(D17/B17,"")</f>
        <v>0.41306868008123487</v>
      </c>
      <c r="G17" s="205">
        <f>AVERAGE(D$8:D17)</f>
        <v>0.75368019022101851</v>
      </c>
      <c r="H17" s="205">
        <f>AVERAGE(E$8:E17)</f>
        <v>1.0572731662165471</v>
      </c>
      <c r="I17" s="205">
        <f>AVERAGE(F$8:F17)</f>
        <v>0.32582825977006158</v>
      </c>
      <c r="J17" s="206"/>
      <c r="L17">
        <f>L16+$L$4</f>
        <v>0.15499999999999989</v>
      </c>
      <c r="M17">
        <v>3.4833763518716343</v>
      </c>
      <c r="O17"/>
      <c r="P17"/>
      <c r="Q17"/>
    </row>
    <row r="18" spans="1:17" ht="16.5" x14ac:dyDescent="0.3">
      <c r="A18" s="209">
        <v>11</v>
      </c>
      <c r="B18" s="208">
        <v>1</v>
      </c>
      <c r="C18" s="207">
        <f>(1-$J$1)*C17+$J$1*B17</f>
        <v>1.8202714852901842</v>
      </c>
      <c r="D18" s="207">
        <f>ABS(B18-C18)</f>
        <v>0.82027148529018423</v>
      </c>
      <c r="E18" s="205">
        <f>D18^2</f>
        <v>0.67284530958016497</v>
      </c>
      <c r="F18" s="205">
        <f>IFERROR(D18/B18,"")</f>
        <v>0.82027148529018423</v>
      </c>
      <c r="G18" s="205">
        <f>AVERAGE(D$8:D18)</f>
        <v>0.75973394431821539</v>
      </c>
      <c r="H18" s="205">
        <f>AVERAGE(E$8:E18)</f>
        <v>1.0223251792496033</v>
      </c>
      <c r="I18" s="205">
        <f>AVERAGE(F$8:F18)</f>
        <v>0.38076639593896405</v>
      </c>
      <c r="J18" s="206"/>
      <c r="L18" s="205"/>
      <c r="M18" s="205">
        <f>MIN(M7:M17)</f>
        <v>3.4833761544932265</v>
      </c>
      <c r="O18"/>
      <c r="P18"/>
      <c r="Q18"/>
    </row>
    <row r="19" spans="1:17" ht="16.5" x14ac:dyDescent="0.3">
      <c r="A19" s="209">
        <v>12</v>
      </c>
      <c r="B19" s="208">
        <v>3</v>
      </c>
      <c r="C19" s="207">
        <f>(1-$J$1)*C18+$J$1*B18</f>
        <v>1.7809013429355902</v>
      </c>
      <c r="D19" s="207">
        <f>ABS(B19-C19)</f>
        <v>1.2190986570644098</v>
      </c>
      <c r="E19" s="205">
        <f>D19^2</f>
        <v>1.4862015356562475</v>
      </c>
      <c r="F19" s="205">
        <f>IFERROR(D19/B19,"")</f>
        <v>0.40636621902146991</v>
      </c>
      <c r="G19" s="205">
        <f>AVERAGE(D$8:D19)</f>
        <v>0.79801433704706481</v>
      </c>
      <c r="H19" s="205">
        <f>AVERAGE(E$8:E19)</f>
        <v>1.0609815422834903</v>
      </c>
      <c r="I19" s="205">
        <f>AVERAGE(F$8:F19)</f>
        <v>0.38332637824721466</v>
      </c>
      <c r="J19" s="206"/>
      <c r="L19" s="205"/>
      <c r="M19" s="205"/>
      <c r="O19"/>
      <c r="P19"/>
      <c r="Q19"/>
    </row>
    <row r="20" spans="1:17" ht="16.5" x14ac:dyDescent="0.3">
      <c r="A20" s="209">
        <v>13</v>
      </c>
      <c r="B20" s="208">
        <v>3</v>
      </c>
      <c r="C20" s="207">
        <f>(1-$J$1)*C19+$J$1*B19</f>
        <v>1.8394137848936831</v>
      </c>
      <c r="D20" s="207">
        <f>ABS(B20-C20)</f>
        <v>1.1605862151063169</v>
      </c>
      <c r="E20" s="205">
        <f>D20^2</f>
        <v>1.3469603626948061</v>
      </c>
      <c r="F20" s="205">
        <f>IFERROR(D20/B20,"")</f>
        <v>0.38686207170210563</v>
      </c>
      <c r="G20" s="205">
        <f>AVERAGE(D$8:D20)</f>
        <v>0.8259044815131612</v>
      </c>
      <c r="H20" s="205">
        <f>AVERAGE(E$8:E20)</f>
        <v>1.0829799130843609</v>
      </c>
      <c r="I20" s="205">
        <f>AVERAGE(F$8:F20)</f>
        <v>0.38364780492493206</v>
      </c>
      <c r="J20" s="206"/>
      <c r="L20" s="205"/>
      <c r="M20" s="205"/>
      <c r="O20"/>
      <c r="P20"/>
      <c r="Q20"/>
    </row>
    <row r="21" spans="1:17" ht="16.5" x14ac:dyDescent="0.3">
      <c r="A21" s="209">
        <v>14</v>
      </c>
      <c r="B21" s="208">
        <v>2</v>
      </c>
      <c r="C21" s="207">
        <f>(1-$J$1)*C20+$J$1*B20</f>
        <v>1.8951178357145537</v>
      </c>
      <c r="D21" s="207">
        <f>ABS(B21-C21)</f>
        <v>0.10488216428544628</v>
      </c>
      <c r="E21" s="205">
        <f>D21^2</f>
        <v>1.1000268385199343E-2</v>
      </c>
      <c r="F21" s="205">
        <f>IFERROR(D21/B21,"")</f>
        <v>5.2441082142723139E-2</v>
      </c>
      <c r="G21" s="205">
        <f>AVERAGE(D$8:D21)</f>
        <v>0.77440288742546726</v>
      </c>
      <c r="H21" s="205">
        <f>AVERAGE(E$8:E21)</f>
        <v>1.0064099384629921</v>
      </c>
      <c r="I21" s="205">
        <f>AVERAGE(F$8:F21)</f>
        <v>0.3560472446930813</v>
      </c>
      <c r="J21" s="206"/>
      <c r="L21" s="205"/>
      <c r="M21" s="205"/>
      <c r="O21"/>
      <c r="P21"/>
      <c r="Q21"/>
    </row>
    <row r="22" spans="1:17" ht="16.5" x14ac:dyDescent="0.3">
      <c r="A22" s="209">
        <v>15</v>
      </c>
      <c r="B22" s="208">
        <v>1</v>
      </c>
      <c r="C22" s="207">
        <f>(1-$J$1)*C21+$J$1*B21</f>
        <v>1.9001518102125399</v>
      </c>
      <c r="D22" s="207">
        <f>ABS(B22-C22)</f>
        <v>0.90015181021253987</v>
      </c>
      <c r="E22" s="205">
        <f>D22^2</f>
        <v>0.81027328142891242</v>
      </c>
      <c r="F22" s="205">
        <f>IFERROR(D22/B22,"")</f>
        <v>0.90015181021253987</v>
      </c>
      <c r="G22" s="205">
        <f>AVERAGE(D$8:D22)</f>
        <v>0.78278614894460541</v>
      </c>
      <c r="H22" s="205">
        <f>AVERAGE(E$8:E22)</f>
        <v>0.99333416132738683</v>
      </c>
      <c r="I22" s="205">
        <f>AVERAGE(F$8:F22)</f>
        <v>0.39790144204073197</v>
      </c>
      <c r="J22" s="206"/>
      <c r="L22" s="205"/>
      <c r="M22" s="205"/>
      <c r="O22"/>
      <c r="P22"/>
      <c r="Q22"/>
    </row>
    <row r="23" spans="1:17" ht="16.5" x14ac:dyDescent="0.3">
      <c r="A23" s="209">
        <v>16</v>
      </c>
      <c r="B23" s="208">
        <v>6</v>
      </c>
      <c r="C23" s="207">
        <f>(1-$J$1)*C22+$J$1*B22</f>
        <v>1.8569476935946421</v>
      </c>
      <c r="D23" s="207">
        <f>ABS(B23-C23)</f>
        <v>4.1430523064053579</v>
      </c>
      <c r="E23" s="205">
        <f>D23^2</f>
        <v>17.164882413610755</v>
      </c>
      <c r="F23" s="205">
        <f>IFERROR(D23/B23,"")</f>
        <v>0.69050871773422628</v>
      </c>
      <c r="G23" s="205">
        <f>AVERAGE(D$8:D23)</f>
        <v>0.99280278378590237</v>
      </c>
      <c r="H23" s="205">
        <f>AVERAGE(E$8:E23)</f>
        <v>2.0040559270950973</v>
      </c>
      <c r="I23" s="205">
        <f>AVERAGE(F$8:F23)</f>
        <v>0.41880196173312439</v>
      </c>
      <c r="J23" s="206"/>
      <c r="L23" s="205"/>
      <c r="M23" s="205"/>
      <c r="O23"/>
      <c r="P23"/>
      <c r="Q23"/>
    </row>
    <row r="24" spans="1:17" ht="16.5" x14ac:dyDescent="0.3">
      <c r="A24" s="209">
        <v>17</v>
      </c>
      <c r="B24" s="208">
        <v>2</v>
      </c>
      <c r="C24" s="207">
        <f>(1-$J$1)*C23+$J$1*B23</f>
        <v>2.055799612758948</v>
      </c>
      <c r="D24" s="207">
        <f>ABS(B24-C24)</f>
        <v>5.5799612758947958E-2</v>
      </c>
      <c r="E24" s="205">
        <f>D24^2</f>
        <v>3.1135967840485476E-3</v>
      </c>
      <c r="F24" s="205">
        <f>IFERROR(D24/B24,"")</f>
        <v>2.7899806379473979E-2</v>
      </c>
      <c r="G24" s="205">
        <f>AVERAGE(D$8:D24)</f>
        <v>0.93768495019608156</v>
      </c>
      <c r="H24" s="205">
        <f>AVERAGE(E$8:E24)</f>
        <v>1.8863534370768003</v>
      </c>
      <c r="I24" s="205">
        <f>AVERAGE(F$8:F24)</f>
        <v>0.39274181804288105</v>
      </c>
      <c r="J24" s="206"/>
      <c r="L24" s="205"/>
      <c r="M24" s="205"/>
      <c r="O24"/>
      <c r="P24"/>
      <c r="Q24"/>
    </row>
    <row r="25" spans="1:17" ht="16.5" x14ac:dyDescent="0.3">
      <c r="A25" s="209">
        <v>18</v>
      </c>
      <c r="B25" s="208">
        <v>1</v>
      </c>
      <c r="C25" s="207">
        <f>(1-$J$1)*C24+$J$1*B24</f>
        <v>2.0531214278688883</v>
      </c>
      <c r="D25" s="207">
        <f>ABS(B25-C25)</f>
        <v>1.0531214278688883</v>
      </c>
      <c r="E25" s="205">
        <f>D25^2</f>
        <v>1.1090647418366062</v>
      </c>
      <c r="F25" s="205">
        <f>IFERROR(D25/B25,"")</f>
        <v>1.0531214278688883</v>
      </c>
      <c r="G25" s="205">
        <f>AVERAGE(D$8:D25)</f>
        <v>0.94409808784457083</v>
      </c>
      <c r="H25" s="205">
        <f>AVERAGE(E$8:E25)</f>
        <v>1.8431707317856783</v>
      </c>
      <c r="I25" s="205">
        <f>AVERAGE(F$8:F25)</f>
        <v>0.43401554365700645</v>
      </c>
      <c r="J25" s="206"/>
      <c r="L25" s="205"/>
      <c r="M25" s="205"/>
      <c r="O25"/>
      <c r="P25"/>
      <c r="Q25"/>
    </row>
    <row r="26" spans="1:17" ht="16.5" x14ac:dyDescent="0.3">
      <c r="A26" s="209">
        <v>19</v>
      </c>
      <c r="B26" s="208">
        <v>2</v>
      </c>
      <c r="C26" s="207">
        <f>(1-$J$1)*C25+$J$1*B25</f>
        <v>2.0025753083518798</v>
      </c>
      <c r="D26" s="207">
        <f>ABS(B26-C26)</f>
        <v>2.5753083518798014E-3</v>
      </c>
      <c r="E26" s="205">
        <f>D26^2</f>
        <v>6.6322131072618594E-6</v>
      </c>
      <c r="F26" s="205">
        <f>IFERROR(D26/B26,"")</f>
        <v>1.2876541759399007E-3</v>
      </c>
      <c r="G26" s="205">
        <f>AVERAGE(D$8:D26)</f>
        <v>0.89454425734495546</v>
      </c>
      <c r="H26" s="205">
        <f>AVERAGE(E$8:E26)</f>
        <v>1.7461620949660692</v>
      </c>
      <c r="I26" s="205">
        <f>AVERAGE(F$8:F26)</f>
        <v>0.40856096192282604</v>
      </c>
      <c r="J26" s="206"/>
      <c r="L26" s="205"/>
      <c r="M26" s="205"/>
      <c r="O26"/>
      <c r="P26"/>
      <c r="Q26"/>
    </row>
    <row r="27" spans="1:17" ht="16.5" x14ac:dyDescent="0.3">
      <c r="A27" s="209">
        <v>20</v>
      </c>
      <c r="B27" s="208">
        <v>2</v>
      </c>
      <c r="C27" s="207">
        <f>(1-$J$1)*C26+$J$1*B26</f>
        <v>2.0024517026210473</v>
      </c>
      <c r="D27" s="207">
        <f>ABS(B27-C27)</f>
        <v>2.4517026210473247E-3</v>
      </c>
      <c r="E27" s="205">
        <f>D27^2</f>
        <v>6.0108457420503216E-6</v>
      </c>
      <c r="F27" s="205">
        <f>IFERROR(D27/B27,"")</f>
        <v>1.2258513105236624E-3</v>
      </c>
      <c r="G27" s="205">
        <f>AVERAGE(D$8:D27)</f>
        <v>0.84993962960876013</v>
      </c>
      <c r="H27" s="205">
        <f>AVERAGE(E$8:E27)</f>
        <v>1.658854290760053</v>
      </c>
      <c r="I27" s="205">
        <f>AVERAGE(F$8:F27)</f>
        <v>0.38593123355547593</v>
      </c>
      <c r="J27" s="206"/>
      <c r="L27" s="205"/>
      <c r="M27" s="205"/>
      <c r="O27"/>
      <c r="P27"/>
      <c r="Q27"/>
    </row>
    <row r="28" spans="1:17" ht="16.5" x14ac:dyDescent="0.3">
      <c r="A28" s="209">
        <v>21</v>
      </c>
      <c r="B28" s="208">
        <v>3</v>
      </c>
      <c r="C28" s="207">
        <f>(1-$J$1)*C27+$J$1*B27</f>
        <v>2.0023340295299641</v>
      </c>
      <c r="D28" s="207">
        <f>ABS(B28-C28)</f>
        <v>0.99766597047003591</v>
      </c>
      <c r="E28" s="205">
        <f>D28^2</f>
        <v>0.99533738863391852</v>
      </c>
      <c r="F28" s="205">
        <f>IFERROR(D28/B28,"")</f>
        <v>0.33255532349001199</v>
      </c>
      <c r="G28" s="205">
        <f>AVERAGE(D$8:D28)</f>
        <v>0.85697421726882084</v>
      </c>
      <c r="H28" s="205">
        <f>AVERAGE(E$8:E28)</f>
        <v>1.6272582478016657</v>
      </c>
      <c r="I28" s="205">
        <f>AVERAGE(F$8:F28)</f>
        <v>0.38312197513097784</v>
      </c>
      <c r="J28" s="206"/>
      <c r="L28" s="205"/>
      <c r="M28" s="205"/>
      <c r="O28"/>
      <c r="P28"/>
      <c r="Q28"/>
    </row>
    <row r="29" spans="1:17" ht="16.5" x14ac:dyDescent="0.3">
      <c r="A29" s="209">
        <v>22</v>
      </c>
      <c r="B29" s="208">
        <v>4</v>
      </c>
      <c r="C29" s="207">
        <f>(1-$J$1)*C28+$J$1*B28</f>
        <v>2.0502184824021059</v>
      </c>
      <c r="D29" s="207">
        <f>ABS(B29-C29)</f>
        <v>1.9497815175978941</v>
      </c>
      <c r="E29" s="205">
        <f>D29^2</f>
        <v>3.8016479663663469</v>
      </c>
      <c r="F29" s="205">
        <f>IFERROR(D29/B29,"")</f>
        <v>0.48744537939947352</v>
      </c>
      <c r="G29" s="205">
        <f>AVERAGE(D$8:D29)</f>
        <v>0.90664727637468789</v>
      </c>
      <c r="H29" s="205">
        <f>AVERAGE(E$8:E29)</f>
        <v>1.7260941441000603</v>
      </c>
      <c r="I29" s="205">
        <f>AVERAGE(F$8:F29)</f>
        <v>0.38833814534440264</v>
      </c>
      <c r="J29" s="206"/>
      <c r="L29" s="205"/>
      <c r="M29" s="205"/>
      <c r="O29"/>
      <c r="P29"/>
      <c r="Q29"/>
    </row>
    <row r="30" spans="1:17" ht="16.5" x14ac:dyDescent="0.3">
      <c r="A30" s="209">
        <v>23</v>
      </c>
      <c r="B30" s="208">
        <v>4</v>
      </c>
      <c r="C30" s="207">
        <f>(1-$J$1)*C29+$J$1*B29</f>
        <v>2.1438011282514005</v>
      </c>
      <c r="D30" s="207">
        <f>ABS(B30-C30)</f>
        <v>1.8561988717485995</v>
      </c>
      <c r="E30" s="205">
        <f>D30^2</f>
        <v>3.4454742514807739</v>
      </c>
      <c r="F30" s="205">
        <f>IFERROR(D30/B30,"")</f>
        <v>0.46404971793714989</v>
      </c>
      <c r="G30" s="205">
        <f>AVERAGE(D$8:D30)</f>
        <v>0.94793212834746665</v>
      </c>
      <c r="H30" s="205">
        <f>AVERAGE(E$8:E30)</f>
        <v>1.8008498009427001</v>
      </c>
      <c r="I30" s="205">
        <f>AVERAGE(F$8:F30)</f>
        <v>0.3919434583250096</v>
      </c>
      <c r="J30" s="206"/>
      <c r="L30" s="205"/>
      <c r="M30" s="205"/>
    </row>
    <row r="31" spans="1:17" ht="16.5" x14ac:dyDescent="0.3">
      <c r="A31" s="209">
        <v>24</v>
      </c>
      <c r="B31" s="208">
        <v>5</v>
      </c>
      <c r="C31" s="207">
        <f>(1-$J$1)*C30+$J$1*B30</f>
        <v>2.2328921366915231</v>
      </c>
      <c r="D31" s="207">
        <f>ABS(B31-C31)</f>
        <v>2.7671078633084769</v>
      </c>
      <c r="E31" s="205">
        <f>D31^2</f>
        <v>7.6568859271836045</v>
      </c>
      <c r="F31" s="205">
        <f>IFERROR(D31/B31,"")</f>
        <v>0.55342157266169534</v>
      </c>
      <c r="G31" s="205">
        <f>AVERAGE(D$8:D31)</f>
        <v>1.0237311173041754</v>
      </c>
      <c r="H31" s="205">
        <f>AVERAGE(E$8:E31)</f>
        <v>2.0448513062027378</v>
      </c>
      <c r="I31" s="205">
        <f>AVERAGE(F$8:F31)</f>
        <v>0.39928337261304081</v>
      </c>
      <c r="J31" s="206"/>
      <c r="L31" s="205"/>
      <c r="M31" s="205"/>
    </row>
    <row r="32" spans="1:17" ht="16.5" x14ac:dyDescent="0.3">
      <c r="A32" s="209">
        <v>25</v>
      </c>
      <c r="B32" s="208">
        <v>4</v>
      </c>
      <c r="C32" s="207">
        <f>(1-$J$1)*C31+$J$1*B31</f>
        <v>2.3657035685681684</v>
      </c>
      <c r="D32" s="207">
        <f>ABS(B32-C32)</f>
        <v>1.6342964314318316</v>
      </c>
      <c r="E32" s="205">
        <f>D32^2</f>
        <v>2.6709248257908191</v>
      </c>
      <c r="F32" s="205">
        <f>IFERROR(D32/B32,"")</f>
        <v>0.40857410785795789</v>
      </c>
      <c r="G32" s="205">
        <f>AVERAGE(D$8:D32)</f>
        <v>1.0481537298692816</v>
      </c>
      <c r="H32" s="205">
        <f>AVERAGE(E$8:E32)</f>
        <v>2.0698942469862609</v>
      </c>
      <c r="I32" s="205">
        <f>AVERAGE(F$8:F32)</f>
        <v>0.39968731762368931</v>
      </c>
      <c r="J32" s="206"/>
      <c r="L32" s="205"/>
      <c r="M32" s="205"/>
    </row>
    <row r="33" spans="1:13" ht="16.5" hidden="1" x14ac:dyDescent="0.3">
      <c r="A33" s="209">
        <v>26</v>
      </c>
      <c r="B33" s="208">
        <v>2</v>
      </c>
      <c r="C33" s="207">
        <f>(1-$J$1)*C32+$J$1*B32</f>
        <v>2.444144041398105</v>
      </c>
      <c r="D33" s="207">
        <f>ABS(B33-C33)</f>
        <v>0.44414404139810504</v>
      </c>
      <c r="E33" s="205">
        <f>D33^2</f>
        <v>0.19726392950944163</v>
      </c>
      <c r="F33" s="205">
        <f>IFERROR(D33/B33,"")</f>
        <v>0.22207202069905252</v>
      </c>
      <c r="G33" s="205">
        <f>AVERAGE(D$8:D33)</f>
        <v>1.0249225880050057</v>
      </c>
      <c r="H33" s="205">
        <f>AVERAGE(E$8:E33)</f>
        <v>1.9978700040063833</v>
      </c>
      <c r="I33" s="205">
        <f>AVERAGE(F$8:F33)</f>
        <v>0.39228668025182944</v>
      </c>
      <c r="J33" s="206"/>
      <c r="L33" s="205"/>
      <c r="M33" s="205"/>
    </row>
    <row r="34" spans="1:13" ht="16.5" hidden="1" x14ac:dyDescent="0.3">
      <c r="A34" s="209">
        <v>27</v>
      </c>
      <c r="B34" s="208">
        <v>1</v>
      </c>
      <c r="C34" s="207">
        <f>(1-$J$1)*C33+$J$1*B33</f>
        <v>2.4228266916555352</v>
      </c>
      <c r="D34" s="207">
        <f>ABS(B34-C34)</f>
        <v>1.4228266916555352</v>
      </c>
      <c r="E34" s="205">
        <f>D34^2</f>
        <v>2.0244357944874354</v>
      </c>
      <c r="F34" s="205">
        <f>IFERROR(D34/B34,"")</f>
        <v>1.4228266916555352</v>
      </c>
      <c r="G34" s="205">
        <f>AVERAGE(D$8:D34)</f>
        <v>1.0396597770290994</v>
      </c>
      <c r="H34" s="205">
        <f>AVERAGE(E$8:E34)</f>
        <v>1.9988539221723483</v>
      </c>
      <c r="I34" s="205">
        <f>AVERAGE(F$8:F34)</f>
        <v>0.4335082807079777</v>
      </c>
      <c r="J34" s="206"/>
      <c r="L34" s="205"/>
      <c r="M34" s="205"/>
    </row>
    <row r="35" spans="1:13" ht="16.5" hidden="1" x14ac:dyDescent="0.3">
      <c r="A35" s="209">
        <v>28</v>
      </c>
      <c r="B35" s="208">
        <v>4</v>
      </c>
      <c r="C35" s="207">
        <f>(1-$J$1)*C34+$J$1*B34</f>
        <v>2.3545360215530899</v>
      </c>
      <c r="D35" s="207">
        <f>ABS(B35-C35)</f>
        <v>1.6454639784469101</v>
      </c>
      <c r="E35" s="205">
        <f>D35^2</f>
        <v>2.7075517043663333</v>
      </c>
      <c r="F35" s="205">
        <f>IFERROR(D35/B35,"")</f>
        <v>0.41136599461172751</v>
      </c>
      <c r="G35" s="205">
        <f>AVERAGE(D$8:D35)</f>
        <v>1.0612956413654497</v>
      </c>
      <c r="H35" s="205">
        <f>AVERAGE(E$8:E35)</f>
        <v>2.0241645572507045</v>
      </c>
      <c r="I35" s="205">
        <f>AVERAGE(F$8:F35)</f>
        <v>0.43265665431966038</v>
      </c>
      <c r="J35" s="206"/>
      <c r="L35" s="205"/>
      <c r="M35" s="205"/>
    </row>
    <row r="36" spans="1:13" ht="16.5" hidden="1" x14ac:dyDescent="0.3">
      <c r="A36" s="209">
        <v>29</v>
      </c>
      <c r="B36" s="208">
        <v>3</v>
      </c>
      <c r="C36" s="207">
        <f>(1-$J$1)*C35+$J$1*B35</f>
        <v>2.4335124973084237</v>
      </c>
      <c r="D36" s="207">
        <f>ABS(B36-C36)</f>
        <v>0.56648750269157633</v>
      </c>
      <c r="E36" s="205">
        <f>D36^2</f>
        <v>0.32090809070573872</v>
      </c>
      <c r="F36" s="205">
        <f>IFERROR(D36/B36,"")</f>
        <v>0.18882916756385879</v>
      </c>
      <c r="G36" s="205">
        <f>AVERAGE(D$8:D36)</f>
        <v>1.0442332917560058</v>
      </c>
      <c r="H36" s="205">
        <f>AVERAGE(E$8:E36)</f>
        <v>1.9654315756457057</v>
      </c>
      <c r="I36" s="205">
        <f>AVERAGE(F$8:F36)</f>
        <v>0.42362600666203809</v>
      </c>
      <c r="J36" s="206"/>
      <c r="L36" s="205"/>
      <c r="M36" s="205"/>
    </row>
    <row r="37" spans="1:13" ht="16.5" hidden="1" x14ac:dyDescent="0.3">
      <c r="A37" s="209">
        <v>30</v>
      </c>
      <c r="B37" s="208">
        <v>4</v>
      </c>
      <c r="C37" s="207">
        <f>(1-$J$1)*C36+$J$1*B36</f>
        <v>2.4607019023078869</v>
      </c>
      <c r="D37" s="207">
        <f>ABS(B37-C37)</f>
        <v>1.5392980976921131</v>
      </c>
      <c r="E37" s="205">
        <f>D37^2</f>
        <v>2.3694386335585582</v>
      </c>
      <c r="F37" s="205">
        <f>IFERROR(D37/B37,"")</f>
        <v>0.38482452442302828</v>
      </c>
      <c r="G37" s="205">
        <f>AVERAGE(D$8:D37)</f>
        <v>1.0607354519538761</v>
      </c>
      <c r="H37" s="205">
        <f>AVERAGE(E$8:E37)</f>
        <v>1.9788984775761342</v>
      </c>
      <c r="I37" s="205">
        <f>AVERAGE(F$8:F37)</f>
        <v>0.42224023943921629</v>
      </c>
      <c r="J37" s="206"/>
      <c r="L37" s="205"/>
      <c r="M37" s="205"/>
    </row>
    <row r="38" spans="1:13" ht="16.5" hidden="1" x14ac:dyDescent="0.3">
      <c r="A38" s="209">
        <v>31</v>
      </c>
      <c r="B38" s="208">
        <v>3</v>
      </c>
      <c r="C38" s="207">
        <f>(1-$J$1)*C37+$J$1*B37</f>
        <v>2.5345827896958664</v>
      </c>
      <c r="D38" s="207">
        <f>ABS(B38-C38)</f>
        <v>0.46541721030413363</v>
      </c>
      <c r="E38" s="205">
        <f>D38^2</f>
        <v>0.21661317964728216</v>
      </c>
      <c r="F38" s="205">
        <f>IFERROR(D38/B38,"")</f>
        <v>0.15513907010137787</v>
      </c>
      <c r="G38" s="205">
        <f>AVERAGE(D$8:D38)</f>
        <v>1.0415316377071102</v>
      </c>
      <c r="H38" s="205">
        <f>AVERAGE(E$8:E38)</f>
        <v>1.9220505647397197</v>
      </c>
      <c r="I38" s="205">
        <f>AVERAGE(F$8:F38)</f>
        <v>0.41302985428963562</v>
      </c>
      <c r="J38" s="206"/>
      <c r="L38" s="205"/>
      <c r="M38" s="205"/>
    </row>
    <row r="39" spans="1:13" ht="16.5" hidden="1" x14ac:dyDescent="0.3">
      <c r="A39" s="209">
        <v>32</v>
      </c>
      <c r="B39" s="208">
        <v>1</v>
      </c>
      <c r="C39" s="207">
        <f>(1-$J$1)*C38+$J$1*B38</f>
        <v>2.5569211766232991</v>
      </c>
      <c r="D39" s="207">
        <f>ABS(B39-C39)</f>
        <v>1.5569211766232991</v>
      </c>
      <c r="E39" s="205">
        <f>D39^2</f>
        <v>2.4240035502180781</v>
      </c>
      <c r="F39" s="205">
        <f>IFERROR(D39/B39,"")</f>
        <v>1.5569211766232991</v>
      </c>
      <c r="G39" s="205">
        <f>AVERAGE(D$8:D39)</f>
        <v>1.0576375607982411</v>
      </c>
      <c r="H39" s="205">
        <f>AVERAGE(E$8:E39)</f>
        <v>1.9377365955359185</v>
      </c>
      <c r="I39" s="205">
        <f>AVERAGE(F$8:F39)</f>
        <v>0.45115956503409105</v>
      </c>
      <c r="J39" s="206"/>
      <c r="L39" s="205"/>
      <c r="M39" s="205"/>
    </row>
    <row r="40" spans="1:13" ht="16.5" hidden="1" x14ac:dyDescent="0.3">
      <c r="A40" s="209">
        <v>33</v>
      </c>
      <c r="B40" s="208">
        <v>5</v>
      </c>
      <c r="C40" s="207">
        <f>(1-$J$1)*C39+$J$1*B39</f>
        <v>2.4821944435138859</v>
      </c>
      <c r="D40" s="207">
        <f>ABS(B40-C40)</f>
        <v>2.5178055564861141</v>
      </c>
      <c r="E40" s="205">
        <f>D40^2</f>
        <v>6.339344820272351</v>
      </c>
      <c r="F40" s="205">
        <f>IFERROR(D40/B40,"")</f>
        <v>0.50356111129722281</v>
      </c>
      <c r="G40" s="205">
        <f>AVERAGE(D$8:D40)</f>
        <v>1.1018850758190859</v>
      </c>
      <c r="H40" s="205">
        <f>AVERAGE(E$8:E40)</f>
        <v>2.0711186629521738</v>
      </c>
      <c r="I40" s="205">
        <f>AVERAGE(F$8:F40)</f>
        <v>0.45284993749419206</v>
      </c>
      <c r="J40" s="206"/>
      <c r="L40" s="205"/>
      <c r="M40" s="205"/>
    </row>
    <row r="41" spans="1:13" ht="16.5" hidden="1" x14ac:dyDescent="0.3">
      <c r="A41" s="209">
        <v>34</v>
      </c>
      <c r="B41" s="208">
        <v>2</v>
      </c>
      <c r="C41" s="207">
        <f>(1-$J$1)*C40+$J$1*B40</f>
        <v>2.6030402426885084</v>
      </c>
      <c r="D41" s="207">
        <f>ABS(B41-C41)</f>
        <v>0.60304024268850842</v>
      </c>
      <c r="E41" s="205">
        <f>D41^2</f>
        <v>0.36365753430181513</v>
      </c>
      <c r="F41" s="205">
        <f>IFERROR(D41/B41,"")</f>
        <v>0.30152012134425421</v>
      </c>
      <c r="G41" s="205">
        <f>AVERAGE(D$8:D41)</f>
        <v>1.0872131689623041</v>
      </c>
      <c r="H41" s="205">
        <f>AVERAGE(E$8:E41)</f>
        <v>2.020899217991869</v>
      </c>
      <c r="I41" s="205">
        <f>AVERAGE(F$8:F41)</f>
        <v>0.44812088073950651</v>
      </c>
      <c r="J41" s="206"/>
      <c r="L41" s="205"/>
      <c r="M41" s="205"/>
    </row>
    <row r="42" spans="1:13" ht="16.5" hidden="1" x14ac:dyDescent="0.3">
      <c r="A42" s="209">
        <v>35</v>
      </c>
      <c r="B42" s="208">
        <v>0</v>
      </c>
      <c r="C42" s="207">
        <f>(1-$J$1)*C41+$J$1*B41</f>
        <v>2.5740964349054103</v>
      </c>
      <c r="D42" s="207">
        <f>ABS(B42-C42)</f>
        <v>2.5740964349054103</v>
      </c>
      <c r="E42" s="205">
        <f>D42^2</f>
        <v>6.6259724561927431</v>
      </c>
      <c r="F42" s="205" t="str">
        <f>IFERROR(D42/B42,"")</f>
        <v/>
      </c>
      <c r="G42" s="205">
        <f>AVERAGE(D$8:D42)</f>
        <v>1.1296955479892501</v>
      </c>
      <c r="H42" s="205">
        <f>AVERAGE(E$8:E42)</f>
        <v>2.1524727390833225</v>
      </c>
      <c r="I42" s="205">
        <f>AVERAGE(F$8:F42)</f>
        <v>0.44812088073950651</v>
      </c>
      <c r="J42" s="206"/>
      <c r="L42" s="205"/>
      <c r="M42" s="205"/>
    </row>
    <row r="43" spans="1:13" ht="16.5" hidden="1" x14ac:dyDescent="0.3">
      <c r="A43" s="209">
        <v>36</v>
      </c>
      <c r="B43" s="208">
        <v>7</v>
      </c>
      <c r="C43" s="207">
        <f>(1-$J$1)*C42+$J$1*B42</f>
        <v>2.4505488718192354</v>
      </c>
      <c r="D43" s="207">
        <f>ABS(B43-C43)</f>
        <v>4.549451128180765</v>
      </c>
      <c r="E43" s="205">
        <f>D43^2</f>
        <v>20.697505567705235</v>
      </c>
      <c r="F43" s="205">
        <f>IFERROR(D43/B43,"")</f>
        <v>0.64992158974010927</v>
      </c>
      <c r="G43" s="205">
        <f>AVERAGE(D$8:D43)</f>
        <v>1.2246887585501254</v>
      </c>
      <c r="H43" s="205">
        <f>AVERAGE(E$8:E43)</f>
        <v>2.6676125398783754</v>
      </c>
      <c r="I43" s="205">
        <f>AVERAGE(F$8:F43)</f>
        <v>0.4542360537395248</v>
      </c>
      <c r="J43" s="206"/>
      <c r="L43" s="205"/>
      <c r="M43" s="205"/>
    </row>
    <row r="44" spans="1:13" ht="16.5" hidden="1" x14ac:dyDescent="0.3">
      <c r="A44" s="209">
        <v>37</v>
      </c>
      <c r="B44" s="208">
        <v>3</v>
      </c>
      <c r="C44" s="207">
        <f>(1-$J$1)*C43+$J$1*B43</f>
        <v>2.6689065031202701</v>
      </c>
      <c r="D44" s="207">
        <f>ABS(B44-C44)</f>
        <v>0.33109349687972989</v>
      </c>
      <c r="E44" s="205">
        <f>D44^2</f>
        <v>0.1096229036760477</v>
      </c>
      <c r="F44" s="205">
        <f>IFERROR(D44/B44,"")</f>
        <v>0.11036449895990996</v>
      </c>
      <c r="G44" s="205">
        <f>AVERAGE(D$8:D44)</f>
        <v>1.2005375352617365</v>
      </c>
      <c r="H44" s="205">
        <f>AVERAGE(E$8:E44)</f>
        <v>2.5984776848458804</v>
      </c>
      <c r="I44" s="205">
        <f>AVERAGE(F$8:F44)</f>
        <v>0.44412218448130086</v>
      </c>
      <c r="J44" s="206"/>
      <c r="L44" s="205"/>
      <c r="M44" s="205"/>
    </row>
    <row r="45" spans="1:13" ht="16.5" hidden="1" x14ac:dyDescent="0.3">
      <c r="A45" s="209">
        <v>38</v>
      </c>
      <c r="B45" s="208">
        <v>5</v>
      </c>
      <c r="C45" s="207">
        <f>(1-$J$1)*C44+$J$1*B44</f>
        <v>2.6847978248821427</v>
      </c>
      <c r="D45" s="207">
        <f>ABS(B45-C45)</f>
        <v>2.3152021751178573</v>
      </c>
      <c r="E45" s="205">
        <f>D45^2</f>
        <v>5.3601611116704575</v>
      </c>
      <c r="F45" s="205">
        <f>IFERROR(D45/B45,"")</f>
        <v>0.46304043502357145</v>
      </c>
      <c r="G45" s="205">
        <f>AVERAGE(D$8:D45)</f>
        <v>1.2298708152579503</v>
      </c>
      <c r="H45" s="205">
        <f>AVERAGE(E$8:E45)</f>
        <v>2.6711535644991589</v>
      </c>
      <c r="I45" s="205">
        <f>AVERAGE(F$8:F45)</f>
        <v>0.44466270592536572</v>
      </c>
      <c r="J45" s="206"/>
      <c r="L45" s="205"/>
      <c r="M45" s="205"/>
    </row>
    <row r="46" spans="1:13" ht="16.5" hidden="1" x14ac:dyDescent="0.3">
      <c r="A46" s="209">
        <v>39</v>
      </c>
      <c r="B46" s="208">
        <v>5</v>
      </c>
      <c r="C46" s="207">
        <f>(1-$J$1)*C45+$J$1*B45</f>
        <v>2.7959193753061595</v>
      </c>
      <c r="D46" s="207">
        <f>ABS(B46-C46)</f>
        <v>2.2040806246938405</v>
      </c>
      <c r="E46" s="205">
        <f>D46^2</f>
        <v>4.8579714001507899</v>
      </c>
      <c r="F46" s="205">
        <f>IFERROR(D46/B46,"")</f>
        <v>0.44081612493876809</v>
      </c>
      <c r="G46" s="205">
        <f>AVERAGE(D$8:D46)</f>
        <v>1.2548505539614345</v>
      </c>
      <c r="H46" s="205">
        <f>AVERAGE(E$8:E46)</f>
        <v>2.7272258166953547</v>
      </c>
      <c r="I46" s="205">
        <f>AVERAGE(F$8:F46)</f>
        <v>0.44455585645351575</v>
      </c>
      <c r="J46" s="206"/>
      <c r="L46" s="205"/>
      <c r="M46" s="205"/>
    </row>
    <row r="47" spans="1:13" ht="16.5" hidden="1" x14ac:dyDescent="0.3">
      <c r="A47" s="209">
        <v>40</v>
      </c>
      <c r="B47" s="208">
        <v>6</v>
      </c>
      <c r="C47" s="207">
        <f>(1-$J$1)*C46+$J$1*B46</f>
        <v>2.9017074826722249</v>
      </c>
      <c r="D47" s="207">
        <f>ABS(B47-C47)</f>
        <v>3.0982925173277751</v>
      </c>
      <c r="E47" s="205">
        <f>D47^2</f>
        <v>9.5994165229292818</v>
      </c>
      <c r="F47" s="205">
        <f>IFERROR(D47/B47,"")</f>
        <v>0.51638208622129589</v>
      </c>
      <c r="G47" s="205">
        <f>AVERAGE(D$8:D47)</f>
        <v>1.3009366030455931</v>
      </c>
      <c r="H47" s="205">
        <f>AVERAGE(E$8:E47)</f>
        <v>2.8990305843512028</v>
      </c>
      <c r="I47" s="205">
        <f>AVERAGE(F$8:F47)</f>
        <v>0.446497105906699</v>
      </c>
      <c r="J47" s="206"/>
      <c r="L47" s="205"/>
      <c r="M47" s="205"/>
    </row>
    <row r="48" spans="1:13" ht="16.5" hidden="1" x14ac:dyDescent="0.3">
      <c r="A48" s="209">
        <v>41</v>
      </c>
      <c r="B48" s="208">
        <v>2</v>
      </c>
      <c r="C48" s="207">
        <f>(1-$J$1)*C47+$J$1*B47</f>
        <v>3.0504146115323927</v>
      </c>
      <c r="D48" s="207">
        <f>ABS(B48-C48)</f>
        <v>1.0504146115323927</v>
      </c>
      <c r="E48" s="205">
        <f>D48^2</f>
        <v>1.1033708561207474</v>
      </c>
      <c r="F48" s="205">
        <f>IFERROR(D48/B48,"")</f>
        <v>0.52520730576619634</v>
      </c>
      <c r="G48" s="205">
        <f>AVERAGE(D$8:D48)</f>
        <v>1.2948263105696616</v>
      </c>
      <c r="H48" s="205">
        <f>AVERAGE(E$8:E48)</f>
        <v>2.8552340056138745</v>
      </c>
      <c r="I48" s="205">
        <f>AVERAGE(F$8:F48)</f>
        <v>0.44856842695563309</v>
      </c>
      <c r="J48" s="206"/>
      <c r="L48" s="205"/>
      <c r="M48" s="205"/>
    </row>
    <row r="49" spans="1:13" ht="16.5" hidden="1" x14ac:dyDescent="0.3">
      <c r="A49" s="209">
        <v>42</v>
      </c>
      <c r="B49" s="208">
        <v>3</v>
      </c>
      <c r="C49" s="207">
        <f>(1-$J$1)*C48+$J$1*B48</f>
        <v>2.9999984096663166</v>
      </c>
      <c r="D49" s="207">
        <f>ABS(B49-C49)</f>
        <v>1.5903336834099946E-6</v>
      </c>
      <c r="E49" s="205">
        <f>D49^2</f>
        <v>2.5291612245884009E-12</v>
      </c>
      <c r="F49" s="205">
        <f>IFERROR(D49/B49,"")</f>
        <v>5.3011122780333153E-7</v>
      </c>
      <c r="G49" s="205">
        <f>AVERAGE(D$8:D49)</f>
        <v>1.2639971505640428</v>
      </c>
      <c r="H49" s="205">
        <f>AVERAGE(E$8:E49)</f>
        <v>2.7872522435755092</v>
      </c>
      <c r="I49" s="205">
        <f>AVERAGE(F$8:F49)</f>
        <v>0.43706668601090481</v>
      </c>
      <c r="J49" s="206"/>
      <c r="L49" s="205"/>
      <c r="M49" s="205"/>
    </row>
    <row r="50" spans="1:13" ht="16.5" hidden="1" x14ac:dyDescent="0.3">
      <c r="A50" s="209">
        <v>43</v>
      </c>
      <c r="B50" s="208">
        <v>4</v>
      </c>
      <c r="C50" s="207">
        <f>(1-$J$1)*C49+$J$1*B49</f>
        <v>2.9999984859967324</v>
      </c>
      <c r="D50" s="207">
        <f>ABS(B50-C50)</f>
        <v>1.0000015140032676</v>
      </c>
      <c r="E50" s="205">
        <f>D50^2</f>
        <v>1.0000030280088275</v>
      </c>
      <c r="F50" s="205">
        <f>IFERROR(D50/B50,"")</f>
        <v>0.25000037850081691</v>
      </c>
      <c r="G50" s="205">
        <f>AVERAGE(D$8:D50)</f>
        <v>1.2578577171556526</v>
      </c>
      <c r="H50" s="205">
        <f>AVERAGE(E$8:E50)</f>
        <v>2.7456883083297723</v>
      </c>
      <c r="I50" s="205">
        <f>AVERAGE(F$8:F50)</f>
        <v>0.43239002832315265</v>
      </c>
      <c r="J50" s="206"/>
      <c r="L50" s="205"/>
      <c r="M50" s="205"/>
    </row>
    <row r="51" spans="1:13" ht="16.5" hidden="1" x14ac:dyDescent="0.3">
      <c r="A51" s="209">
        <v>44</v>
      </c>
      <c r="B51" s="208">
        <v>2</v>
      </c>
      <c r="C51" s="207">
        <f>(1-$J$1)*C50+$J$1*B50</f>
        <v>3.0479950367328468</v>
      </c>
      <c r="D51" s="207">
        <f>ABS(B51-C51)</f>
        <v>1.0479950367328468</v>
      </c>
      <c r="E51" s="205">
        <f>D51^2</f>
        <v>1.0982935970166809</v>
      </c>
      <c r="F51" s="205">
        <f>IFERROR(D51/B51,"")</f>
        <v>0.52399751836642339</v>
      </c>
      <c r="G51" s="205">
        <f>AVERAGE(D$8:D51)</f>
        <v>1.2530881107824072</v>
      </c>
      <c r="H51" s="205">
        <f>AVERAGE(E$8:E51)</f>
        <v>2.7082475194362932</v>
      </c>
      <c r="I51" s="205">
        <f>AVERAGE(F$8:F51)</f>
        <v>0.43462435734859828</v>
      </c>
      <c r="J51" s="206"/>
      <c r="L51" s="205"/>
      <c r="M51" s="205"/>
    </row>
    <row r="52" spans="1:13" ht="16.5" hidden="1" x14ac:dyDescent="0.3">
      <c r="A52" s="209">
        <v>45</v>
      </c>
      <c r="B52" s="208">
        <v>3</v>
      </c>
      <c r="C52" s="207">
        <f>(1-$J$1)*C51+$J$1*B51</f>
        <v>2.9976949659355743</v>
      </c>
      <c r="D52" s="207">
        <f>ABS(B52-C52)</f>
        <v>2.3050340644257261E-3</v>
      </c>
      <c r="E52" s="205">
        <f>D52^2</f>
        <v>5.3131820381629823E-6</v>
      </c>
      <c r="F52" s="205">
        <f>IFERROR(D52/B52,"")</f>
        <v>7.683446881419087E-4</v>
      </c>
      <c r="G52" s="205">
        <f>AVERAGE(D$8:D52)</f>
        <v>1.2252929312997856</v>
      </c>
      <c r="H52" s="205">
        <f>AVERAGE(E$8:E52)</f>
        <v>2.6480643592973099</v>
      </c>
      <c r="I52" s="205">
        <f>AVERAGE(F$8:F52)</f>
        <v>0.42429445228525403</v>
      </c>
      <c r="J52" s="206"/>
      <c r="L52" s="205"/>
      <c r="M52" s="205"/>
    </row>
    <row r="53" spans="1:13" ht="16.5" x14ac:dyDescent="0.3">
      <c r="A53" s="209">
        <v>46</v>
      </c>
      <c r="B53" s="208">
        <v>3</v>
      </c>
      <c r="C53" s="207">
        <f>(1-$J$1)*C52+$J$1*B52</f>
        <v>2.9978055994524966</v>
      </c>
      <c r="D53" s="207">
        <f>ABS(B53-C53)</f>
        <v>2.1944005475034167E-3</v>
      </c>
      <c r="E53" s="205">
        <f>D53^2</f>
        <v>4.815393762883295E-6</v>
      </c>
      <c r="F53" s="205">
        <f>IFERROR(D53/B53,"")</f>
        <v>7.3146684916780558E-4</v>
      </c>
      <c r="G53" s="205">
        <f>AVERAGE(D$8:D53)</f>
        <v>1.1987038328051707</v>
      </c>
      <c r="H53" s="205">
        <f>AVERAGE(E$8:E53)</f>
        <v>2.5904978474733196</v>
      </c>
      <c r="I53" s="205">
        <f>AVERAGE(F$8:F53)</f>
        <v>0.41444415029836834</v>
      </c>
      <c r="J53" s="206"/>
      <c r="L53" s="205"/>
      <c r="M53" s="205"/>
    </row>
    <row r="54" spans="1:13" ht="16.5" x14ac:dyDescent="0.3">
      <c r="A54" s="209">
        <v>47</v>
      </c>
      <c r="B54" s="208">
        <v>6</v>
      </c>
      <c r="C54" s="207">
        <f>(1-$J$1)*C53+$J$1*B53</f>
        <v>2.9979109229502501</v>
      </c>
      <c r="D54" s="207">
        <f>ABS(B54-C54)</f>
        <v>3.0020890770497499</v>
      </c>
      <c r="E54" s="205">
        <f>D54^2</f>
        <v>9.0125388265414195</v>
      </c>
      <c r="F54" s="205">
        <f>IFERROR(D54/B54,"")</f>
        <v>0.50034817950829169</v>
      </c>
      <c r="G54" s="205">
        <f>AVERAGE(D$8:D54)</f>
        <v>1.2370737316188851</v>
      </c>
      <c r="H54" s="205">
        <f>AVERAGE(E$8:E54)</f>
        <v>2.7271370172407261</v>
      </c>
      <c r="I54" s="205">
        <f>AVERAGE(F$8:F54)</f>
        <v>0.41639651459859389</v>
      </c>
      <c r="J54" s="206"/>
      <c r="L54" s="205"/>
      <c r="M54" s="205"/>
    </row>
    <row r="55" spans="1:13" ht="15.75" customHeight="1" x14ac:dyDescent="0.3">
      <c r="A55" s="209">
        <v>48</v>
      </c>
      <c r="B55" s="208">
        <v>11</v>
      </c>
      <c r="C55" s="207">
        <f>(1-$J$1)*C54+$J$1*B54</f>
        <v>3.1420006254989237</v>
      </c>
      <c r="D55" s="207">
        <f>ABS(B55-C55)</f>
        <v>7.8579993745010768</v>
      </c>
      <c r="E55" s="205">
        <f>D55^2</f>
        <v>61.748154169659315</v>
      </c>
      <c r="F55" s="205">
        <f>IFERROR(D55/B55,"")</f>
        <v>0.71436357950009788</v>
      </c>
      <c r="G55" s="205">
        <f>AVERAGE(D$8:D55)</f>
        <v>1.375009682512264</v>
      </c>
      <c r="H55" s="205">
        <f>AVERAGE(E$8:E55)</f>
        <v>3.9567415412494462</v>
      </c>
      <c r="I55" s="205">
        <f>AVERAGE(F$8:F55)</f>
        <v>0.4230180049297384</v>
      </c>
      <c r="J55" s="206"/>
      <c r="L55" s="205"/>
      <c r="M55" s="205"/>
    </row>
    <row r="56" spans="1:13" ht="16.5" x14ac:dyDescent="0.3">
      <c r="A56" s="209">
        <v>49</v>
      </c>
      <c r="B56" s="208">
        <v>5</v>
      </c>
      <c r="C56" s="207">
        <f>(1-$J$1)*C55+$J$1*B55</f>
        <v>3.5191569201456594</v>
      </c>
      <c r="D56" s="207">
        <f>ABS(B56-C56)</f>
        <v>1.4808430798543406</v>
      </c>
      <c r="E56" s="205">
        <f>D56^2</f>
        <v>2.192896227152489</v>
      </c>
      <c r="F56" s="205">
        <f>IFERROR(D56/B56,"")</f>
        <v>0.29616861597086813</v>
      </c>
      <c r="G56" s="205">
        <f>AVERAGE(D$8:D56)</f>
        <v>1.377169547764143</v>
      </c>
      <c r="H56" s="205">
        <f>AVERAGE(E$8:E56)</f>
        <v>3.9207446981046101</v>
      </c>
      <c r="I56" s="205">
        <f>AVERAGE(F$8:F56)</f>
        <v>0.42026040951758903</v>
      </c>
      <c r="J56" s="206"/>
      <c r="L56" s="205"/>
      <c r="M56" s="205"/>
    </row>
    <row r="57" spans="1:13" ht="16.5" x14ac:dyDescent="0.3">
      <c r="A57" s="209">
        <v>50</v>
      </c>
      <c r="B57" s="208">
        <v>5</v>
      </c>
      <c r="C57" s="207">
        <f>(1-$J$1)*C56+$J$1*B56</f>
        <v>3.5902321725519486</v>
      </c>
      <c r="D57" s="207">
        <f>ABS(B57-C57)</f>
        <v>1.4097678274480514</v>
      </c>
      <c r="E57" s="205">
        <f>D57^2</f>
        <v>1.9874453273075989</v>
      </c>
      <c r="F57" s="205">
        <f>IFERROR(D57/B57,"")</f>
        <v>0.28195356548961026</v>
      </c>
      <c r="G57" s="205">
        <f>AVERAGE(D$8:D57)</f>
        <v>1.3778215133578211</v>
      </c>
      <c r="H57" s="205">
        <f>AVERAGE(E$8:E57)</f>
        <v>3.8820787106886701</v>
      </c>
      <c r="I57" s="205">
        <f>AVERAGE(F$8:F57)</f>
        <v>0.41731771070848306</v>
      </c>
      <c r="J57" s="206"/>
      <c r="L57" s="205"/>
      <c r="M57" s="205"/>
    </row>
    <row r="58" spans="1:13" ht="16.5" x14ac:dyDescent="0.3">
      <c r="A58" s="88">
        <v>51</v>
      </c>
      <c r="C58" s="207">
        <f>(1-$J$1)*C57+$J$1*B57</f>
        <v>3.6578960631648498</v>
      </c>
      <c r="D58" s="205"/>
      <c r="F58" s="205"/>
      <c r="G58" s="205"/>
      <c r="H58" s="205"/>
      <c r="I58" s="205"/>
      <c r="J58" s="206"/>
      <c r="L58" s="205"/>
      <c r="M58" s="205"/>
    </row>
    <row r="59" spans="1:13" x14ac:dyDescent="0.25">
      <c r="J59" s="206"/>
      <c r="L59" s="205"/>
      <c r="M59" s="205"/>
    </row>
    <row r="60" spans="1:13" x14ac:dyDescent="0.25">
      <c r="J60" s="206"/>
      <c r="L60" s="205"/>
      <c r="M60" s="205"/>
    </row>
    <row r="61" spans="1:13" x14ac:dyDescent="0.25">
      <c r="J61" s="206"/>
      <c r="L61" s="205"/>
      <c r="M61" s="205"/>
    </row>
    <row r="62" spans="1:13" x14ac:dyDescent="0.25">
      <c r="J62" s="206"/>
      <c r="L62" s="205"/>
      <c r="M62" s="205"/>
    </row>
    <row r="63" spans="1:13" x14ac:dyDescent="0.25">
      <c r="J63" s="205"/>
      <c r="K63" s="88"/>
      <c r="L63" s="205"/>
      <c r="M63" s="205"/>
    </row>
    <row r="64" spans="1:13" x14ac:dyDescent="0.25">
      <c r="C64" s="196"/>
      <c r="D64" s="204"/>
    </row>
  </sheetData>
  <conditionalFormatting sqref="M7:M17">
    <cfRule type="cellIs" dxfId="3" priority="1" operator="equal">
      <formula>$M$18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CBF5-FE4D-42EA-B938-0B6F0FFB070D}">
  <dimension ref="A1:M30"/>
  <sheetViews>
    <sheetView tabSelected="1" workbookViewId="0">
      <selection activeCell="V12" sqref="V12:W13"/>
    </sheetView>
  </sheetViews>
  <sheetFormatPr defaultRowHeight="15" x14ac:dyDescent="0.25"/>
  <sheetData>
    <row r="1" spans="1:13" x14ac:dyDescent="0.25">
      <c r="G1" s="243"/>
      <c r="J1" s="244" t="s">
        <v>147</v>
      </c>
      <c r="M1" t="s">
        <v>146</v>
      </c>
    </row>
    <row r="2" spans="1:13" x14ac:dyDescent="0.25">
      <c r="D2" s="245" t="s">
        <v>145</v>
      </c>
      <c r="E2" s="245"/>
      <c r="G2" s="243"/>
      <c r="J2" s="244" t="s">
        <v>144</v>
      </c>
      <c r="K2" s="244"/>
      <c r="L2" s="244"/>
    </row>
    <row r="3" spans="1:13" ht="15.75" thickBot="1" x14ac:dyDescent="0.3">
      <c r="G3" s="243"/>
    </row>
    <row r="4" spans="1:13" ht="15.75" thickBot="1" x14ac:dyDescent="0.3">
      <c r="A4" s="242"/>
      <c r="B4" s="241"/>
      <c r="C4" s="239" t="s">
        <v>143</v>
      </c>
      <c r="D4" s="240">
        <v>0.5</v>
      </c>
      <c r="E4" s="240"/>
      <c r="F4" s="239" t="s">
        <v>142</v>
      </c>
      <c r="G4" s="238">
        <f>F29</f>
        <v>927.44185403982794</v>
      </c>
      <c r="H4" s="237"/>
    </row>
    <row r="5" spans="1:13" ht="15.75" thickBot="1" x14ac:dyDescent="0.3">
      <c r="A5" s="236" t="s">
        <v>141</v>
      </c>
      <c r="B5" s="235" t="s">
        <v>0</v>
      </c>
      <c r="C5" s="235" t="s">
        <v>4</v>
      </c>
      <c r="D5" s="235" t="s">
        <v>140</v>
      </c>
      <c r="E5" s="235" t="s">
        <v>139</v>
      </c>
      <c r="F5" s="234" t="s">
        <v>1</v>
      </c>
      <c r="G5" s="235" t="s">
        <v>138</v>
      </c>
      <c r="H5" s="234" t="s">
        <v>137</v>
      </c>
      <c r="K5" s="215">
        <f>F29</f>
        <v>927.44185403982794</v>
      </c>
    </row>
    <row r="6" spans="1:13" x14ac:dyDescent="0.25">
      <c r="A6" s="233">
        <v>1</v>
      </c>
      <c r="B6" s="232">
        <v>13400</v>
      </c>
      <c r="C6" s="231">
        <v>13912</v>
      </c>
      <c r="D6" s="229">
        <f>B6-C6</f>
        <v>-512</v>
      </c>
      <c r="E6" s="229">
        <f>ABS(D6)</f>
        <v>512</v>
      </c>
      <c r="F6" s="230">
        <f>E6/A6</f>
        <v>512</v>
      </c>
      <c r="G6" s="229">
        <f>D6</f>
        <v>-512</v>
      </c>
      <c r="H6" s="228">
        <f>G6/F6</f>
        <v>-1</v>
      </c>
      <c r="J6">
        <v>0.1</v>
      </c>
      <c r="K6" s="215"/>
    </row>
    <row r="7" spans="1:13" x14ac:dyDescent="0.25">
      <c r="A7" s="227">
        <v>2</v>
      </c>
      <c r="B7" s="226">
        <v>14100</v>
      </c>
      <c r="C7" s="225">
        <f>$D$4*B6+(1-$D$4)*C6</f>
        <v>13656</v>
      </c>
      <c r="D7" s="223">
        <f>B7-C7</f>
        <v>444</v>
      </c>
      <c r="E7" s="223">
        <f>ABS(D7)</f>
        <v>444</v>
      </c>
      <c r="F7" s="224">
        <f>SUM($E$6:E7)/A7</f>
        <v>478</v>
      </c>
      <c r="G7" s="223">
        <f>SUM($D$6:D7)</f>
        <v>-68</v>
      </c>
      <c r="H7" s="222">
        <f>G7/F7</f>
        <v>-0.14225941422594143</v>
      </c>
      <c r="J7">
        <v>0.2</v>
      </c>
      <c r="K7" s="215"/>
    </row>
    <row r="8" spans="1:13" x14ac:dyDescent="0.25">
      <c r="A8" s="227">
        <v>3</v>
      </c>
      <c r="B8" s="226">
        <v>14700</v>
      </c>
      <c r="C8" s="225">
        <f>$D$4*B7+(1-$D$4)*C7</f>
        <v>13878</v>
      </c>
      <c r="D8" s="223">
        <f>B8-C8</f>
        <v>822</v>
      </c>
      <c r="E8" s="223">
        <f>ABS(D8)</f>
        <v>822</v>
      </c>
      <c r="F8" s="224">
        <f>SUM($E$6:E8)/A8</f>
        <v>592.66666666666663</v>
      </c>
      <c r="G8" s="223">
        <f>SUM($D$6:D8)</f>
        <v>754</v>
      </c>
      <c r="H8" s="222">
        <f>G8/F8</f>
        <v>1.2722159730033746</v>
      </c>
      <c r="J8">
        <v>0.3</v>
      </c>
      <c r="K8" s="215"/>
    </row>
    <row r="9" spans="1:13" x14ac:dyDescent="0.25">
      <c r="A9" s="227">
        <v>4</v>
      </c>
      <c r="B9" s="226">
        <v>15100</v>
      </c>
      <c r="C9" s="225">
        <f>$D$4*B8+(1-$D$4)*C8</f>
        <v>14289</v>
      </c>
      <c r="D9" s="223">
        <f>B9-C9</f>
        <v>811</v>
      </c>
      <c r="E9" s="223">
        <f>ABS(D9)</f>
        <v>811</v>
      </c>
      <c r="F9" s="224">
        <f>SUM($E$6:E9)/A9</f>
        <v>647.25</v>
      </c>
      <c r="G9" s="223">
        <f>SUM($D$6:D9)</f>
        <v>1565</v>
      </c>
      <c r="H9" s="222">
        <f>G9/F9</f>
        <v>2.417921977597528</v>
      </c>
      <c r="J9">
        <v>0.4</v>
      </c>
      <c r="K9" s="215"/>
    </row>
    <row r="10" spans="1:13" x14ac:dyDescent="0.25">
      <c r="A10" s="227">
        <v>5</v>
      </c>
      <c r="B10" s="226">
        <v>13400</v>
      </c>
      <c r="C10" s="225">
        <f>$D$4*B9+(1-$D$4)*C9</f>
        <v>14694.5</v>
      </c>
      <c r="D10" s="223">
        <f>B10-C10</f>
        <v>-1294.5</v>
      </c>
      <c r="E10" s="223">
        <f>ABS(D10)</f>
        <v>1294.5</v>
      </c>
      <c r="F10" s="224">
        <f>SUM($E$6:E10)/A10</f>
        <v>776.7</v>
      </c>
      <c r="G10" s="223">
        <f>SUM($D$6:D10)</f>
        <v>270.5</v>
      </c>
      <c r="H10" s="222">
        <f>G10/F10</f>
        <v>0.34826831466460667</v>
      </c>
      <c r="J10">
        <v>0.5</v>
      </c>
      <c r="K10" s="215"/>
    </row>
    <row r="11" spans="1:13" x14ac:dyDescent="0.25">
      <c r="A11" s="227">
        <v>6</v>
      </c>
      <c r="B11" s="226">
        <v>16000</v>
      </c>
      <c r="C11" s="225">
        <f>$D$4*B10+(1-$D$4)*C10</f>
        <v>14047.25</v>
      </c>
      <c r="D11" s="223">
        <f>B11-C11</f>
        <v>1952.75</v>
      </c>
      <c r="E11" s="223">
        <f>ABS(D11)</f>
        <v>1952.75</v>
      </c>
      <c r="F11" s="224">
        <f>SUM($E$6:E11)/A11</f>
        <v>972.70833333333337</v>
      </c>
      <c r="G11" s="223">
        <f>SUM($D$6:D11)</f>
        <v>2223.25</v>
      </c>
      <c r="H11" s="222">
        <f>G11/F11</f>
        <v>2.2856286142642963</v>
      </c>
      <c r="J11">
        <v>0.6</v>
      </c>
      <c r="K11" s="215"/>
    </row>
    <row r="12" spans="1:13" x14ac:dyDescent="0.25">
      <c r="A12" s="227">
        <v>7</v>
      </c>
      <c r="B12" s="226">
        <v>12700</v>
      </c>
      <c r="C12" s="225">
        <f>$D$4*B11+(1-$D$4)*C11</f>
        <v>15023.625</v>
      </c>
      <c r="D12" s="223">
        <f>B12-C12</f>
        <v>-2323.625</v>
      </c>
      <c r="E12" s="223">
        <f>ABS(D12)</f>
        <v>2323.625</v>
      </c>
      <c r="F12" s="224">
        <f>SUM($E$6:E12)/A12</f>
        <v>1165.6964285714287</v>
      </c>
      <c r="G12" s="223">
        <f>SUM($D$6:D12)</f>
        <v>-100.375</v>
      </c>
      <c r="H12" s="222">
        <f>G12/F12</f>
        <v>-8.6107323947977141E-2</v>
      </c>
      <c r="J12">
        <v>0.7</v>
      </c>
      <c r="K12" s="215"/>
    </row>
    <row r="13" spans="1:13" x14ac:dyDescent="0.25">
      <c r="A13" s="227">
        <v>8</v>
      </c>
      <c r="B13" s="226">
        <v>15400</v>
      </c>
      <c r="C13" s="225">
        <f>$D$4*B12+(1-$D$4)*C12</f>
        <v>13861.8125</v>
      </c>
      <c r="D13" s="223">
        <f>B13-C13</f>
        <v>1538.1875</v>
      </c>
      <c r="E13" s="223">
        <f>ABS(D13)</f>
        <v>1538.1875</v>
      </c>
      <c r="F13" s="224">
        <f>SUM($E$6:E13)/A13</f>
        <v>1212.2578125</v>
      </c>
      <c r="G13" s="223">
        <f>SUM($D$6:D13)</f>
        <v>1437.8125</v>
      </c>
      <c r="H13" s="222">
        <f>G13/F13</f>
        <v>1.1860616489118316</v>
      </c>
      <c r="J13">
        <v>0.8</v>
      </c>
      <c r="K13" s="215"/>
    </row>
    <row r="14" spans="1:13" x14ac:dyDescent="0.25">
      <c r="A14" s="227">
        <v>9</v>
      </c>
      <c r="B14" s="226">
        <v>13000</v>
      </c>
      <c r="C14" s="225">
        <f>$D$4*B13+(1-$D$4)*C13</f>
        <v>14630.90625</v>
      </c>
      <c r="D14" s="223">
        <f>B14-C14</f>
        <v>-1630.90625</v>
      </c>
      <c r="E14" s="223">
        <f>ABS(D14)</f>
        <v>1630.90625</v>
      </c>
      <c r="F14" s="224">
        <f>SUM($E$6:E14)/A14</f>
        <v>1258.7743055555557</v>
      </c>
      <c r="G14" s="223">
        <f>SUM($D$6:D14)</f>
        <v>-193.09375</v>
      </c>
      <c r="H14" s="222">
        <f>G14/F14</f>
        <v>-0.15339822964910199</v>
      </c>
      <c r="J14">
        <v>0.9</v>
      </c>
      <c r="K14" s="215"/>
    </row>
    <row r="15" spans="1:13" x14ac:dyDescent="0.25">
      <c r="A15" s="227">
        <v>10</v>
      </c>
      <c r="B15" s="226">
        <v>16200</v>
      </c>
      <c r="C15" s="225">
        <f>$D$4*B14+(1-$D$4)*C14</f>
        <v>13815.453125</v>
      </c>
      <c r="D15" s="223">
        <f>B15-C15</f>
        <v>2384.546875</v>
      </c>
      <c r="E15" s="223">
        <f>ABS(D15)</f>
        <v>2384.546875</v>
      </c>
      <c r="F15" s="224">
        <f>SUM($E$6:E15)/A15</f>
        <v>1371.3515625</v>
      </c>
      <c r="G15" s="223">
        <f>SUM($D$6:D15)</f>
        <v>2191.453125</v>
      </c>
      <c r="H15" s="222">
        <f>G15/F15</f>
        <v>1.5980243031224899</v>
      </c>
      <c r="J15">
        <v>1</v>
      </c>
      <c r="K15" s="215"/>
    </row>
    <row r="16" spans="1:13" x14ac:dyDescent="0.25">
      <c r="A16" s="227">
        <v>11</v>
      </c>
      <c r="B16" s="226">
        <v>16100</v>
      </c>
      <c r="C16" s="225">
        <f>$D$4*B15+(1-$D$4)*C15</f>
        <v>15007.7265625</v>
      </c>
      <c r="D16" s="223">
        <f>B16-C16</f>
        <v>1092.2734375</v>
      </c>
      <c r="E16" s="223">
        <f>ABS(D16)</f>
        <v>1092.2734375</v>
      </c>
      <c r="F16" s="224">
        <f>SUM($E$6:E16)/A16</f>
        <v>1345.9808238636363</v>
      </c>
      <c r="G16" s="223">
        <f>SUM($D$6:D16)</f>
        <v>3283.7265625</v>
      </c>
      <c r="H16" s="222">
        <f>G16/F16</f>
        <v>2.439653302841319</v>
      </c>
      <c r="J16" s="215"/>
    </row>
    <row r="17" spans="1:12" x14ac:dyDescent="0.25">
      <c r="A17" s="227">
        <v>12</v>
      </c>
      <c r="B17" s="226">
        <v>13500</v>
      </c>
      <c r="C17" s="225">
        <f>$D$4*B16+(1-$D$4)*C16</f>
        <v>15553.86328125</v>
      </c>
      <c r="D17" s="223">
        <f>B17-C17</f>
        <v>-2053.86328125</v>
      </c>
      <c r="E17" s="223">
        <f>ABS(D17)</f>
        <v>2053.86328125</v>
      </c>
      <c r="F17" s="224">
        <f>SUM($E$6:E17)/A17</f>
        <v>1404.9710286458333</v>
      </c>
      <c r="G17" s="223">
        <f>SUM($D$6:D17)</f>
        <v>1229.86328125</v>
      </c>
      <c r="H17" s="222">
        <f>G17/F17</f>
        <v>0.87536558133543219</v>
      </c>
      <c r="J17" s="215"/>
    </row>
    <row r="18" spans="1:12" x14ac:dyDescent="0.25">
      <c r="A18" s="227">
        <v>13</v>
      </c>
      <c r="B18" s="226">
        <v>14900</v>
      </c>
      <c r="C18" s="225">
        <f>$D$4*B17+(1-$D$4)*C17</f>
        <v>14526.931640625</v>
      </c>
      <c r="D18" s="223">
        <f>B18-C18</f>
        <v>373.068359375</v>
      </c>
      <c r="E18" s="223">
        <f>ABS(D18)</f>
        <v>373.068359375</v>
      </c>
      <c r="F18" s="224">
        <f>SUM($E$6:E18)/A18</f>
        <v>1325.5939002403845</v>
      </c>
      <c r="G18" s="223">
        <f>SUM($D$6:D18)</f>
        <v>1602.931640625</v>
      </c>
      <c r="H18" s="222">
        <f>G18/F18</f>
        <v>1.2092177252281584</v>
      </c>
      <c r="J18" s="215"/>
    </row>
    <row r="19" spans="1:12" x14ac:dyDescent="0.25">
      <c r="A19" s="227">
        <v>14</v>
      </c>
      <c r="B19" s="226">
        <v>15200</v>
      </c>
      <c r="C19" s="225">
        <f>$D$4*B18+(1-$D$4)*C18</f>
        <v>14713.4658203125</v>
      </c>
      <c r="D19" s="223">
        <f>B19-C19</f>
        <v>486.5341796875</v>
      </c>
      <c r="E19" s="223">
        <f>ABS(D19)</f>
        <v>486.5341796875</v>
      </c>
      <c r="F19" s="224">
        <f>SUM($E$6:E19)/A19</f>
        <v>1265.6610630580358</v>
      </c>
      <c r="G19" s="223">
        <f>SUM($D$6:D19)</f>
        <v>2089.4658203125</v>
      </c>
      <c r="H19" s="222">
        <f>G19/F19</f>
        <v>1.6508889159187869</v>
      </c>
      <c r="K19" s="223">
        <f>G4</f>
        <v>927.44185403982794</v>
      </c>
    </row>
    <row r="20" spans="1:12" x14ac:dyDescent="0.25">
      <c r="A20" s="227">
        <v>15</v>
      </c>
      <c r="B20" s="226">
        <v>15200</v>
      </c>
      <c r="C20" s="225">
        <f>$D$4*B19+(1-$D$4)*C19</f>
        <v>14956.73291015625</v>
      </c>
      <c r="D20" s="223">
        <f>B20-C20</f>
        <v>243.26708984375</v>
      </c>
      <c r="E20" s="223">
        <f>ABS(D20)</f>
        <v>243.26708984375</v>
      </c>
      <c r="F20" s="224">
        <f>SUM($E$6:E20)/A20</f>
        <v>1197.50146484375</v>
      </c>
      <c r="G20" s="223">
        <f>SUM($D$6:D20)</f>
        <v>2332.73291015625</v>
      </c>
      <c r="H20" s="222">
        <f>G20/F20</f>
        <v>1.9480000472990027</v>
      </c>
      <c r="J20">
        <v>0.1</v>
      </c>
      <c r="K20" s="215">
        <f t="dataTable" ref="K20:K29" dt2D="0" dtr="0" r1="D4" ca="1"/>
        <v>1016.7623340931401</v>
      </c>
    </row>
    <row r="21" spans="1:12" x14ac:dyDescent="0.25">
      <c r="A21" s="227">
        <v>16</v>
      </c>
      <c r="B21" s="226">
        <v>15800</v>
      </c>
      <c r="C21" s="225">
        <f>$D$4*B20+(1-$D$4)*C20</f>
        <v>15078.366455078125</v>
      </c>
      <c r="D21" s="223">
        <f>B21-C21</f>
        <v>721.633544921875</v>
      </c>
      <c r="E21" s="223">
        <f>ABS(D21)</f>
        <v>721.633544921875</v>
      </c>
      <c r="F21" s="224">
        <f>SUM($E$6:E21)/A21</f>
        <v>1167.7597198486328</v>
      </c>
      <c r="G21" s="223">
        <f>SUM($D$6:D21)</f>
        <v>3054.366455078125</v>
      </c>
      <c r="H21" s="222">
        <f>G21/F21</f>
        <v>2.615577848047403</v>
      </c>
      <c r="J21">
        <v>0.2</v>
      </c>
      <c r="K21" s="215">
        <v>896.64739759219867</v>
      </c>
    </row>
    <row r="22" spans="1:12" x14ac:dyDescent="0.25">
      <c r="A22" s="227">
        <v>17</v>
      </c>
      <c r="B22" s="226">
        <v>16100</v>
      </c>
      <c r="C22" s="225">
        <f>$D$4*B21+(1-$D$4)*C21</f>
        <v>15439.183227539063</v>
      </c>
      <c r="D22" s="223">
        <f>B22-C22</f>
        <v>660.8167724609375</v>
      </c>
      <c r="E22" s="223">
        <f>ABS(D22)</f>
        <v>660.8167724609375</v>
      </c>
      <c r="F22" s="224">
        <f>SUM($E$6:E22)/A22</f>
        <v>1137.9395464728859</v>
      </c>
      <c r="G22" s="223">
        <f>SUM($D$6:D22)</f>
        <v>3715.1832275390625</v>
      </c>
      <c r="H22" s="222">
        <f>G22/F22</f>
        <v>3.2648335661191341</v>
      </c>
      <c r="J22">
        <v>0.3</v>
      </c>
      <c r="K22" s="215">
        <v>886.48331141468805</v>
      </c>
    </row>
    <row r="23" spans="1:12" x14ac:dyDescent="0.25">
      <c r="A23" s="227">
        <v>18</v>
      </c>
      <c r="B23" s="226">
        <v>16400</v>
      </c>
      <c r="C23" s="225">
        <f>$D$4*B22+(1-$D$4)*C22</f>
        <v>15769.591613769531</v>
      </c>
      <c r="D23" s="223">
        <f>B23-C23</f>
        <v>630.40838623046875</v>
      </c>
      <c r="E23" s="223">
        <f>ABS(D23)</f>
        <v>630.40838623046875</v>
      </c>
      <c r="F23" s="224">
        <f>SUM($E$6:E23)/A23</f>
        <v>1109.7433709038628</v>
      </c>
      <c r="G23" s="223">
        <f>SUM($D$6:D23)</f>
        <v>4345.5916137695313</v>
      </c>
      <c r="H23" s="222">
        <f>G23/F23</f>
        <v>3.9158527347003997</v>
      </c>
      <c r="J23">
        <v>0.4</v>
      </c>
      <c r="K23" s="215">
        <v>901.13415864890555</v>
      </c>
    </row>
    <row r="24" spans="1:12" x14ac:dyDescent="0.25">
      <c r="A24" s="227">
        <v>19</v>
      </c>
      <c r="B24" s="226">
        <v>15300</v>
      </c>
      <c r="C24" s="225">
        <f>$D$4*B23+(1-$D$4)*C23</f>
        <v>16084.795806884766</v>
      </c>
      <c r="D24" s="223">
        <f>B24-C24</f>
        <v>-784.79580688476563</v>
      </c>
      <c r="E24" s="223">
        <f>ABS(D24)</f>
        <v>784.79580688476563</v>
      </c>
      <c r="F24" s="224">
        <f>SUM($E$6:E24)/A24</f>
        <v>1092.6408675344367</v>
      </c>
      <c r="G24" s="223">
        <f>SUM($D$6:D24)</f>
        <v>3560.7958068847656</v>
      </c>
      <c r="H24" s="222">
        <f>G24/F24</f>
        <v>3.2588894601020773</v>
      </c>
      <c r="J24">
        <v>0.5</v>
      </c>
      <c r="K24" s="215">
        <v>927.44185403982794</v>
      </c>
    </row>
    <row r="25" spans="1:12" x14ac:dyDescent="0.25">
      <c r="A25" s="227">
        <v>20</v>
      </c>
      <c r="B25" s="226">
        <v>15900</v>
      </c>
      <c r="C25" s="225">
        <f>$D$4*B24+(1-$D$4)*C24</f>
        <v>15692.397903442383</v>
      </c>
      <c r="D25" s="223">
        <f>B25-C25</f>
        <v>207.60209655761719</v>
      </c>
      <c r="E25" s="223">
        <f>ABS(D25)</f>
        <v>207.60209655761719</v>
      </c>
      <c r="F25" s="224">
        <f>SUM($E$6:E25)/A25</f>
        <v>1048.3889289855956</v>
      </c>
      <c r="G25" s="223">
        <f>SUM($D$6:D25)</f>
        <v>3768.3979034423828</v>
      </c>
      <c r="H25" s="222">
        <f>G25/F25</f>
        <v>3.5944655645005947</v>
      </c>
      <c r="J25">
        <v>0.6</v>
      </c>
      <c r="K25" s="215">
        <v>960.05572566195917</v>
      </c>
    </row>
    <row r="26" spans="1:12" x14ac:dyDescent="0.25">
      <c r="A26" s="227">
        <v>21</v>
      </c>
      <c r="B26" s="226">
        <v>16300</v>
      </c>
      <c r="C26" s="225">
        <f>$D$4*B25+(1-$D$4)*C25</f>
        <v>15796.198951721191</v>
      </c>
      <c r="D26" s="223">
        <f>B26-C26</f>
        <v>503.80104827880859</v>
      </c>
      <c r="E26" s="223">
        <f>ABS(D26)</f>
        <v>503.80104827880859</v>
      </c>
      <c r="F26" s="224">
        <f>SUM($E$6:E26)/A26</f>
        <v>1022.456172761463</v>
      </c>
      <c r="G26" s="223">
        <f>SUM($D$6:D26)</f>
        <v>4272.1989517211914</v>
      </c>
      <c r="H26" s="222">
        <f>G26/F26</f>
        <v>4.178368780524627</v>
      </c>
      <c r="J26">
        <v>0.7</v>
      </c>
      <c r="K26" s="215">
        <v>996.59915806342372</v>
      </c>
    </row>
    <row r="27" spans="1:12" x14ac:dyDescent="0.25">
      <c r="A27" s="227">
        <v>22</v>
      </c>
      <c r="B27" s="226">
        <v>15500</v>
      </c>
      <c r="C27" s="225">
        <f>$D$4*B26+(1-$D$4)*C26</f>
        <v>16048.099475860596</v>
      </c>
      <c r="D27" s="223">
        <f>B27-C27</f>
        <v>-548.0994758605957</v>
      </c>
      <c r="E27" s="223">
        <f>ABS(D27)</f>
        <v>548.0994758605957</v>
      </c>
      <c r="F27" s="224">
        <f>SUM($E$6:E27)/A27</f>
        <v>1000.8945047205144</v>
      </c>
      <c r="G27" s="223">
        <f>SUM($D$6:D27)</f>
        <v>3724.0994758605957</v>
      </c>
      <c r="H27" s="222">
        <f>G27/F27</f>
        <v>3.7207712284328083</v>
      </c>
      <c r="J27">
        <v>0.8</v>
      </c>
      <c r="K27" s="215">
        <v>1035.9713066579195</v>
      </c>
    </row>
    <row r="28" spans="1:12" x14ac:dyDescent="0.25">
      <c r="A28" s="227">
        <v>23</v>
      </c>
      <c r="B28" s="226">
        <v>15800</v>
      </c>
      <c r="C28" s="225">
        <f>$D$4*B27+(1-$D$4)*C27</f>
        <v>15774.049737930298</v>
      </c>
      <c r="D28" s="223">
        <f>B28-C28</f>
        <v>25.950262069702148</v>
      </c>
      <c r="E28" s="223">
        <f>ABS(D28)</f>
        <v>25.950262069702148</v>
      </c>
      <c r="F28" s="224">
        <f>SUM($E$6:E28)/A28</f>
        <v>958.5056246052618</v>
      </c>
      <c r="G28" s="223">
        <f>SUM($D$6:D28)</f>
        <v>3750.0497379302979</v>
      </c>
      <c r="H28" s="222">
        <f>G28/F28</f>
        <v>3.9123920002813426</v>
      </c>
      <c r="J28">
        <v>0.9</v>
      </c>
      <c r="K28" s="215">
        <v>1077.6428808235376</v>
      </c>
    </row>
    <row r="29" spans="1:12" ht="15.75" thickBot="1" x14ac:dyDescent="0.3">
      <c r="A29" s="221">
        <v>24</v>
      </c>
      <c r="B29" s="220">
        <v>16000</v>
      </c>
      <c r="C29" s="219">
        <f>$D$4*B28+(1-$D$4)*C28</f>
        <v>15787.024868965149</v>
      </c>
      <c r="D29" s="217">
        <f>B29-C29</f>
        <v>212.97513103485107</v>
      </c>
      <c r="E29" s="217">
        <f>ABS(D29)</f>
        <v>212.97513103485107</v>
      </c>
      <c r="F29" s="218">
        <f>SUM($E$6:E29)/A29</f>
        <v>927.44185403982794</v>
      </c>
      <c r="G29" s="217">
        <f>SUM($D$6:D29)</f>
        <v>3963.0248689651489</v>
      </c>
      <c r="H29" s="216">
        <f>G29/F29</f>
        <v>4.2730709765821731</v>
      </c>
      <c r="J29">
        <v>1</v>
      </c>
      <c r="K29" s="215">
        <v>1129.6666666666667</v>
      </c>
      <c r="L29" s="215">
        <f>MIN(K20:K29)</f>
        <v>886.48331141468805</v>
      </c>
    </row>
    <row r="30" spans="1:12" x14ac:dyDescent="0.25">
      <c r="C30" s="215"/>
      <c r="D30" s="214"/>
      <c r="E30" s="214"/>
    </row>
  </sheetData>
  <conditionalFormatting sqref="K20:K29">
    <cfRule type="cellIs" dxfId="2" priority="1" operator="equal">
      <formula>$L$29</formula>
    </cfRule>
    <cfRule type="cellIs" dxfId="1" priority="2" operator="equal">
      <formula>#REF!</formula>
    </cfRule>
  </conditionalFormatting>
  <pageMargins left="0.7" right="0.7" top="0.75" bottom="0.75" header="0.3" footer="0.3"/>
  <pageSetup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AF7B-C77E-47A5-ABDA-F6C3E0EBD513}">
  <dimension ref="A1:O30"/>
  <sheetViews>
    <sheetView workbookViewId="0">
      <selection activeCell="V12" sqref="V12:W13"/>
    </sheetView>
  </sheetViews>
  <sheetFormatPr defaultRowHeight="15" x14ac:dyDescent="0.25"/>
  <sheetData>
    <row r="1" spans="1:14" x14ac:dyDescent="0.25">
      <c r="H1" s="243"/>
    </row>
    <row r="2" spans="1:14" x14ac:dyDescent="0.25">
      <c r="D2" s="245" t="s">
        <v>145</v>
      </c>
      <c r="H2" s="243"/>
    </row>
    <row r="3" spans="1:14" ht="15.75" thickBot="1" x14ac:dyDescent="0.3">
      <c r="H3" s="243"/>
    </row>
    <row r="4" spans="1:14" ht="15.75" thickBot="1" x14ac:dyDescent="0.3">
      <c r="A4" s="242"/>
      <c r="B4" s="241"/>
      <c r="C4" s="239" t="s">
        <v>143</v>
      </c>
      <c r="D4" s="240">
        <v>0.5</v>
      </c>
      <c r="E4" s="241"/>
      <c r="F4" s="241"/>
      <c r="G4" s="239" t="s">
        <v>142</v>
      </c>
      <c r="H4" s="238">
        <f>I29</f>
        <v>927.44185403982794</v>
      </c>
      <c r="I4" s="241"/>
      <c r="J4" s="241"/>
      <c r="K4" s="237"/>
    </row>
    <row r="5" spans="1:14" ht="15.75" thickBot="1" x14ac:dyDescent="0.3">
      <c r="A5" s="254" t="s">
        <v>141</v>
      </c>
      <c r="B5" s="253" t="s">
        <v>0</v>
      </c>
      <c r="C5" s="253" t="s">
        <v>4</v>
      </c>
      <c r="D5" s="253" t="s">
        <v>152</v>
      </c>
      <c r="E5" s="253" t="s">
        <v>1</v>
      </c>
      <c r="F5" s="253" t="s">
        <v>151</v>
      </c>
      <c r="G5" s="253" t="s">
        <v>150</v>
      </c>
      <c r="H5" s="253" t="s">
        <v>149</v>
      </c>
      <c r="I5" s="253" t="s">
        <v>148</v>
      </c>
      <c r="J5" s="253" t="s">
        <v>138</v>
      </c>
      <c r="K5" s="252" t="s">
        <v>137</v>
      </c>
      <c r="N5" s="215"/>
    </row>
    <row r="6" spans="1:14" x14ac:dyDescent="0.25">
      <c r="A6" s="233">
        <v>1</v>
      </c>
      <c r="B6" s="232">
        <v>13400</v>
      </c>
      <c r="C6" s="231">
        <v>13912</v>
      </c>
      <c r="D6" s="229">
        <f>ABS(B6-C6)</f>
        <v>512</v>
      </c>
      <c r="E6" s="229">
        <f>D6/A6</f>
        <v>512</v>
      </c>
      <c r="F6" s="229">
        <f>B6-C6</f>
        <v>-512</v>
      </c>
      <c r="G6" s="229">
        <f>ABS(F6)</f>
        <v>512</v>
      </c>
      <c r="H6" s="229">
        <f>G6</f>
        <v>512</v>
      </c>
      <c r="I6" s="251">
        <f>H6/A6</f>
        <v>512</v>
      </c>
      <c r="J6" s="229">
        <f>F6</f>
        <v>-512</v>
      </c>
      <c r="K6" s="250">
        <f>J6/I6</f>
        <v>-1</v>
      </c>
      <c r="N6" s="215"/>
    </row>
    <row r="7" spans="1:14" x14ac:dyDescent="0.25">
      <c r="A7" s="227">
        <v>2</v>
      </c>
      <c r="B7" s="226">
        <v>14100</v>
      </c>
      <c r="C7" s="225">
        <f>$D$4*B6+(1-$D$4)*C6</f>
        <v>13656</v>
      </c>
      <c r="D7" s="223">
        <f>ABS(B7-C7)+D6</f>
        <v>956</v>
      </c>
      <c r="E7" s="223">
        <f>D7/A7</f>
        <v>478</v>
      </c>
      <c r="F7" s="223">
        <f>B7-C7</f>
        <v>444</v>
      </c>
      <c r="G7" s="223">
        <f>ABS(F7)</f>
        <v>444</v>
      </c>
      <c r="H7" s="223">
        <f>H6+G7</f>
        <v>956</v>
      </c>
      <c r="I7" s="249">
        <f>H7/A7</f>
        <v>478</v>
      </c>
      <c r="J7" s="223">
        <f>J6+F7</f>
        <v>-68</v>
      </c>
      <c r="K7" s="248">
        <f>J7/I7</f>
        <v>-0.14225941422594143</v>
      </c>
      <c r="N7" s="215"/>
    </row>
    <row r="8" spans="1:14" x14ac:dyDescent="0.25">
      <c r="A8" s="227">
        <v>3</v>
      </c>
      <c r="B8" s="226">
        <v>14700</v>
      </c>
      <c r="C8" s="225">
        <f>$D$4*B7+(1-$D$4)*C7</f>
        <v>13878</v>
      </c>
      <c r="D8" s="223">
        <f>ABS(B8-C8)+D7</f>
        <v>1778</v>
      </c>
      <c r="E8" s="223">
        <f>D8/A8</f>
        <v>592.66666666666663</v>
      </c>
      <c r="F8" s="223">
        <f>B8-C8</f>
        <v>822</v>
      </c>
      <c r="G8" s="223">
        <f>ABS(F8)</f>
        <v>822</v>
      </c>
      <c r="H8" s="223">
        <f>H7+G8</f>
        <v>1778</v>
      </c>
      <c r="I8" s="249">
        <f>H8/A8</f>
        <v>592.66666666666663</v>
      </c>
      <c r="J8" s="223">
        <f>J7+F8</f>
        <v>754</v>
      </c>
      <c r="K8" s="248">
        <f>J8/I8</f>
        <v>1.2722159730033746</v>
      </c>
      <c r="N8" s="215"/>
    </row>
    <row r="9" spans="1:14" x14ac:dyDescent="0.25">
      <c r="A9" s="227">
        <v>4</v>
      </c>
      <c r="B9" s="226">
        <v>15100</v>
      </c>
      <c r="C9" s="225">
        <f>$D$4*B8+(1-$D$4)*C8</f>
        <v>14289</v>
      </c>
      <c r="D9" s="223">
        <f>ABS(B9-C9)+D8</f>
        <v>2589</v>
      </c>
      <c r="E9" s="223">
        <f>D9/A9</f>
        <v>647.25</v>
      </c>
      <c r="F9" s="223">
        <f>B9-C9</f>
        <v>811</v>
      </c>
      <c r="G9" s="223">
        <f>ABS(F9)</f>
        <v>811</v>
      </c>
      <c r="H9" s="223">
        <f>H8+G9</f>
        <v>2589</v>
      </c>
      <c r="I9" s="249">
        <f>H9/A9</f>
        <v>647.25</v>
      </c>
      <c r="J9" s="223">
        <f>J8+F9</f>
        <v>1565</v>
      </c>
      <c r="K9" s="248">
        <f>J9/I9</f>
        <v>2.417921977597528</v>
      </c>
      <c r="N9" s="215"/>
    </row>
    <row r="10" spans="1:14" x14ac:dyDescent="0.25">
      <c r="A10" s="227">
        <v>5</v>
      </c>
      <c r="B10" s="226">
        <v>13400</v>
      </c>
      <c r="C10" s="225">
        <f>$D$4*B9+(1-$D$4)*C9</f>
        <v>14694.5</v>
      </c>
      <c r="D10" s="223">
        <f>ABS(B10-C10)+D9</f>
        <v>3883.5</v>
      </c>
      <c r="E10" s="223">
        <f>D10/A10</f>
        <v>776.7</v>
      </c>
      <c r="F10" s="223">
        <f>B10-C10</f>
        <v>-1294.5</v>
      </c>
      <c r="G10" s="223">
        <f>ABS(F10)</f>
        <v>1294.5</v>
      </c>
      <c r="H10" s="223">
        <f>H9+G10</f>
        <v>3883.5</v>
      </c>
      <c r="I10" s="249">
        <f>H10/A10</f>
        <v>776.7</v>
      </c>
      <c r="J10" s="223">
        <f>J9+F10</f>
        <v>270.5</v>
      </c>
      <c r="K10" s="248">
        <f>J10/I10</f>
        <v>0.34826831466460667</v>
      </c>
      <c r="N10" s="215"/>
    </row>
    <row r="11" spans="1:14" x14ac:dyDescent="0.25">
      <c r="A11" s="227">
        <v>6</v>
      </c>
      <c r="B11" s="226">
        <v>16000</v>
      </c>
      <c r="C11" s="225">
        <f>$D$4*B10+(1-$D$4)*C10</f>
        <v>14047.25</v>
      </c>
      <c r="D11" s="223">
        <f>ABS(B11-C11)+D10</f>
        <v>5836.25</v>
      </c>
      <c r="E11" s="223">
        <f>D11/A11</f>
        <v>972.70833333333337</v>
      </c>
      <c r="F11" s="223">
        <f>B11-C11</f>
        <v>1952.75</v>
      </c>
      <c r="G11" s="223">
        <f>ABS(F11)</f>
        <v>1952.75</v>
      </c>
      <c r="H11" s="223">
        <f>H10+G11</f>
        <v>5836.25</v>
      </c>
      <c r="I11" s="249">
        <f>H11/A11</f>
        <v>972.70833333333337</v>
      </c>
      <c r="J11" s="223">
        <f>J10+F11</f>
        <v>2223.25</v>
      </c>
      <c r="K11" s="248">
        <f>J11/I11</f>
        <v>2.2856286142642963</v>
      </c>
      <c r="N11" s="215"/>
    </row>
    <row r="12" spans="1:14" x14ac:dyDescent="0.25">
      <c r="A12" s="227">
        <v>7</v>
      </c>
      <c r="B12" s="226">
        <v>12700</v>
      </c>
      <c r="C12" s="225">
        <f>$D$4*B11+(1-$D$4)*C11</f>
        <v>15023.625</v>
      </c>
      <c r="D12" s="223">
        <f>ABS(B12-C12)+D11</f>
        <v>8159.875</v>
      </c>
      <c r="E12" s="223">
        <f>D12/A12</f>
        <v>1165.6964285714287</v>
      </c>
      <c r="F12" s="223">
        <f>B12-C12</f>
        <v>-2323.625</v>
      </c>
      <c r="G12" s="223">
        <f>ABS(F12)</f>
        <v>2323.625</v>
      </c>
      <c r="H12" s="223">
        <f>H11+G12</f>
        <v>8159.875</v>
      </c>
      <c r="I12" s="249">
        <f>H12/A12</f>
        <v>1165.6964285714287</v>
      </c>
      <c r="J12" s="223">
        <f>J11+F12</f>
        <v>-100.375</v>
      </c>
      <c r="K12" s="248">
        <f>J12/I12</f>
        <v>-8.6107323947977141E-2</v>
      </c>
      <c r="N12" s="215"/>
    </row>
    <row r="13" spans="1:14" x14ac:dyDescent="0.25">
      <c r="A13" s="227">
        <v>8</v>
      </c>
      <c r="B13" s="226">
        <v>15400</v>
      </c>
      <c r="C13" s="225">
        <f>$D$4*B12+(1-$D$4)*C12</f>
        <v>13861.8125</v>
      </c>
      <c r="D13" s="223">
        <f>ABS(B13-C13)+D12</f>
        <v>9698.0625</v>
      </c>
      <c r="E13" s="223">
        <f>D13/A13</f>
        <v>1212.2578125</v>
      </c>
      <c r="F13" s="223">
        <f>B13-C13</f>
        <v>1538.1875</v>
      </c>
      <c r="G13" s="223">
        <f>ABS(F13)</f>
        <v>1538.1875</v>
      </c>
      <c r="H13" s="223">
        <f>H12+G13</f>
        <v>9698.0625</v>
      </c>
      <c r="I13" s="249">
        <f>H13/A13</f>
        <v>1212.2578125</v>
      </c>
      <c r="J13" s="223">
        <f>J12+F13</f>
        <v>1437.8125</v>
      </c>
      <c r="K13" s="248">
        <f>J13/I13</f>
        <v>1.1860616489118316</v>
      </c>
      <c r="N13" s="215"/>
    </row>
    <row r="14" spans="1:14" x14ac:dyDescent="0.25">
      <c r="A14" s="227">
        <v>9</v>
      </c>
      <c r="B14" s="226">
        <v>13000</v>
      </c>
      <c r="C14" s="225">
        <f>$D$4*B13+(1-$D$4)*C13</f>
        <v>14630.90625</v>
      </c>
      <c r="D14" s="223">
        <f>ABS(B14-C14)+D13</f>
        <v>11328.96875</v>
      </c>
      <c r="E14" s="223">
        <f>D14/A14</f>
        <v>1258.7743055555557</v>
      </c>
      <c r="F14" s="223">
        <f>B14-C14</f>
        <v>-1630.90625</v>
      </c>
      <c r="G14" s="223">
        <f>ABS(F14)</f>
        <v>1630.90625</v>
      </c>
      <c r="H14" s="223">
        <f>H13+G14</f>
        <v>11328.96875</v>
      </c>
      <c r="I14" s="249">
        <f>H14/A14</f>
        <v>1258.7743055555557</v>
      </c>
      <c r="J14" s="223">
        <f>J13+F14</f>
        <v>-193.09375</v>
      </c>
      <c r="K14" s="248">
        <f>J14/I14</f>
        <v>-0.15339822964910199</v>
      </c>
      <c r="N14" s="215"/>
    </row>
    <row r="15" spans="1:14" x14ac:dyDescent="0.25">
      <c r="A15" s="227">
        <v>10</v>
      </c>
      <c r="B15" s="226">
        <v>16200</v>
      </c>
      <c r="C15" s="225">
        <f>$D$4*B14+(1-$D$4)*C14</f>
        <v>13815.453125</v>
      </c>
      <c r="D15" s="223">
        <f>ABS(B15-C15)+D14</f>
        <v>13713.515625</v>
      </c>
      <c r="E15" s="223">
        <f>D15/A15</f>
        <v>1371.3515625</v>
      </c>
      <c r="F15" s="223">
        <f>B15-C15</f>
        <v>2384.546875</v>
      </c>
      <c r="G15" s="223">
        <f>ABS(F15)</f>
        <v>2384.546875</v>
      </c>
      <c r="H15" s="223">
        <f>H14+G15</f>
        <v>13713.515625</v>
      </c>
      <c r="I15" s="249">
        <f>H15/A15</f>
        <v>1371.3515625</v>
      </c>
      <c r="J15" s="223">
        <f>J14+F15</f>
        <v>2191.453125</v>
      </c>
      <c r="K15" s="248">
        <f>J15/I15</f>
        <v>1.5980243031224899</v>
      </c>
      <c r="N15" s="215"/>
    </row>
    <row r="16" spans="1:14" x14ac:dyDescent="0.25">
      <c r="A16" s="227">
        <v>11</v>
      </c>
      <c r="B16" s="226">
        <v>16100</v>
      </c>
      <c r="C16" s="225">
        <f>$D$4*B15+(1-$D$4)*C15</f>
        <v>15007.7265625</v>
      </c>
      <c r="D16" s="223">
        <f>ABS(B16-C16)+D15</f>
        <v>14805.7890625</v>
      </c>
      <c r="E16" s="223">
        <f>D16/A16</f>
        <v>1345.9808238636363</v>
      </c>
      <c r="F16" s="223">
        <f>B16-C16</f>
        <v>1092.2734375</v>
      </c>
      <c r="G16" s="223">
        <f>ABS(F16)</f>
        <v>1092.2734375</v>
      </c>
      <c r="H16" s="223">
        <f>H15+G16</f>
        <v>14805.7890625</v>
      </c>
      <c r="I16" s="249">
        <f>H16/A16</f>
        <v>1345.9808238636363</v>
      </c>
      <c r="J16" s="223">
        <f>J15+F16</f>
        <v>3283.7265625</v>
      </c>
      <c r="K16" s="248">
        <f>J16/I16</f>
        <v>2.439653302841319</v>
      </c>
      <c r="M16" s="215"/>
    </row>
    <row r="17" spans="1:15" x14ac:dyDescent="0.25">
      <c r="A17" s="227">
        <v>12</v>
      </c>
      <c r="B17" s="226">
        <v>13500</v>
      </c>
      <c r="C17" s="225">
        <f>$D$4*B16+(1-$D$4)*C16</f>
        <v>15553.86328125</v>
      </c>
      <c r="D17" s="223">
        <f>ABS(B17-C17)+D16</f>
        <v>16859.65234375</v>
      </c>
      <c r="E17" s="223">
        <f>D17/A17</f>
        <v>1404.9710286458333</v>
      </c>
      <c r="F17" s="223">
        <f>B17-C17</f>
        <v>-2053.86328125</v>
      </c>
      <c r="G17" s="223">
        <f>ABS(F17)</f>
        <v>2053.86328125</v>
      </c>
      <c r="H17" s="223">
        <f>H16+G17</f>
        <v>16859.65234375</v>
      </c>
      <c r="I17" s="249">
        <f>H17/A17</f>
        <v>1404.9710286458333</v>
      </c>
      <c r="J17" s="223">
        <f>J16+F17</f>
        <v>1229.86328125</v>
      </c>
      <c r="K17" s="248">
        <f>J17/I17</f>
        <v>0.87536558133543219</v>
      </c>
      <c r="M17" s="215"/>
    </row>
    <row r="18" spans="1:15" x14ac:dyDescent="0.25">
      <c r="A18" s="227">
        <v>13</v>
      </c>
      <c r="B18" s="226">
        <v>14900</v>
      </c>
      <c r="C18" s="225">
        <f>$D$4*B17+(1-$D$4)*C17</f>
        <v>14526.931640625</v>
      </c>
      <c r="D18" s="223">
        <f>ABS(B18-C18)+D17</f>
        <v>17232.720703125</v>
      </c>
      <c r="E18" s="223">
        <f>D18/A18</f>
        <v>1325.5939002403845</v>
      </c>
      <c r="F18" s="223">
        <f>B18-C18</f>
        <v>373.068359375</v>
      </c>
      <c r="G18" s="223">
        <f>ABS(F18)</f>
        <v>373.068359375</v>
      </c>
      <c r="H18" s="223">
        <f>H17+G18</f>
        <v>17232.720703125</v>
      </c>
      <c r="I18" s="249">
        <f>H18/A18</f>
        <v>1325.5939002403845</v>
      </c>
      <c r="J18" s="223">
        <f>J17+F18</f>
        <v>1602.931640625</v>
      </c>
      <c r="K18" s="248">
        <f>J18/I18</f>
        <v>1.2092177252281584</v>
      </c>
      <c r="M18" s="215"/>
    </row>
    <row r="19" spans="1:15" x14ac:dyDescent="0.25">
      <c r="A19" s="227">
        <v>14</v>
      </c>
      <c r="B19" s="226">
        <v>15200</v>
      </c>
      <c r="C19" s="225">
        <f>$D$4*B18+(1-$D$4)*C18</f>
        <v>14713.4658203125</v>
      </c>
      <c r="D19" s="223">
        <f>ABS(B19-C19)+D18</f>
        <v>17719.2548828125</v>
      </c>
      <c r="E19" s="223">
        <f>D19/A19</f>
        <v>1265.6610630580358</v>
      </c>
      <c r="F19" s="223">
        <f>B19-C19</f>
        <v>486.5341796875</v>
      </c>
      <c r="G19" s="223">
        <f>ABS(F19)</f>
        <v>486.5341796875</v>
      </c>
      <c r="H19" s="223">
        <f>H18+G19</f>
        <v>17719.2548828125</v>
      </c>
      <c r="I19" s="249">
        <f>H19/A19</f>
        <v>1265.6610630580358</v>
      </c>
      <c r="J19" s="223">
        <f>J18+F19</f>
        <v>2089.4658203125</v>
      </c>
      <c r="K19" s="248">
        <f>J19/I19</f>
        <v>1.6508889159187869</v>
      </c>
      <c r="N19" s="215">
        <f>I29</f>
        <v>927.44185403982794</v>
      </c>
    </row>
    <row r="20" spans="1:15" x14ac:dyDescent="0.25">
      <c r="A20" s="227">
        <v>15</v>
      </c>
      <c r="B20" s="226">
        <v>15200</v>
      </c>
      <c r="C20" s="225">
        <f>$D$4*B19+(1-$D$4)*C19</f>
        <v>14956.73291015625</v>
      </c>
      <c r="D20" s="223">
        <f>ABS(B20-C20)+D19</f>
        <v>17962.52197265625</v>
      </c>
      <c r="E20" s="223">
        <f>D20/A20</f>
        <v>1197.50146484375</v>
      </c>
      <c r="F20" s="223">
        <f>B20-C20</f>
        <v>243.26708984375</v>
      </c>
      <c r="G20" s="223">
        <f>ABS(F20)</f>
        <v>243.26708984375</v>
      </c>
      <c r="H20" s="223">
        <f>H19+G20</f>
        <v>17962.52197265625</v>
      </c>
      <c r="I20" s="249">
        <f>H20/A20</f>
        <v>1197.50146484375</v>
      </c>
      <c r="J20" s="223">
        <f>J19+F20</f>
        <v>2332.73291015625</v>
      </c>
      <c r="K20" s="248">
        <f>J20/I20</f>
        <v>1.9480000472990027</v>
      </c>
      <c r="M20">
        <v>0.1</v>
      </c>
      <c r="N20" s="215">
        <f t="dataTable" ref="N20:N29" dt2D="0" dtr="0" r1="D4" ca="1"/>
        <v>1016.7623340931401</v>
      </c>
    </row>
    <row r="21" spans="1:15" x14ac:dyDescent="0.25">
      <c r="A21" s="227">
        <v>16</v>
      </c>
      <c r="B21" s="226">
        <v>15800</v>
      </c>
      <c r="C21" s="225">
        <f>$D$4*B20+(1-$D$4)*C20</f>
        <v>15078.366455078125</v>
      </c>
      <c r="D21" s="223">
        <f>ABS(B21-C21)+D20</f>
        <v>18684.155517578125</v>
      </c>
      <c r="E21" s="223">
        <f>D21/A21</f>
        <v>1167.7597198486328</v>
      </c>
      <c r="F21" s="223">
        <f>B21-C21</f>
        <v>721.633544921875</v>
      </c>
      <c r="G21" s="223">
        <f>ABS(F21)</f>
        <v>721.633544921875</v>
      </c>
      <c r="H21" s="223">
        <f>H20+G21</f>
        <v>18684.155517578125</v>
      </c>
      <c r="I21" s="249">
        <f>H21/A21</f>
        <v>1167.7597198486328</v>
      </c>
      <c r="J21" s="223">
        <f>J20+F21</f>
        <v>3054.366455078125</v>
      </c>
      <c r="K21" s="248">
        <f>J21/I21</f>
        <v>2.615577848047403</v>
      </c>
      <c r="M21">
        <v>0.2</v>
      </c>
      <c r="N21" s="215">
        <v>896.64739759219867</v>
      </c>
    </row>
    <row r="22" spans="1:15" x14ac:dyDescent="0.25">
      <c r="A22" s="227">
        <v>17</v>
      </c>
      <c r="B22" s="226">
        <v>16100</v>
      </c>
      <c r="C22" s="225">
        <f>$D$4*B21+(1-$D$4)*C21</f>
        <v>15439.183227539063</v>
      </c>
      <c r="D22" s="223">
        <f>ABS(B22-C22)+D21</f>
        <v>19344.972290039063</v>
      </c>
      <c r="E22" s="223">
        <f>D22/A22</f>
        <v>1137.9395464728859</v>
      </c>
      <c r="F22" s="223">
        <f>B22-C22</f>
        <v>660.8167724609375</v>
      </c>
      <c r="G22" s="223">
        <f>ABS(F22)</f>
        <v>660.8167724609375</v>
      </c>
      <c r="H22" s="223">
        <f>H21+G22</f>
        <v>19344.972290039063</v>
      </c>
      <c r="I22" s="249">
        <f>H22/A22</f>
        <v>1137.9395464728859</v>
      </c>
      <c r="J22" s="223">
        <f>J21+F22</f>
        <v>3715.1832275390625</v>
      </c>
      <c r="K22" s="248">
        <f>J22/I22</f>
        <v>3.2648335661191341</v>
      </c>
      <c r="M22">
        <v>0.3</v>
      </c>
      <c r="N22" s="215">
        <v>886.48331141468805</v>
      </c>
    </row>
    <row r="23" spans="1:15" x14ac:dyDescent="0.25">
      <c r="A23" s="227">
        <v>18</v>
      </c>
      <c r="B23" s="226">
        <v>16400</v>
      </c>
      <c r="C23" s="225">
        <f>$D$4*B22+(1-$D$4)*C22</f>
        <v>15769.591613769531</v>
      </c>
      <c r="D23" s="223">
        <f>ABS(B23-C23)+D22</f>
        <v>19975.380676269531</v>
      </c>
      <c r="E23" s="223">
        <f>D23/A23</f>
        <v>1109.7433709038628</v>
      </c>
      <c r="F23" s="223">
        <f>B23-C23</f>
        <v>630.40838623046875</v>
      </c>
      <c r="G23" s="223">
        <f>ABS(F23)</f>
        <v>630.40838623046875</v>
      </c>
      <c r="H23" s="223">
        <f>H22+G23</f>
        <v>19975.380676269531</v>
      </c>
      <c r="I23" s="249">
        <f>H23/A23</f>
        <v>1109.7433709038628</v>
      </c>
      <c r="J23" s="223">
        <f>J22+F23</f>
        <v>4345.5916137695313</v>
      </c>
      <c r="K23" s="248">
        <f>J23/I23</f>
        <v>3.9158527347003997</v>
      </c>
      <c r="M23">
        <v>0.4</v>
      </c>
      <c r="N23" s="215">
        <v>901.13415864890555</v>
      </c>
    </row>
    <row r="24" spans="1:15" x14ac:dyDescent="0.25">
      <c r="A24" s="227">
        <v>19</v>
      </c>
      <c r="B24" s="226">
        <v>15300</v>
      </c>
      <c r="C24" s="225">
        <f>$D$4*B23+(1-$D$4)*C23</f>
        <v>16084.795806884766</v>
      </c>
      <c r="D24" s="223">
        <f>ABS(B24-C24)+D23</f>
        <v>20760.176483154297</v>
      </c>
      <c r="E24" s="223">
        <f>D24/A24</f>
        <v>1092.6408675344367</v>
      </c>
      <c r="F24" s="223">
        <f>B24-C24</f>
        <v>-784.79580688476563</v>
      </c>
      <c r="G24" s="223">
        <f>ABS(F24)</f>
        <v>784.79580688476563</v>
      </c>
      <c r="H24" s="223">
        <f>H23+G24</f>
        <v>20760.176483154297</v>
      </c>
      <c r="I24" s="249">
        <f>H24/A24</f>
        <v>1092.6408675344367</v>
      </c>
      <c r="J24" s="223">
        <f>J23+F24</f>
        <v>3560.7958068847656</v>
      </c>
      <c r="K24" s="248">
        <f>J24/I24</f>
        <v>3.2588894601020773</v>
      </c>
      <c r="M24">
        <v>0.5</v>
      </c>
      <c r="N24" s="215">
        <v>927.44185403982794</v>
      </c>
    </row>
    <row r="25" spans="1:15" x14ac:dyDescent="0.25">
      <c r="A25" s="227">
        <v>20</v>
      </c>
      <c r="B25" s="226">
        <v>15900</v>
      </c>
      <c r="C25" s="225">
        <f>$D$4*B24+(1-$D$4)*C24</f>
        <v>15692.397903442383</v>
      </c>
      <c r="D25" s="223">
        <f>ABS(B25-C25)+D24</f>
        <v>20967.778579711914</v>
      </c>
      <c r="E25" s="223">
        <f>D25/A25</f>
        <v>1048.3889289855956</v>
      </c>
      <c r="F25" s="223">
        <f>B25-C25</f>
        <v>207.60209655761719</v>
      </c>
      <c r="G25" s="223">
        <f>ABS(F25)</f>
        <v>207.60209655761719</v>
      </c>
      <c r="H25" s="223">
        <f>H24+G25</f>
        <v>20967.778579711914</v>
      </c>
      <c r="I25" s="249">
        <f>H25/A25</f>
        <v>1048.3889289855956</v>
      </c>
      <c r="J25" s="223">
        <f>J24+F25</f>
        <v>3768.3979034423828</v>
      </c>
      <c r="K25" s="248">
        <f>J25/I25</f>
        <v>3.5944655645005947</v>
      </c>
      <c r="M25">
        <v>0.6</v>
      </c>
      <c r="N25" s="215">
        <v>960.05572566195917</v>
      </c>
    </row>
    <row r="26" spans="1:15" x14ac:dyDescent="0.25">
      <c r="A26" s="227">
        <v>21</v>
      </c>
      <c r="B26" s="226">
        <v>16300</v>
      </c>
      <c r="C26" s="225">
        <f>$D$4*B25+(1-$D$4)*C25</f>
        <v>15796.198951721191</v>
      </c>
      <c r="D26" s="223">
        <f>ABS(B26-C26)+D25</f>
        <v>21471.579627990723</v>
      </c>
      <c r="E26" s="223">
        <f>D26/A26</f>
        <v>1022.456172761463</v>
      </c>
      <c r="F26" s="223">
        <f>B26-C26</f>
        <v>503.80104827880859</v>
      </c>
      <c r="G26" s="223">
        <f>ABS(F26)</f>
        <v>503.80104827880859</v>
      </c>
      <c r="H26" s="223">
        <f>H25+G26</f>
        <v>21471.579627990723</v>
      </c>
      <c r="I26" s="249">
        <f>H26/A26</f>
        <v>1022.456172761463</v>
      </c>
      <c r="J26" s="223">
        <f>J25+F26</f>
        <v>4272.1989517211914</v>
      </c>
      <c r="K26" s="248">
        <f>J26/I26</f>
        <v>4.178368780524627</v>
      </c>
      <c r="M26">
        <v>0.7</v>
      </c>
      <c r="N26" s="215">
        <v>996.59915806342372</v>
      </c>
    </row>
    <row r="27" spans="1:15" x14ac:dyDescent="0.25">
      <c r="A27" s="227">
        <v>22</v>
      </c>
      <c r="B27" s="226">
        <v>15500</v>
      </c>
      <c r="C27" s="225">
        <f>$D$4*B26+(1-$D$4)*C26</f>
        <v>16048.099475860596</v>
      </c>
      <c r="D27" s="223">
        <f>ABS(B27-C27)+D26</f>
        <v>22019.679103851318</v>
      </c>
      <c r="E27" s="223">
        <f>D27/A27</f>
        <v>1000.8945047205144</v>
      </c>
      <c r="F27" s="223">
        <f>B27-C27</f>
        <v>-548.0994758605957</v>
      </c>
      <c r="G27" s="223">
        <f>ABS(F27)</f>
        <v>548.0994758605957</v>
      </c>
      <c r="H27" s="223">
        <f>H26+G27</f>
        <v>22019.679103851318</v>
      </c>
      <c r="I27" s="249">
        <f>H27/A27</f>
        <v>1000.8945047205144</v>
      </c>
      <c r="J27" s="223">
        <f>J26+F27</f>
        <v>3724.0994758605957</v>
      </c>
      <c r="K27" s="248">
        <f>J27/I27</f>
        <v>3.7207712284328083</v>
      </c>
      <c r="M27">
        <v>0.8</v>
      </c>
      <c r="N27" s="215">
        <v>1035.9713066579195</v>
      </c>
    </row>
    <row r="28" spans="1:15" x14ac:dyDescent="0.25">
      <c r="A28" s="227">
        <v>23</v>
      </c>
      <c r="B28" s="226">
        <v>15800</v>
      </c>
      <c r="C28" s="225">
        <f>$D$4*B27+(1-$D$4)*C27</f>
        <v>15774.049737930298</v>
      </c>
      <c r="D28" s="223">
        <f>ABS(B28-C28)+D27</f>
        <v>22045.629365921021</v>
      </c>
      <c r="E28" s="223">
        <f>D28/A28</f>
        <v>958.5056246052618</v>
      </c>
      <c r="F28" s="223">
        <f>B28-C28</f>
        <v>25.950262069702148</v>
      </c>
      <c r="G28" s="223">
        <f>ABS(F28)</f>
        <v>25.950262069702148</v>
      </c>
      <c r="H28" s="223">
        <f>H27+G28</f>
        <v>22045.629365921021</v>
      </c>
      <c r="I28" s="249">
        <f>H28/A28</f>
        <v>958.5056246052618</v>
      </c>
      <c r="J28" s="223">
        <f>J27+F28</f>
        <v>3750.0497379302979</v>
      </c>
      <c r="K28" s="248">
        <f>J28/I28</f>
        <v>3.9123920002813426</v>
      </c>
      <c r="M28">
        <v>0.9</v>
      </c>
      <c r="N28" s="215">
        <v>1077.6428808235376</v>
      </c>
    </row>
    <row r="29" spans="1:15" ht="15.75" thickBot="1" x14ac:dyDescent="0.3">
      <c r="A29" s="221">
        <v>24</v>
      </c>
      <c r="B29" s="220">
        <v>16000</v>
      </c>
      <c r="C29" s="219">
        <f>$D$4*B28+(1-$D$4)*C28</f>
        <v>15787.024868965149</v>
      </c>
      <c r="D29" s="217">
        <f>ABS(B29-C29)+D28</f>
        <v>22258.604496955872</v>
      </c>
      <c r="E29" s="217">
        <f>D29/A29</f>
        <v>927.44185403982794</v>
      </c>
      <c r="F29" s="217">
        <f>B29-C29</f>
        <v>212.97513103485107</v>
      </c>
      <c r="G29" s="217">
        <f>ABS(F29)</f>
        <v>212.97513103485107</v>
      </c>
      <c r="H29" s="217">
        <f>H28+G29</f>
        <v>22258.604496955872</v>
      </c>
      <c r="I29" s="247">
        <f>H29/A29</f>
        <v>927.44185403982794</v>
      </c>
      <c r="J29" s="217">
        <f>J28+F29</f>
        <v>3963.0248689651489</v>
      </c>
      <c r="K29" s="246">
        <f>J29/I29</f>
        <v>4.2730709765821731</v>
      </c>
      <c r="M29">
        <v>1</v>
      </c>
      <c r="N29" s="215">
        <v>1129.6666666666667</v>
      </c>
      <c r="O29" s="215">
        <f>MIN(N20:N29)</f>
        <v>886.48331141468805</v>
      </c>
    </row>
    <row r="30" spans="1:15" x14ac:dyDescent="0.25">
      <c r="C30" s="215"/>
      <c r="D30" s="214"/>
    </row>
  </sheetData>
  <conditionalFormatting sqref="N20:N29">
    <cfRule type="cellIs" dxfId="0" priority="1" operator="equal">
      <formula>$O$29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80"/>
  <sheetViews>
    <sheetView workbookViewId="0">
      <selection activeCell="AA25" sqref="AA25"/>
    </sheetView>
  </sheetViews>
  <sheetFormatPr defaultColWidth="9.140625" defaultRowHeight="12.75" x14ac:dyDescent="0.2"/>
  <cols>
    <col min="1" max="1" width="4.42578125" style="3" bestFit="1" customWidth="1"/>
    <col min="2" max="5" width="9.140625" style="3"/>
    <col min="6" max="6" width="10.7109375" style="3" bestFit="1" customWidth="1"/>
    <col min="7" max="8" width="5" style="3" bestFit="1" customWidth="1"/>
    <col min="9" max="9" width="9.7109375" style="3" bestFit="1" customWidth="1"/>
    <col min="10" max="10" width="5.85546875" style="3" bestFit="1" customWidth="1"/>
    <col min="11" max="11" width="4.7109375" style="3" bestFit="1" customWidth="1"/>
    <col min="12" max="12" width="8.5703125" style="3" bestFit="1" customWidth="1"/>
    <col min="13" max="16384" width="9.140625" style="3"/>
  </cols>
  <sheetData>
    <row r="1" spans="1:17" ht="13.5" thickBot="1" x14ac:dyDescent="0.25">
      <c r="A1" s="2" t="s">
        <v>5</v>
      </c>
      <c r="B1" s="3" t="s">
        <v>6</v>
      </c>
      <c r="C1" s="3" t="s">
        <v>7</v>
      </c>
      <c r="D1" s="3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</row>
    <row r="2" spans="1:17" ht="13.5" thickBot="1" x14ac:dyDescent="0.25">
      <c r="F2" s="5" t="str">
        <f>G2&amp;" - "&amp;H2</f>
        <v>100 - 200</v>
      </c>
      <c r="G2" s="6">
        <v>100</v>
      </c>
      <c r="H2" s="7">
        <f>G2+100</f>
        <v>200</v>
      </c>
      <c r="I2" s="8">
        <f t="shared" ref="I2:I14" si="0">COUNTIF($C$3:$C$77, "&lt;"&amp;H2)</f>
        <v>1</v>
      </c>
      <c r="J2" s="7">
        <f>I2</f>
        <v>1</v>
      </c>
      <c r="K2" s="9">
        <f>J2/$J$15</f>
        <v>1.3333333333333334E-2</v>
      </c>
      <c r="L2" s="10">
        <f>I2/$J$15</f>
        <v>1.3333333333333334E-2</v>
      </c>
      <c r="N2" s="11" t="s">
        <v>16</v>
      </c>
      <c r="O2" s="12">
        <f>AVERAGE(B$3:B$77)</f>
        <v>549.66666666666663</v>
      </c>
      <c r="P2" s="12">
        <f>AVERAGE(C$3:C$77)</f>
        <v>549.66666666666663</v>
      </c>
      <c r="Q2" s="13">
        <f>AVERAGE(D$3:D$77)</f>
        <v>549.66666666666663</v>
      </c>
    </row>
    <row r="3" spans="1:17" ht="13.5" thickBot="1" x14ac:dyDescent="0.25">
      <c r="A3" s="14">
        <v>1</v>
      </c>
      <c r="B3" s="15">
        <v>495</v>
      </c>
      <c r="C3" s="16">
        <v>176</v>
      </c>
      <c r="D3" s="17">
        <v>346</v>
      </c>
      <c r="F3" s="18" t="str">
        <f t="shared" ref="F3:F14" si="1">G3&amp;" - "&amp;H3</f>
        <v>200 - 300</v>
      </c>
      <c r="G3" s="19">
        <f>H2</f>
        <v>200</v>
      </c>
      <c r="H3" s="19">
        <f t="shared" ref="H3:H14" si="2">G3+100</f>
        <v>300</v>
      </c>
      <c r="I3" s="8">
        <f t="shared" si="0"/>
        <v>11</v>
      </c>
      <c r="J3" s="19">
        <f>I3-I2</f>
        <v>10</v>
      </c>
      <c r="K3" s="20">
        <f t="shared" ref="K3:K14" si="3">J3/$J$15</f>
        <v>0.13333333333333333</v>
      </c>
      <c r="L3" s="21">
        <f t="shared" ref="L3:L14" si="4">I3/$J$15</f>
        <v>0.14666666666666667</v>
      </c>
      <c r="N3" s="22" t="s">
        <v>17</v>
      </c>
      <c r="O3" s="23">
        <f>MAX(B$3:B$77)</f>
        <v>1330</v>
      </c>
      <c r="P3" s="23">
        <f>MAX(C$3:C$77)</f>
        <v>1330</v>
      </c>
      <c r="Q3" s="24">
        <f>MAX(D$3:D$77)</f>
        <v>1330</v>
      </c>
    </row>
    <row r="4" spans="1:17" ht="13.5" thickBot="1" x14ac:dyDescent="0.25">
      <c r="A4" s="14">
        <v>2</v>
      </c>
      <c r="B4" s="25">
        <v>204</v>
      </c>
      <c r="C4" s="26">
        <v>204</v>
      </c>
      <c r="D4" s="27">
        <v>775</v>
      </c>
      <c r="F4" s="18" t="str">
        <f t="shared" si="1"/>
        <v>300 - 400</v>
      </c>
      <c r="G4" s="19">
        <f t="shared" ref="G4:G13" si="5">H3</f>
        <v>300</v>
      </c>
      <c r="H4" s="19">
        <f t="shared" si="2"/>
        <v>400</v>
      </c>
      <c r="I4" s="8">
        <f t="shared" si="0"/>
        <v>24</v>
      </c>
      <c r="J4" s="19">
        <f t="shared" ref="J4:J14" si="6">I4-I3</f>
        <v>13</v>
      </c>
      <c r="K4" s="20">
        <f t="shared" si="3"/>
        <v>0.17333333333333334</v>
      </c>
      <c r="L4" s="21">
        <f t="shared" si="4"/>
        <v>0.32</v>
      </c>
      <c r="N4" s="22" t="s">
        <v>18</v>
      </c>
      <c r="O4" s="23">
        <f>MIN(B$3:B$77)</f>
        <v>176</v>
      </c>
      <c r="P4" s="23">
        <f>MIN(C$3:C$77)</f>
        <v>176</v>
      </c>
      <c r="Q4" s="24">
        <f>MIN(D$3:D$77)</f>
        <v>176</v>
      </c>
    </row>
    <row r="5" spans="1:17" ht="13.5" thickBot="1" x14ac:dyDescent="0.25">
      <c r="A5" s="14">
        <v>3</v>
      </c>
      <c r="B5" s="25">
        <v>318</v>
      </c>
      <c r="C5" s="26">
        <v>218</v>
      </c>
      <c r="D5" s="27">
        <v>572</v>
      </c>
      <c r="F5" s="18" t="str">
        <f t="shared" si="1"/>
        <v>400 - 500</v>
      </c>
      <c r="G5" s="19">
        <f t="shared" si="5"/>
        <v>400</v>
      </c>
      <c r="H5" s="19">
        <f t="shared" si="2"/>
        <v>500</v>
      </c>
      <c r="I5" s="8">
        <f t="shared" si="0"/>
        <v>33</v>
      </c>
      <c r="J5" s="19">
        <f t="shared" si="6"/>
        <v>9</v>
      </c>
      <c r="K5" s="20">
        <f t="shared" si="3"/>
        <v>0.12</v>
      </c>
      <c r="L5" s="21">
        <f t="shared" si="4"/>
        <v>0.44</v>
      </c>
      <c r="N5" s="22" t="s">
        <v>9</v>
      </c>
      <c r="O5" s="23">
        <f>O3-O4</f>
        <v>1154</v>
      </c>
      <c r="P5" s="23">
        <f>P3-P4</f>
        <v>1154</v>
      </c>
      <c r="Q5" s="24">
        <f>Q3-Q4</f>
        <v>1154</v>
      </c>
    </row>
    <row r="6" spans="1:17" ht="13.5" thickBot="1" x14ac:dyDescent="0.25">
      <c r="A6" s="14">
        <v>4</v>
      </c>
      <c r="B6" s="25">
        <v>802</v>
      </c>
      <c r="C6" s="26">
        <v>439</v>
      </c>
      <c r="D6" s="27">
        <v>455</v>
      </c>
      <c r="F6" s="18" t="str">
        <f t="shared" si="1"/>
        <v>500 - 600</v>
      </c>
      <c r="G6" s="19">
        <f t="shared" si="5"/>
        <v>500</v>
      </c>
      <c r="H6" s="19">
        <f t="shared" si="2"/>
        <v>600</v>
      </c>
      <c r="I6" s="8">
        <f t="shared" si="0"/>
        <v>49</v>
      </c>
      <c r="J6" s="19">
        <f t="shared" si="6"/>
        <v>16</v>
      </c>
      <c r="K6" s="20">
        <f t="shared" si="3"/>
        <v>0.21333333333333335</v>
      </c>
      <c r="L6" s="21">
        <f t="shared" si="4"/>
        <v>0.65333333333333332</v>
      </c>
      <c r="N6" s="22" t="s">
        <v>19</v>
      </c>
      <c r="O6" s="23">
        <f>_xlfn.STDEV.S(B$3:B$77)</f>
        <v>244.87626954727034</v>
      </c>
      <c r="P6" s="23">
        <f>_xlfn.STDEV.S(C$3:C$77)</f>
        <v>244.87626954727034</v>
      </c>
      <c r="Q6" s="24">
        <f>_xlfn.STDEV.S(D$3:D$77)</f>
        <v>244.87626954727034</v>
      </c>
    </row>
    <row r="7" spans="1:17" ht="13.5" thickBot="1" x14ac:dyDescent="0.25">
      <c r="A7" s="14">
        <v>5</v>
      </c>
      <c r="B7" s="25">
        <v>446</v>
      </c>
      <c r="C7" s="26">
        <v>229</v>
      </c>
      <c r="D7" s="27">
        <v>176</v>
      </c>
      <c r="F7" s="18" t="str">
        <f t="shared" si="1"/>
        <v>600 - 700</v>
      </c>
      <c r="G7" s="19">
        <f t="shared" si="5"/>
        <v>600</v>
      </c>
      <c r="H7" s="19">
        <f t="shared" si="2"/>
        <v>700</v>
      </c>
      <c r="I7" s="8">
        <f t="shared" si="0"/>
        <v>54</v>
      </c>
      <c r="J7" s="19">
        <f t="shared" si="6"/>
        <v>5</v>
      </c>
      <c r="K7" s="20">
        <f t="shared" si="3"/>
        <v>6.6666666666666666E-2</v>
      </c>
      <c r="L7" s="21">
        <f t="shared" si="4"/>
        <v>0.72</v>
      </c>
      <c r="N7" s="22" t="s">
        <v>20</v>
      </c>
      <c r="O7" s="23">
        <f>O6/O2</f>
        <v>0.44549958074094059</v>
      </c>
      <c r="P7" s="23">
        <f>P6/P2</f>
        <v>0.44549958074094059</v>
      </c>
      <c r="Q7" s="24">
        <f>Q6/Q2</f>
        <v>0.44549958074094059</v>
      </c>
    </row>
    <row r="8" spans="1:17" ht="13.5" thickBot="1" x14ac:dyDescent="0.25">
      <c r="A8" s="14">
        <v>6</v>
      </c>
      <c r="B8" s="25">
        <v>568</v>
      </c>
      <c r="C8" s="26">
        <v>249</v>
      </c>
      <c r="D8" s="27">
        <v>412</v>
      </c>
      <c r="F8" s="18" t="str">
        <f t="shared" si="1"/>
        <v>700 - 800</v>
      </c>
      <c r="G8" s="19">
        <f t="shared" si="5"/>
        <v>700</v>
      </c>
      <c r="H8" s="19">
        <f t="shared" si="2"/>
        <v>800</v>
      </c>
      <c r="I8" s="8">
        <f t="shared" si="0"/>
        <v>61</v>
      </c>
      <c r="J8" s="19">
        <f t="shared" si="6"/>
        <v>7</v>
      </c>
      <c r="K8" s="20">
        <f t="shared" si="3"/>
        <v>9.3333333333333338E-2</v>
      </c>
      <c r="L8" s="21">
        <f t="shared" si="4"/>
        <v>0.81333333333333335</v>
      </c>
      <c r="N8" s="22" t="s">
        <v>21</v>
      </c>
      <c r="O8" s="23">
        <f>O5/O2</f>
        <v>2.099454214675561</v>
      </c>
      <c r="P8" s="23">
        <f>P5/P2</f>
        <v>2.099454214675561</v>
      </c>
      <c r="Q8" s="24">
        <f>Q5/Q2</f>
        <v>2.099454214675561</v>
      </c>
    </row>
    <row r="9" spans="1:17" ht="13.5" thickBot="1" x14ac:dyDescent="0.25">
      <c r="A9" s="14">
        <v>7</v>
      </c>
      <c r="B9" s="25">
        <v>372</v>
      </c>
      <c r="C9" s="26">
        <v>227</v>
      </c>
      <c r="D9" s="27">
        <v>926</v>
      </c>
      <c r="F9" s="18" t="str">
        <f t="shared" si="1"/>
        <v>800 - 900</v>
      </c>
      <c r="G9" s="19">
        <f t="shared" si="5"/>
        <v>800</v>
      </c>
      <c r="H9" s="19">
        <f t="shared" si="2"/>
        <v>900</v>
      </c>
      <c r="I9" s="8">
        <f t="shared" si="0"/>
        <v>69</v>
      </c>
      <c r="J9" s="19">
        <f t="shared" si="6"/>
        <v>8</v>
      </c>
      <c r="K9" s="20">
        <f t="shared" si="3"/>
        <v>0.10666666666666667</v>
      </c>
      <c r="L9" s="21">
        <f t="shared" si="4"/>
        <v>0.92</v>
      </c>
      <c r="N9" s="28" t="s">
        <v>22</v>
      </c>
      <c r="O9" s="29">
        <f>SKEW(B$3:B$77)</f>
        <v>0.77576152004140142</v>
      </c>
      <c r="P9" s="29">
        <f>SKEW(C$3:C$77)</f>
        <v>0.77576152004140153</v>
      </c>
      <c r="Q9" s="30">
        <f>SKEW(D$3:D$77)</f>
        <v>0.77576152004140153</v>
      </c>
    </row>
    <row r="10" spans="1:17" ht="13.5" thickBot="1" x14ac:dyDescent="0.25">
      <c r="A10" s="14">
        <v>8</v>
      </c>
      <c r="B10" s="25">
        <v>281</v>
      </c>
      <c r="C10" s="26">
        <v>256</v>
      </c>
      <c r="D10" s="27">
        <v>710</v>
      </c>
      <c r="F10" s="18" t="str">
        <f t="shared" si="1"/>
        <v>900 - 1000</v>
      </c>
      <c r="G10" s="19">
        <f t="shared" si="5"/>
        <v>900</v>
      </c>
      <c r="H10" s="19">
        <f t="shared" si="2"/>
        <v>1000</v>
      </c>
      <c r="I10" s="8">
        <f t="shared" si="0"/>
        <v>71</v>
      </c>
      <c r="J10" s="19">
        <f t="shared" si="6"/>
        <v>2</v>
      </c>
      <c r="K10" s="20">
        <f t="shared" si="3"/>
        <v>2.6666666666666668E-2</v>
      </c>
      <c r="L10" s="21">
        <f t="shared" si="4"/>
        <v>0.94666666666666666</v>
      </c>
    </row>
    <row r="11" spans="1:17" ht="13.5" thickBot="1" x14ac:dyDescent="0.25">
      <c r="A11" s="14">
        <v>9</v>
      </c>
      <c r="B11" s="25">
        <v>676</v>
      </c>
      <c r="C11" s="26">
        <v>304</v>
      </c>
      <c r="D11" s="27">
        <v>514</v>
      </c>
      <c r="F11" s="18" t="str">
        <f t="shared" si="1"/>
        <v>1000 - 1100</v>
      </c>
      <c r="G11" s="19">
        <f t="shared" si="5"/>
        <v>1000</v>
      </c>
      <c r="H11" s="19">
        <f t="shared" si="2"/>
        <v>1100</v>
      </c>
      <c r="I11" s="8">
        <f t="shared" si="0"/>
        <v>73</v>
      </c>
      <c r="J11" s="19">
        <f t="shared" si="6"/>
        <v>2</v>
      </c>
      <c r="K11" s="20">
        <f t="shared" si="3"/>
        <v>2.6666666666666668E-2</v>
      </c>
      <c r="L11" s="21">
        <f t="shared" si="4"/>
        <v>0.97333333333333338</v>
      </c>
    </row>
    <row r="12" spans="1:17" ht="13.5" thickBot="1" x14ac:dyDescent="0.25">
      <c r="A12" s="14">
        <v>10</v>
      </c>
      <c r="B12" s="25">
        <v>755</v>
      </c>
      <c r="C12" s="26">
        <v>354</v>
      </c>
      <c r="D12" s="27">
        <v>281</v>
      </c>
      <c r="F12" s="18" t="str">
        <f t="shared" si="1"/>
        <v>1100 - 1200</v>
      </c>
      <c r="G12" s="19">
        <f t="shared" si="5"/>
        <v>1100</v>
      </c>
      <c r="H12" s="19">
        <f t="shared" si="2"/>
        <v>1200</v>
      </c>
      <c r="I12" s="8">
        <f t="shared" si="0"/>
        <v>74</v>
      </c>
      <c r="J12" s="19">
        <f t="shared" si="6"/>
        <v>1</v>
      </c>
      <c r="K12" s="20">
        <f t="shared" si="3"/>
        <v>1.3333333333333334E-2</v>
      </c>
      <c r="L12" s="21">
        <f t="shared" si="4"/>
        <v>0.98666666666666669</v>
      </c>
    </row>
    <row r="13" spans="1:17" ht="13.5" thickBot="1" x14ac:dyDescent="0.25">
      <c r="A13" s="14">
        <v>11</v>
      </c>
      <c r="B13" s="25">
        <v>503</v>
      </c>
      <c r="C13" s="26">
        <v>289</v>
      </c>
      <c r="D13" s="27">
        <v>412</v>
      </c>
      <c r="F13" s="18" t="str">
        <f t="shared" si="1"/>
        <v>1200 - 1300</v>
      </c>
      <c r="G13" s="19">
        <f t="shared" si="5"/>
        <v>1200</v>
      </c>
      <c r="H13" s="19">
        <f t="shared" si="2"/>
        <v>1300</v>
      </c>
      <c r="I13" s="8">
        <f t="shared" si="0"/>
        <v>74</v>
      </c>
      <c r="J13" s="19">
        <f t="shared" si="6"/>
        <v>0</v>
      </c>
      <c r="K13" s="20">
        <f t="shared" si="3"/>
        <v>0</v>
      </c>
      <c r="L13" s="21">
        <f t="shared" si="4"/>
        <v>0.98666666666666669</v>
      </c>
    </row>
    <row r="14" spans="1:17" ht="13.5" thickBot="1" x14ac:dyDescent="0.25">
      <c r="A14" s="14">
        <v>12</v>
      </c>
      <c r="B14" s="25">
        <v>511</v>
      </c>
      <c r="C14" s="26">
        <v>273</v>
      </c>
      <c r="D14" s="27">
        <v>939</v>
      </c>
      <c r="F14" s="31" t="str">
        <f t="shared" si="1"/>
        <v>1300 - 1400</v>
      </c>
      <c r="G14" s="32">
        <f>H13</f>
        <v>1300</v>
      </c>
      <c r="H14" s="32">
        <f t="shared" si="2"/>
        <v>1400</v>
      </c>
      <c r="I14" s="33">
        <f t="shared" si="0"/>
        <v>75</v>
      </c>
      <c r="J14" s="32">
        <f t="shared" si="6"/>
        <v>1</v>
      </c>
      <c r="K14" s="34">
        <f t="shared" si="3"/>
        <v>1.3333333333333334E-2</v>
      </c>
      <c r="L14" s="35">
        <f t="shared" si="4"/>
        <v>1</v>
      </c>
    </row>
    <row r="15" spans="1:17" x14ac:dyDescent="0.2">
      <c r="A15" s="14">
        <v>13</v>
      </c>
      <c r="B15" s="25">
        <v>229</v>
      </c>
      <c r="C15" s="26">
        <v>315</v>
      </c>
      <c r="D15" s="27">
        <v>718</v>
      </c>
      <c r="J15" s="36">
        <f>SUM(J2:J14)</f>
        <v>75</v>
      </c>
      <c r="K15" s="36">
        <f>SUM(K2:K14)</f>
        <v>0.99999999999999989</v>
      </c>
      <c r="L15" s="36"/>
    </row>
    <row r="16" spans="1:17" x14ac:dyDescent="0.2">
      <c r="A16" s="14">
        <v>14</v>
      </c>
      <c r="B16" s="25">
        <v>439</v>
      </c>
      <c r="C16" s="26">
        <v>346</v>
      </c>
      <c r="D16" s="27">
        <v>520</v>
      </c>
    </row>
    <row r="17" spans="1:4" x14ac:dyDescent="0.2">
      <c r="A17" s="14">
        <v>15</v>
      </c>
      <c r="B17" s="25">
        <v>412</v>
      </c>
      <c r="C17" s="26">
        <v>318</v>
      </c>
      <c r="D17" s="27">
        <v>289</v>
      </c>
    </row>
    <row r="18" spans="1:4" x14ac:dyDescent="0.2">
      <c r="A18" s="14">
        <v>16</v>
      </c>
      <c r="B18" s="25">
        <v>775</v>
      </c>
      <c r="C18" s="26">
        <v>330</v>
      </c>
      <c r="D18" s="27">
        <v>434</v>
      </c>
    </row>
    <row r="19" spans="1:4" x14ac:dyDescent="0.2">
      <c r="A19" s="14">
        <v>17</v>
      </c>
      <c r="B19" s="25">
        <v>330</v>
      </c>
      <c r="C19" s="26">
        <v>359</v>
      </c>
      <c r="D19" s="27">
        <v>1045</v>
      </c>
    </row>
    <row r="20" spans="1:4" x14ac:dyDescent="0.2">
      <c r="A20" s="14">
        <v>18</v>
      </c>
      <c r="B20" s="25">
        <v>289</v>
      </c>
      <c r="C20" s="26">
        <v>370</v>
      </c>
      <c r="D20" s="27">
        <v>719</v>
      </c>
    </row>
    <row r="21" spans="1:4" x14ac:dyDescent="0.2">
      <c r="A21" s="14">
        <v>19</v>
      </c>
      <c r="B21" s="25">
        <v>1045</v>
      </c>
      <c r="C21" s="26">
        <v>348</v>
      </c>
      <c r="D21" s="27">
        <v>529</v>
      </c>
    </row>
    <row r="22" spans="1:4" x14ac:dyDescent="0.2">
      <c r="A22" s="14">
        <v>20</v>
      </c>
      <c r="B22" s="25">
        <v>348</v>
      </c>
      <c r="C22" s="26">
        <v>281</v>
      </c>
      <c r="D22" s="27">
        <v>304</v>
      </c>
    </row>
    <row r="23" spans="1:4" x14ac:dyDescent="0.2">
      <c r="A23" s="14">
        <v>21</v>
      </c>
      <c r="B23" s="25">
        <v>249</v>
      </c>
      <c r="C23" s="26">
        <v>356</v>
      </c>
      <c r="D23" s="27">
        <v>439</v>
      </c>
    </row>
    <row r="24" spans="1:4" x14ac:dyDescent="0.2">
      <c r="A24" s="14">
        <v>22</v>
      </c>
      <c r="B24" s="25">
        <v>218</v>
      </c>
      <c r="C24" s="26">
        <v>372</v>
      </c>
      <c r="D24" s="27">
        <v>1045</v>
      </c>
    </row>
    <row r="25" spans="1:4" x14ac:dyDescent="0.2">
      <c r="A25" s="14">
        <v>23</v>
      </c>
      <c r="B25" s="25">
        <v>603</v>
      </c>
      <c r="C25" s="26">
        <v>377</v>
      </c>
      <c r="D25" s="27">
        <v>730</v>
      </c>
    </row>
    <row r="26" spans="1:4" x14ac:dyDescent="0.2">
      <c r="A26" s="14">
        <v>24</v>
      </c>
      <c r="B26" s="25">
        <v>412</v>
      </c>
      <c r="C26" s="26">
        <v>412</v>
      </c>
      <c r="D26" s="27">
        <v>532</v>
      </c>
    </row>
    <row r="27" spans="1:4" x14ac:dyDescent="0.2">
      <c r="A27" s="14">
        <v>25</v>
      </c>
      <c r="B27" s="25">
        <v>608</v>
      </c>
      <c r="C27" s="26">
        <v>503</v>
      </c>
      <c r="D27" s="27">
        <v>315</v>
      </c>
    </row>
    <row r="28" spans="1:4" x14ac:dyDescent="0.2">
      <c r="A28" s="14">
        <v>26</v>
      </c>
      <c r="B28" s="25">
        <v>540</v>
      </c>
      <c r="C28" s="26">
        <v>381</v>
      </c>
      <c r="D28" s="27">
        <v>446</v>
      </c>
    </row>
    <row r="29" spans="1:4" x14ac:dyDescent="0.2">
      <c r="A29" s="14">
        <v>27</v>
      </c>
      <c r="B29" s="25">
        <v>744</v>
      </c>
      <c r="C29" s="26">
        <v>434</v>
      </c>
      <c r="D29" s="27">
        <v>1133</v>
      </c>
    </row>
    <row r="30" spans="1:4" x14ac:dyDescent="0.2">
      <c r="A30" s="14">
        <v>28</v>
      </c>
      <c r="B30" s="25">
        <v>465</v>
      </c>
      <c r="C30" s="26">
        <v>229</v>
      </c>
      <c r="D30" s="27">
        <v>744</v>
      </c>
    </row>
    <row r="31" spans="1:4" x14ac:dyDescent="0.2">
      <c r="A31" s="14">
        <v>29</v>
      </c>
      <c r="B31" s="25">
        <v>577</v>
      </c>
      <c r="C31" s="26">
        <v>446</v>
      </c>
      <c r="D31" s="27">
        <v>540</v>
      </c>
    </row>
    <row r="32" spans="1:4" x14ac:dyDescent="0.2">
      <c r="A32" s="14">
        <v>30</v>
      </c>
      <c r="B32" s="25">
        <v>576</v>
      </c>
      <c r="C32" s="26">
        <v>450</v>
      </c>
      <c r="D32" s="27">
        <v>318</v>
      </c>
    </row>
    <row r="33" spans="1:4" x14ac:dyDescent="0.2">
      <c r="A33" s="14">
        <v>31</v>
      </c>
      <c r="B33" s="25">
        <v>681</v>
      </c>
      <c r="C33" s="26">
        <v>455</v>
      </c>
      <c r="D33" s="27">
        <v>450</v>
      </c>
    </row>
    <row r="34" spans="1:4" x14ac:dyDescent="0.2">
      <c r="A34" s="14">
        <v>32</v>
      </c>
      <c r="B34" s="25">
        <v>842</v>
      </c>
      <c r="C34" s="26">
        <v>465</v>
      </c>
      <c r="D34" s="27">
        <v>1330</v>
      </c>
    </row>
    <row r="35" spans="1:4" x14ac:dyDescent="0.2">
      <c r="A35" s="14">
        <v>33</v>
      </c>
      <c r="B35" s="25">
        <v>256</v>
      </c>
      <c r="C35" s="26">
        <v>495</v>
      </c>
      <c r="D35" s="27">
        <v>755</v>
      </c>
    </row>
    <row r="36" spans="1:4" x14ac:dyDescent="0.2">
      <c r="A36" s="14">
        <v>34</v>
      </c>
      <c r="B36" s="25">
        <v>851</v>
      </c>
      <c r="C36" s="26">
        <v>500</v>
      </c>
      <c r="D36" s="27">
        <v>568</v>
      </c>
    </row>
    <row r="37" spans="1:4" x14ac:dyDescent="0.2">
      <c r="A37" s="14">
        <v>35</v>
      </c>
      <c r="B37" s="25">
        <v>273</v>
      </c>
      <c r="C37" s="26">
        <v>412</v>
      </c>
      <c r="D37" s="27">
        <v>330</v>
      </c>
    </row>
    <row r="38" spans="1:4" x14ac:dyDescent="0.2">
      <c r="A38" s="14">
        <v>36</v>
      </c>
      <c r="B38" s="25">
        <v>856</v>
      </c>
      <c r="C38" s="26">
        <v>508</v>
      </c>
      <c r="D38" s="27">
        <v>348</v>
      </c>
    </row>
    <row r="39" spans="1:4" x14ac:dyDescent="0.2">
      <c r="A39" s="14">
        <v>37</v>
      </c>
      <c r="B39" s="25">
        <v>532</v>
      </c>
      <c r="C39" s="26">
        <v>511</v>
      </c>
      <c r="D39" s="27">
        <v>802</v>
      </c>
    </row>
    <row r="40" spans="1:4" x14ac:dyDescent="0.2">
      <c r="A40" s="14">
        <v>38</v>
      </c>
      <c r="B40" s="25">
        <v>508</v>
      </c>
      <c r="C40" s="26">
        <v>612</v>
      </c>
      <c r="D40" s="27">
        <v>576</v>
      </c>
    </row>
    <row r="41" spans="1:4" x14ac:dyDescent="0.2">
      <c r="A41" s="14">
        <v>39</v>
      </c>
      <c r="B41" s="25">
        <v>434</v>
      </c>
      <c r="C41" s="26">
        <v>511</v>
      </c>
      <c r="D41" s="27">
        <v>465</v>
      </c>
    </row>
    <row r="42" spans="1:4" x14ac:dyDescent="0.2">
      <c r="A42" s="14">
        <v>40</v>
      </c>
      <c r="B42" s="25">
        <v>597</v>
      </c>
      <c r="C42" s="26">
        <v>514</v>
      </c>
      <c r="D42" s="27">
        <v>204</v>
      </c>
    </row>
    <row r="43" spans="1:4" x14ac:dyDescent="0.2">
      <c r="A43" s="14">
        <v>41</v>
      </c>
      <c r="B43" s="25">
        <v>315</v>
      </c>
      <c r="C43" s="26">
        <v>520</v>
      </c>
      <c r="D43" s="27">
        <v>354</v>
      </c>
    </row>
    <row r="44" spans="1:4" x14ac:dyDescent="0.2">
      <c r="A44" s="14">
        <v>42</v>
      </c>
      <c r="B44" s="25">
        <v>1045</v>
      </c>
      <c r="C44" s="26">
        <v>710</v>
      </c>
      <c r="D44" s="27">
        <v>836</v>
      </c>
    </row>
    <row r="45" spans="1:4" x14ac:dyDescent="0.2">
      <c r="A45" s="14">
        <v>43</v>
      </c>
      <c r="B45" s="25">
        <v>370</v>
      </c>
      <c r="C45" s="26">
        <v>532</v>
      </c>
      <c r="D45" s="27">
        <v>577</v>
      </c>
    </row>
    <row r="46" spans="1:4" x14ac:dyDescent="0.2">
      <c r="A46" s="14">
        <v>44</v>
      </c>
      <c r="B46" s="25">
        <v>354</v>
      </c>
      <c r="C46" s="26">
        <v>540</v>
      </c>
      <c r="D46" s="27">
        <v>495</v>
      </c>
    </row>
    <row r="47" spans="1:4" x14ac:dyDescent="0.2">
      <c r="A47" s="14">
        <v>45</v>
      </c>
      <c r="B47" s="25">
        <v>500</v>
      </c>
      <c r="C47" s="26">
        <v>568</v>
      </c>
      <c r="D47" s="27">
        <v>218</v>
      </c>
    </row>
    <row r="48" spans="1:4" x14ac:dyDescent="0.2">
      <c r="A48" s="14">
        <v>46</v>
      </c>
      <c r="B48" s="25">
        <v>520</v>
      </c>
      <c r="C48" s="26">
        <v>572</v>
      </c>
      <c r="D48" s="27">
        <v>356</v>
      </c>
    </row>
    <row r="49" spans="1:4" x14ac:dyDescent="0.2">
      <c r="A49" s="14">
        <v>47</v>
      </c>
      <c r="B49" s="25">
        <v>356</v>
      </c>
      <c r="C49" s="26">
        <v>576</v>
      </c>
      <c r="D49" s="27">
        <v>842</v>
      </c>
    </row>
    <row r="50" spans="1:4" x14ac:dyDescent="0.2">
      <c r="A50" s="14">
        <v>48</v>
      </c>
      <c r="B50" s="25">
        <v>572</v>
      </c>
      <c r="C50" s="26">
        <v>577</v>
      </c>
      <c r="D50" s="27">
        <v>597</v>
      </c>
    </row>
    <row r="51" spans="1:4" x14ac:dyDescent="0.2">
      <c r="A51" s="14">
        <v>49</v>
      </c>
      <c r="B51" s="25">
        <v>514</v>
      </c>
      <c r="C51" s="26">
        <v>836</v>
      </c>
      <c r="D51" s="27">
        <v>500</v>
      </c>
    </row>
    <row r="52" spans="1:4" x14ac:dyDescent="0.2">
      <c r="A52" s="14">
        <v>50</v>
      </c>
      <c r="B52" s="25">
        <v>842</v>
      </c>
      <c r="C52" s="26">
        <v>603</v>
      </c>
      <c r="D52" s="27">
        <v>227</v>
      </c>
    </row>
    <row r="53" spans="1:4" x14ac:dyDescent="0.2">
      <c r="A53" s="14">
        <v>51</v>
      </c>
      <c r="B53" s="25">
        <v>176</v>
      </c>
      <c r="C53" s="26">
        <v>608</v>
      </c>
      <c r="D53" s="27">
        <v>359</v>
      </c>
    </row>
    <row r="54" spans="1:4" x14ac:dyDescent="0.2">
      <c r="A54" s="14">
        <v>52</v>
      </c>
      <c r="B54" s="25">
        <v>730</v>
      </c>
      <c r="C54" s="26">
        <v>511</v>
      </c>
      <c r="D54" s="27">
        <v>842</v>
      </c>
    </row>
    <row r="55" spans="1:4" x14ac:dyDescent="0.2">
      <c r="A55" s="14">
        <v>53</v>
      </c>
      <c r="B55" s="25">
        <v>377</v>
      </c>
      <c r="C55" s="26">
        <v>676</v>
      </c>
      <c r="D55" s="27">
        <v>603</v>
      </c>
    </row>
    <row r="56" spans="1:4" x14ac:dyDescent="0.2">
      <c r="A56" s="14">
        <v>54</v>
      </c>
      <c r="B56" s="25">
        <v>866</v>
      </c>
      <c r="C56" s="26">
        <v>681</v>
      </c>
      <c r="D56" s="27">
        <v>503</v>
      </c>
    </row>
    <row r="57" spans="1:4" x14ac:dyDescent="0.2">
      <c r="A57" s="14">
        <v>55</v>
      </c>
      <c r="B57" s="25">
        <v>939</v>
      </c>
      <c r="C57" s="26">
        <v>529</v>
      </c>
      <c r="D57" s="27">
        <v>229</v>
      </c>
    </row>
    <row r="58" spans="1:4" x14ac:dyDescent="0.2">
      <c r="A58" s="14">
        <v>56</v>
      </c>
      <c r="B58" s="25">
        <v>926</v>
      </c>
      <c r="C58" s="26">
        <v>718</v>
      </c>
      <c r="D58" s="27">
        <v>370</v>
      </c>
    </row>
    <row r="59" spans="1:4" x14ac:dyDescent="0.2">
      <c r="A59" s="14">
        <v>57</v>
      </c>
      <c r="B59" s="25">
        <v>229</v>
      </c>
      <c r="C59" s="26">
        <v>719</v>
      </c>
      <c r="D59" s="27">
        <v>843</v>
      </c>
    </row>
    <row r="60" spans="1:4" x14ac:dyDescent="0.2">
      <c r="A60" s="14">
        <v>58</v>
      </c>
      <c r="B60" s="25">
        <v>304</v>
      </c>
      <c r="C60" s="26">
        <v>730</v>
      </c>
      <c r="D60" s="27">
        <v>608</v>
      </c>
    </row>
    <row r="61" spans="1:4" x14ac:dyDescent="0.2">
      <c r="A61" s="14">
        <v>59</v>
      </c>
      <c r="B61" s="25">
        <v>450</v>
      </c>
      <c r="C61" s="26">
        <v>866</v>
      </c>
      <c r="D61" s="27">
        <v>508</v>
      </c>
    </row>
    <row r="62" spans="1:4" x14ac:dyDescent="0.2">
      <c r="A62" s="14">
        <v>60</v>
      </c>
      <c r="B62" s="25">
        <v>843</v>
      </c>
      <c r="C62" s="26">
        <v>755</v>
      </c>
      <c r="D62" s="27">
        <v>229</v>
      </c>
    </row>
    <row r="63" spans="1:4" x14ac:dyDescent="0.2">
      <c r="A63" s="14">
        <v>61</v>
      </c>
      <c r="B63" s="25">
        <v>1330</v>
      </c>
      <c r="C63" s="26">
        <v>775</v>
      </c>
      <c r="D63" s="27">
        <v>372</v>
      </c>
    </row>
    <row r="64" spans="1:4" x14ac:dyDescent="0.2">
      <c r="A64" s="14">
        <v>62</v>
      </c>
      <c r="B64" s="25">
        <v>455</v>
      </c>
      <c r="C64" s="26">
        <v>802</v>
      </c>
      <c r="D64" s="27">
        <v>851</v>
      </c>
    </row>
    <row r="65" spans="1:5" x14ac:dyDescent="0.2">
      <c r="A65" s="14">
        <v>63</v>
      </c>
      <c r="B65" s="25">
        <v>359</v>
      </c>
      <c r="C65" s="26">
        <v>597</v>
      </c>
      <c r="D65" s="27">
        <v>612</v>
      </c>
    </row>
    <row r="66" spans="1:5" x14ac:dyDescent="0.2">
      <c r="A66" s="14">
        <v>64</v>
      </c>
      <c r="B66" s="25">
        <v>1133</v>
      </c>
      <c r="C66" s="26">
        <v>842</v>
      </c>
      <c r="D66" s="27">
        <v>511</v>
      </c>
    </row>
    <row r="67" spans="1:5" x14ac:dyDescent="0.2">
      <c r="A67" s="14">
        <v>65</v>
      </c>
      <c r="B67" s="25">
        <v>710</v>
      </c>
      <c r="C67" s="26">
        <v>851</v>
      </c>
      <c r="D67" s="27">
        <v>249</v>
      </c>
    </row>
    <row r="68" spans="1:5" x14ac:dyDescent="0.2">
      <c r="A68" s="14">
        <v>66</v>
      </c>
      <c r="B68" s="25">
        <v>719</v>
      </c>
      <c r="C68" s="26">
        <v>843</v>
      </c>
      <c r="D68" s="27">
        <v>377</v>
      </c>
    </row>
    <row r="69" spans="1:5" x14ac:dyDescent="0.2">
      <c r="A69" s="14">
        <v>67</v>
      </c>
      <c r="B69" s="25">
        <v>346</v>
      </c>
      <c r="C69" s="26">
        <v>842</v>
      </c>
      <c r="D69" s="27">
        <v>856</v>
      </c>
    </row>
    <row r="70" spans="1:5" x14ac:dyDescent="0.2">
      <c r="A70" s="14">
        <v>68</v>
      </c>
      <c r="B70" s="25">
        <v>511</v>
      </c>
      <c r="C70" s="26">
        <v>856</v>
      </c>
      <c r="D70" s="27">
        <v>676</v>
      </c>
    </row>
    <row r="71" spans="1:5" x14ac:dyDescent="0.2">
      <c r="A71" s="14">
        <v>69</v>
      </c>
      <c r="B71" s="25">
        <v>718</v>
      </c>
      <c r="C71" s="26">
        <v>744</v>
      </c>
      <c r="D71" s="27">
        <v>511</v>
      </c>
    </row>
    <row r="72" spans="1:5" x14ac:dyDescent="0.2">
      <c r="A72" s="14">
        <v>70</v>
      </c>
      <c r="B72" s="25">
        <v>381</v>
      </c>
      <c r="C72" s="26">
        <v>926</v>
      </c>
      <c r="D72" s="27">
        <v>256</v>
      </c>
    </row>
    <row r="73" spans="1:5" x14ac:dyDescent="0.2">
      <c r="A73" s="14">
        <v>71</v>
      </c>
      <c r="B73" s="25">
        <v>529</v>
      </c>
      <c r="C73" s="26">
        <v>939</v>
      </c>
      <c r="D73" s="27">
        <v>381</v>
      </c>
    </row>
    <row r="74" spans="1:5" x14ac:dyDescent="0.2">
      <c r="A74" s="14">
        <v>72</v>
      </c>
      <c r="B74" s="25">
        <v>227</v>
      </c>
      <c r="C74" s="26">
        <v>1045</v>
      </c>
      <c r="D74" s="27">
        <v>866</v>
      </c>
    </row>
    <row r="75" spans="1:5" x14ac:dyDescent="0.2">
      <c r="A75" s="14">
        <v>73</v>
      </c>
      <c r="B75" s="25">
        <v>612</v>
      </c>
      <c r="C75" s="26">
        <v>1330</v>
      </c>
      <c r="D75" s="27">
        <v>681</v>
      </c>
    </row>
    <row r="76" spans="1:5" x14ac:dyDescent="0.2">
      <c r="A76" s="14">
        <v>74</v>
      </c>
      <c r="B76" s="25">
        <v>836</v>
      </c>
      <c r="C76" s="26">
        <v>1133</v>
      </c>
      <c r="D76" s="27">
        <v>511</v>
      </c>
    </row>
    <row r="77" spans="1:5" x14ac:dyDescent="0.2">
      <c r="A77" s="14">
        <v>75</v>
      </c>
      <c r="B77" s="25">
        <v>511</v>
      </c>
      <c r="C77" s="26">
        <v>1045</v>
      </c>
      <c r="D77" s="27">
        <v>273</v>
      </c>
    </row>
    <row r="80" spans="1:5" x14ac:dyDescent="0.2">
      <c r="E80" s="37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1.Expo</vt:lpstr>
      <vt:lpstr>2.ES-MAD-TS</vt:lpstr>
      <vt:lpstr>3.ES-OptDataTab</vt:lpstr>
      <vt:lpstr>4.ES-OptSolver</vt:lpstr>
      <vt:lpstr>5.DatTabSolver</vt:lpstr>
      <vt:lpstr>6.1.25MAD&amp;MSE</vt:lpstr>
      <vt:lpstr>7.Game</vt:lpstr>
      <vt:lpstr>8a.Ga42ForcES-MAD.TS</vt:lpstr>
      <vt:lpstr>8b.Ga42ForcES-MSE</vt:lpstr>
      <vt:lpstr>8c.Ga42ForcReg</vt:lpstr>
      <vt:lpstr>0.ArdiData&amp;FixedData</vt:lpstr>
      <vt:lpstr>2.OPT.Alpha6ways</vt:lpstr>
      <vt:lpstr>TableLP(Good)</vt:lpstr>
      <vt:lpstr>TableLP(Bad)</vt:lpstr>
      <vt:lpstr>00.BookData</vt:lpstr>
      <vt:lpstr>'8b.Ga42ForcES-MSE'!Page2</vt:lpstr>
      <vt:lpstr>Page2</vt:lpstr>
      <vt:lpstr>Page2b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2022-01-18T12:12:36Z</dcterms:modified>
</cp:coreProperties>
</file>