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4.AggregatePlanning\"/>
    </mc:Choice>
  </mc:AlternateContent>
  <xr:revisionPtr revIDLastSave="0" documentId="13_ncr:1_{19452436-B0C5-4CEC-8484-04BA49E34FF3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0-AggregateProductData" sheetId="17" r:id="rId1"/>
    <sheet name="1.AggregatePlanBaseLP" sheetId="14" r:id="rId2"/>
    <sheet name="1.AggregatePlanBaseLP (2)" sheetId="26" r:id="rId3"/>
    <sheet name="1b.LP.Sensit-MorVarDem" sheetId="18" r:id="rId4"/>
    <sheet name="1c.LP.SensitLowCostHL" sheetId="19" r:id="rId5"/>
    <sheet name="2.Transportation" sheetId="16" r:id="rId6"/>
    <sheet name="2b.TransSensit-MorVarDem" sheetId="22" r:id="rId7"/>
    <sheet name="2c.TransSensitLowCostHL" sheetId="25" r:id="rId8"/>
    <sheet name="Planning-Ardavan" sheetId="9" r:id="rId9"/>
    <sheet name="Planning-Book" sheetId="13" r:id="rId10"/>
    <sheet name="Plan Chart" sheetId="10" r:id="rId11"/>
    <sheet name="Tables 8-2, 8-3" sheetId="8" r:id="rId12"/>
  </sheets>
  <definedNames>
    <definedName name="_xlnm.Print_Area" localSheetId="1">'1.AggregatePlanBaseLP'!$A$1:$K$18</definedName>
    <definedName name="_xlnm.Print_Area" localSheetId="2">'1.AggregatePlanBaseLP (2)'!$A$1:$L$18</definedName>
    <definedName name="_xlnm.Print_Area" localSheetId="3">'1b.LP.Sensit-MorVarDem'!$A$1:$K$18</definedName>
    <definedName name="_xlnm.Print_Area" localSheetId="4">'1c.LP.SensitLowCostHL'!$A$1:$K$18</definedName>
    <definedName name="_xlnm.Print_Area" localSheetId="8">'Planning-Ardavan'!$A$1:$J$15</definedName>
    <definedName name="_xlnm.Print_Area" localSheetId="9">'Planning-Book'!$A$1:$K$19</definedName>
    <definedName name="solver_adj" localSheetId="1" hidden="1">'1.AggregatePlanBaseLP'!$B$5:$I$10</definedName>
    <definedName name="solver_adj" localSheetId="2" hidden="1">'1.AggregatePlanBaseLP (2)'!$B$5:$I$10</definedName>
    <definedName name="solver_adj" localSheetId="3" hidden="1">'1b.LP.Sensit-MorVarDem'!$B$5:$I$10</definedName>
    <definedName name="solver_adj" localSheetId="4" hidden="1">'1c.LP.SensitLowCostHL'!$B$5:$I$10</definedName>
    <definedName name="solver_adj" localSheetId="5" hidden="1">'2.Transportation'!$L$5:$N$11,'2.Transportation'!$B$4:$G$21</definedName>
    <definedName name="solver_adj" localSheetId="6" hidden="1">'2b.TransSensit-MorVarDem'!$B$4:$G$21,'2b.TransSensit-MorVarDem'!$L$6:$N$11</definedName>
    <definedName name="solver_adj" localSheetId="7" hidden="1">'2c.TransSensitLowCostHL'!$B$4:$G$21,'2c.TransSensitLowCostHL'!$L$6:$N$11</definedName>
    <definedName name="solver_adj" localSheetId="8" hidden="1">'Planning-Ardavan'!$B$5:$I$10</definedName>
    <definedName name="solver_adj" localSheetId="9" hidden="1">'Planning-Book'!$B$5:$I$10</definedName>
    <definedName name="solver_cvg" localSheetId="1" hidden="1">0.001</definedName>
    <definedName name="solver_cvg" localSheetId="2" hidden="1">0.001</definedName>
    <definedName name="solver_cvg" localSheetId="3" hidden="1">0.001</definedName>
    <definedName name="solver_cvg" localSheetId="4" hidden="1">0.001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0.001</definedName>
    <definedName name="solver_cvg" localSheetId="9" hidden="1">0.001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ua" localSheetId="1" hidden="1">1</definedName>
    <definedName name="solver_dua" localSheetId="2" hidden="1">1</definedName>
    <definedName name="solver_dua" localSheetId="3" hidden="1">1</definedName>
    <definedName name="solver_dua" localSheetId="4" hidden="1">1</definedName>
    <definedName name="solver_dua" localSheetId="8" hidden="1">1</definedName>
    <definedName name="solver_dua" localSheetId="9" hidden="1">1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ng" localSheetId="4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8" hidden="1">2</definedName>
    <definedName name="solver_eng" localSheetId="9" hidden="1">2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ibd" localSheetId="1" hidden="1">2</definedName>
    <definedName name="solver_ibd" localSheetId="2" hidden="1">2</definedName>
    <definedName name="solver_ibd" localSheetId="3" hidden="1">2</definedName>
    <definedName name="solver_ibd" localSheetId="4" hidden="1">2</definedName>
    <definedName name="solver_ibd" localSheetId="8" hidden="1">2</definedName>
    <definedName name="solver_ibd" localSheetId="9" hidden="1">2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100</definedName>
    <definedName name="solver_itr" localSheetId="9" hidden="1">100</definedName>
    <definedName name="solver_lhs0" localSheetId="8" hidden="1">'Planning-Ardavan'!$I$10</definedName>
    <definedName name="solver_lhs0" localSheetId="9" hidden="1">'Planning-Book'!$O$5:$O$10</definedName>
    <definedName name="solver_lhs1" localSheetId="1" hidden="1">'1.AggregatePlanBaseLP'!$B$5:$I$10</definedName>
    <definedName name="solver_lhs1" localSheetId="2" hidden="1">'1.AggregatePlanBaseLP (2)'!$B$5:$I$10</definedName>
    <definedName name="solver_lhs1" localSheetId="3" hidden="1">'1b.LP.Sensit-MorVarDem'!$B$5:$I$10</definedName>
    <definedName name="solver_lhs1" localSheetId="4" hidden="1">'1c.LP.SensitLowCostHL'!$B$5:$I$10</definedName>
    <definedName name="solver_lhs1" localSheetId="5" hidden="1">'2.Transportation'!$B$22:$G$22</definedName>
    <definedName name="solver_lhs1" localSheetId="6" hidden="1">'2b.TransSensit-MorVarDem'!$B$22:$G$22</definedName>
    <definedName name="solver_lhs1" localSheetId="7" hidden="1">'2c.TransSensitLowCostHL'!$B$22:$G$22</definedName>
    <definedName name="solver_lhs1" localSheetId="8" hidden="1">'Planning-Ardavan'!$G$5:$G$10</definedName>
    <definedName name="solver_lhs1" localSheetId="9" hidden="1">'Planning-Book'!$B$5:$C$10</definedName>
    <definedName name="solver_lhs10" localSheetId="9" hidden="1">'Planning-Book'!$O$5:$O$10</definedName>
    <definedName name="solver_lhs2" localSheetId="1" hidden="1">'1.AggregatePlanBaseLP'!$B$5:$I$10</definedName>
    <definedName name="solver_lhs2" localSheetId="2" hidden="1">'1.AggregatePlanBaseLP (2)'!$H$10</definedName>
    <definedName name="solver_lhs2" localSheetId="3" hidden="1">'1b.LP.Sensit-MorVarDem'!$B$5:$I$10</definedName>
    <definedName name="solver_lhs2" localSheetId="4" hidden="1">'1c.LP.SensitLowCostHL'!$B$5:$I$10</definedName>
    <definedName name="solver_lhs2" localSheetId="5" hidden="1">'2.Transportation'!$H$4:$H$21</definedName>
    <definedName name="solver_lhs2" localSheetId="6" hidden="1">'2b.TransSensit-MorVarDem'!$H$4:$H$21</definedName>
    <definedName name="solver_lhs2" localSheetId="7" hidden="1">'2c.TransSensitLowCostHL'!$B$4:$G$21</definedName>
    <definedName name="solver_lhs2" localSheetId="8" hidden="1">'Planning-Ardavan'!$H$10</definedName>
    <definedName name="solver_lhs2" localSheetId="9" hidden="1">'Planning-Book'!$B$5:$I$10</definedName>
    <definedName name="solver_lhs3" localSheetId="1" hidden="1">'1.AggregatePlanBaseLP'!$E$10</definedName>
    <definedName name="solver_lhs3" localSheetId="2" hidden="1">'1.AggregatePlanBaseLP (2)'!$I$10</definedName>
    <definedName name="solver_lhs3" localSheetId="3" hidden="1">'1b.LP.Sensit-MorVarDem'!$E$10</definedName>
    <definedName name="solver_lhs3" localSheetId="4" hidden="1">'1c.LP.SensitLowCostHL'!$E$10</definedName>
    <definedName name="solver_lhs3" localSheetId="5" hidden="1">'2.Transportation'!$L$6:$N$11</definedName>
    <definedName name="solver_lhs3" localSheetId="6" hidden="1">'2b.TransSensit-MorVarDem'!$L$6:$N$11</definedName>
    <definedName name="solver_lhs3" localSheetId="7" hidden="1">'2c.TransSensitLowCostHL'!$H$4:$H$21</definedName>
    <definedName name="solver_lhs3" localSheetId="8" hidden="1">'Planning-Ardavan'!$I$10</definedName>
    <definedName name="solver_lhs3" localSheetId="9" hidden="1">'Planning-Book'!$F$10</definedName>
    <definedName name="solver_lhs4" localSheetId="1" hidden="1">'1.AggregatePlanBaseLP'!$F$10</definedName>
    <definedName name="solver_lhs4" localSheetId="2" hidden="1">'1.AggregatePlanBaseLP (2)'!$M$5:$M$10</definedName>
    <definedName name="solver_lhs4" localSheetId="3" hidden="1">'1b.LP.Sensit-MorVarDem'!$F$10</definedName>
    <definedName name="solver_lhs4" localSheetId="4" hidden="1">'1c.LP.SensitLowCostHL'!$F$10</definedName>
    <definedName name="solver_lhs4" localSheetId="5" hidden="1">'2.Transportation'!$O$6:$O$11</definedName>
    <definedName name="solver_lhs4" localSheetId="6" hidden="1">'2b.TransSensit-MorVarDem'!$O$6:$O$11</definedName>
    <definedName name="solver_lhs4" localSheetId="7" hidden="1">'2c.TransSensitLowCostHL'!$L$6:$N$11</definedName>
    <definedName name="solver_lhs4" localSheetId="8" hidden="1">'Planning-Ardavan'!$L$5:$L$10</definedName>
    <definedName name="solver_lhs4" localSheetId="9" hidden="1">'Planning-Book'!$G$10</definedName>
    <definedName name="solver_lhs5" localSheetId="1" hidden="1">'1.AggregatePlanBaseLP'!$M$5:$M$10</definedName>
    <definedName name="solver_lhs5" localSheetId="2" hidden="1">'1.AggregatePlanBaseLP (2)'!$N$5:$N$10</definedName>
    <definedName name="solver_lhs5" localSheetId="3" hidden="1">'1b.LP.Sensit-MorVarDem'!$M$5:$M$10</definedName>
    <definedName name="solver_lhs5" localSheetId="4" hidden="1">'1c.LP.SensitLowCostHL'!$M$5:$M$10</definedName>
    <definedName name="solver_lhs5" localSheetId="7" hidden="1">'2c.TransSensitLowCostHL'!$O$6:$O$11</definedName>
    <definedName name="solver_lhs5" localSheetId="8" hidden="1">'Planning-Ardavan'!$M$5:$M$10</definedName>
    <definedName name="solver_lhs5" localSheetId="9" hidden="1">'Planning-Book'!$M$5:$M$10</definedName>
    <definedName name="solver_lhs6" localSheetId="1" hidden="1">'1.AggregatePlanBaseLP'!$N$5:$N$10</definedName>
    <definedName name="solver_lhs6" localSheetId="2" hidden="1">'1.AggregatePlanBaseLP (2)'!$O$5:$O$10</definedName>
    <definedName name="solver_lhs6" localSheetId="3" hidden="1">'1b.LP.Sensit-MorVarDem'!$N$5:$N$10</definedName>
    <definedName name="solver_lhs6" localSheetId="4" hidden="1">'1c.LP.SensitLowCostHL'!$N$5:$N$10</definedName>
    <definedName name="solver_lhs6" localSheetId="8" hidden="1">'Planning-Ardavan'!$N$5:$N$10</definedName>
    <definedName name="solver_lhs6" localSheetId="9" hidden="1">'Planning-Book'!$N$5:$N$10</definedName>
    <definedName name="solver_lhs7" localSheetId="1" hidden="1">'1.AggregatePlanBaseLP'!$O$5:$O$10</definedName>
    <definedName name="solver_lhs7" localSheetId="2" hidden="1">'1.AggregatePlanBaseLP (2)'!$P$5:$P$10</definedName>
    <definedName name="solver_lhs7" localSheetId="3" hidden="1">'1b.LP.Sensit-MorVarDem'!$O$5:$O$10</definedName>
    <definedName name="solver_lhs7" localSheetId="4" hidden="1">'1c.LP.SensitLowCostHL'!$O$5:$O$10</definedName>
    <definedName name="solver_lhs7" localSheetId="8" hidden="1">'Planning-Ardavan'!$O$5:$O$10</definedName>
    <definedName name="solver_lhs7" localSheetId="9" hidden="1">'Planning-Book'!$O$5:$O$10</definedName>
    <definedName name="solver_lhs8" localSheetId="1" hidden="1">'1.AggregatePlanBaseLP'!$P$5:$P$10</definedName>
    <definedName name="solver_lhs8" localSheetId="2" hidden="1">'1.AggregatePlanBaseLP (2)'!$O$5:$O$10</definedName>
    <definedName name="solver_lhs8" localSheetId="3" hidden="1">'1b.LP.Sensit-MorVarDem'!$P$5:$P$10</definedName>
    <definedName name="solver_lhs8" localSheetId="4" hidden="1">'1c.LP.SensitLowCostHL'!$P$5:$P$10</definedName>
    <definedName name="solver_lhs8" localSheetId="8" hidden="1">'Planning-Ardavan'!#REF!</definedName>
    <definedName name="solver_lhs8" localSheetId="9" hidden="1">'Planning-Book'!$P$5:$P$10</definedName>
    <definedName name="solver_lhs9" localSheetId="1" hidden="1">'1.AggregatePlanBaseLP'!$P$5:$P$10</definedName>
    <definedName name="solver_lhs9" localSheetId="2" hidden="1">'1.AggregatePlanBaseLP (2)'!$O$5:$O$10</definedName>
    <definedName name="solver_lhs9" localSheetId="3" hidden="1">'1b.LP.Sensit-MorVarDem'!$P$5:$P$10</definedName>
    <definedName name="solver_lhs9" localSheetId="4" hidden="1">'1c.LP.SensitLowCostHL'!$P$5:$P$10</definedName>
    <definedName name="solver_lhs9" localSheetId="9" hidden="1">'Planning-Book'!$N$5:$N$10</definedName>
    <definedName name="solver_lin" localSheetId="1" hidden="1">1</definedName>
    <definedName name="solver_lin" localSheetId="2" hidden="1">1</definedName>
    <definedName name="solver_lin" localSheetId="3" hidden="1">1</definedName>
    <definedName name="solver_lin" localSheetId="4" hidden="1">1</definedName>
    <definedName name="solver_lin" localSheetId="8" hidden="1">1</definedName>
    <definedName name="solver_lin" localSheetId="9" hidden="1">1</definedName>
    <definedName name="solver_mip" localSheetId="1" hidden="1">1000</definedName>
    <definedName name="solver_mip" localSheetId="2" hidden="1">1000</definedName>
    <definedName name="solver_mip" localSheetId="3" hidden="1">1000</definedName>
    <definedName name="solver_mip" localSheetId="4" hidden="1">1000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1000</definedName>
    <definedName name="solver_mip" localSheetId="9" hidden="1">1000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neg" localSheetId="1" hidden="1">2</definedName>
    <definedName name="solver_neg" localSheetId="2" hidden="1">1</definedName>
    <definedName name="solver_neg" localSheetId="3" hidden="1">2</definedName>
    <definedName name="solver_neg" localSheetId="4" hidden="1">2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2</definedName>
    <definedName name="solver_neg" localSheetId="9" hidden="1">2</definedName>
    <definedName name="solver_nod" localSheetId="1" hidden="1">1000</definedName>
    <definedName name="solver_nod" localSheetId="2" hidden="1">1000</definedName>
    <definedName name="solver_nod" localSheetId="3" hidden="1">1000</definedName>
    <definedName name="solver_nod" localSheetId="4" hidden="1">1000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1000</definedName>
    <definedName name="solver_nod" localSheetId="9" hidden="1">1000</definedName>
    <definedName name="solver_num" localSheetId="1" hidden="1">8</definedName>
    <definedName name="solver_num" localSheetId="2" hidden="1">7</definedName>
    <definedName name="solver_num" localSheetId="3" hidden="1">8</definedName>
    <definedName name="solver_num" localSheetId="4" hidden="1">8</definedName>
    <definedName name="solver_num" localSheetId="5" hidden="1">4</definedName>
    <definedName name="solver_num" localSheetId="6" hidden="1">4</definedName>
    <definedName name="solver_num" localSheetId="7" hidden="1">5</definedName>
    <definedName name="solver_num" localSheetId="8" hidden="1">7</definedName>
    <definedName name="solver_num" localSheetId="9" hidden="1">8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ofx" localSheetId="1" hidden="1">2</definedName>
    <definedName name="solver_ofx" localSheetId="2" hidden="1">2</definedName>
    <definedName name="solver_ofx" localSheetId="3" hidden="1">2</definedName>
    <definedName name="solver_ofx" localSheetId="4" hidden="1">2</definedName>
    <definedName name="solver_ofx" localSheetId="8" hidden="1">2</definedName>
    <definedName name="solver_ofx" localSheetId="9" hidden="1">2</definedName>
    <definedName name="solver_opt" localSheetId="1" hidden="1">'1.AggregatePlanBaseLP'!$J$12</definedName>
    <definedName name="solver_opt" localSheetId="2" hidden="1">'1.AggregatePlanBaseLP (2)'!$J$12</definedName>
    <definedName name="solver_opt" localSheetId="3" hidden="1">'1b.LP.Sensit-MorVarDem'!$J$12</definedName>
    <definedName name="solver_opt" localSheetId="4" hidden="1">'1c.LP.SensitLowCostHL'!$J$12</definedName>
    <definedName name="solver_opt" localSheetId="5" hidden="1">'2.Transportation'!$N$17</definedName>
    <definedName name="solver_opt" localSheetId="6" hidden="1">'2b.TransSensit-MorVarDem'!$N$17</definedName>
    <definedName name="solver_opt" localSheetId="7" hidden="1">'2c.TransSensitLowCostHL'!$N$17</definedName>
    <definedName name="solver_opt" localSheetId="8" hidden="1">'Planning-Ardavan'!$C$15</definedName>
    <definedName name="solver_opt" localSheetId="9" hidden="1">'Planning-Book'!$C$16</definedName>
    <definedName name="solver_piv" localSheetId="1" hidden="1">0.000001</definedName>
    <definedName name="solver_piv" localSheetId="2" hidden="1">0.000001</definedName>
    <definedName name="solver_piv" localSheetId="3" hidden="1">0.000001</definedName>
    <definedName name="solver_piv" localSheetId="4" hidden="1">0.000001</definedName>
    <definedName name="solver_piv" localSheetId="8" hidden="1">0.000001</definedName>
    <definedName name="solver_piv" localSheetId="9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o" localSheetId="1" hidden="1">2</definedName>
    <definedName name="solver_pro" localSheetId="2" hidden="1">2</definedName>
    <definedName name="solver_pro" localSheetId="3" hidden="1">2</definedName>
    <definedName name="solver_pro" localSheetId="4" hidden="1">2</definedName>
    <definedName name="solver_pro" localSheetId="8" hidden="1">2</definedName>
    <definedName name="solver_pro" localSheetId="9" hidden="1">2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9" hidden="1">1</definedName>
    <definedName name="solver_red" localSheetId="1" hidden="1">0.000001</definedName>
    <definedName name="solver_red" localSheetId="2" hidden="1">0.000001</definedName>
    <definedName name="solver_red" localSheetId="3" hidden="1">0.000001</definedName>
    <definedName name="solver_red" localSheetId="4" hidden="1">0.000001</definedName>
    <definedName name="solver_red" localSheetId="8" hidden="1">0.000001</definedName>
    <definedName name="solver_red" localSheetId="9" hidden="1">0.000001</definedName>
    <definedName name="solver_rel0" localSheetId="8" hidden="1">1</definedName>
    <definedName name="solver_rel0" localSheetId="9" hidden="1">2</definedName>
    <definedName name="solver_rel1" localSheetId="1" hidden="1">4</definedName>
    <definedName name="solver_rel1" localSheetId="2" hidden="1">4</definedName>
    <definedName name="solver_rel1" localSheetId="3" hidden="1">4</definedName>
    <definedName name="solver_rel1" localSheetId="4" hidden="1">4</definedName>
    <definedName name="solver_rel1" localSheetId="5" hidden="1">3</definedName>
    <definedName name="solver_rel1" localSheetId="6" hidden="1">3</definedName>
    <definedName name="solver_rel1" localSheetId="7" hidden="1">3</definedName>
    <definedName name="solver_rel1" localSheetId="8" hidden="1">3</definedName>
    <definedName name="solver_rel1" localSheetId="9" hidden="1">4</definedName>
    <definedName name="solver_rel10" localSheetId="9" hidden="1">2</definedName>
    <definedName name="solver_rel2" localSheetId="1" hidden="1">3</definedName>
    <definedName name="solver_rel2" localSheetId="2" hidden="1">2</definedName>
    <definedName name="solver_rel2" localSheetId="3" hidden="1">3</definedName>
    <definedName name="solver_rel2" localSheetId="4" hidden="1">3</definedName>
    <definedName name="solver_rel2" localSheetId="5" hidden="1">1</definedName>
    <definedName name="solver_rel2" localSheetId="6" hidden="1">1</definedName>
    <definedName name="solver_rel2" localSheetId="7" hidden="1">4</definedName>
    <definedName name="solver_rel2" localSheetId="8" hidden="1">3</definedName>
    <definedName name="solver_rel2" localSheetId="9" hidden="1">3</definedName>
    <definedName name="solver_rel3" localSheetId="1" hidden="1">2</definedName>
    <definedName name="solver_rel3" localSheetId="2" hidden="1">2</definedName>
    <definedName name="solver_rel3" localSheetId="3" hidden="1">2</definedName>
    <definedName name="solver_rel3" localSheetId="4" hidden="1">2</definedName>
    <definedName name="solver_rel3" localSheetId="5" hidden="1">4</definedName>
    <definedName name="solver_rel3" localSheetId="6" hidden="1">4</definedName>
    <definedName name="solver_rel3" localSheetId="7" hidden="1">1</definedName>
    <definedName name="solver_rel3" localSheetId="8" hidden="1">2</definedName>
    <definedName name="solver_rel3" localSheetId="9" hidden="1">3</definedName>
    <definedName name="solver_rel4" localSheetId="1" hidden="1">2</definedName>
    <definedName name="solver_rel4" localSheetId="2" hidden="1">2</definedName>
    <definedName name="solver_rel4" localSheetId="3" hidden="1">2</definedName>
    <definedName name="solver_rel4" localSheetId="4" hidden="1">2</definedName>
    <definedName name="solver_rel4" localSheetId="5" hidden="1">2</definedName>
    <definedName name="solver_rel4" localSheetId="6" hidden="1">2</definedName>
    <definedName name="solver_rel4" localSheetId="7" hidden="1">4</definedName>
    <definedName name="solver_rel4" localSheetId="8" hidden="1">2</definedName>
    <definedName name="solver_rel4" localSheetId="9" hidden="1">1</definedName>
    <definedName name="solver_rel5" localSheetId="1" hidden="1">2</definedName>
    <definedName name="solver_rel5" localSheetId="2" hidden="1">1</definedName>
    <definedName name="solver_rel5" localSheetId="3" hidden="1">2</definedName>
    <definedName name="solver_rel5" localSheetId="4" hidden="1">2</definedName>
    <definedName name="solver_rel5" localSheetId="7" hidden="1">2</definedName>
    <definedName name="solver_rel5" localSheetId="8" hidden="1">1</definedName>
    <definedName name="solver_rel5" localSheetId="9" hidden="1">2</definedName>
    <definedName name="solver_rel6" localSheetId="1" hidden="1">1</definedName>
    <definedName name="solver_rel6" localSheetId="2" hidden="1">1</definedName>
    <definedName name="solver_rel6" localSheetId="3" hidden="1">1</definedName>
    <definedName name="solver_rel6" localSheetId="4" hidden="1">1</definedName>
    <definedName name="solver_rel6" localSheetId="8" hidden="1">1</definedName>
    <definedName name="solver_rel6" localSheetId="9" hidden="1">3</definedName>
    <definedName name="solver_rel7" localSheetId="1" hidden="1">2</definedName>
    <definedName name="solver_rel7" localSheetId="2" hidden="1">2</definedName>
    <definedName name="solver_rel7" localSheetId="3" hidden="1">2</definedName>
    <definedName name="solver_rel7" localSheetId="4" hidden="1">2</definedName>
    <definedName name="solver_rel7" localSheetId="8" hidden="1">2</definedName>
    <definedName name="solver_rel7" localSheetId="9" hidden="1">2</definedName>
    <definedName name="solver_rel8" localSheetId="1" hidden="1">1</definedName>
    <definedName name="solver_rel8" localSheetId="2" hidden="1">1</definedName>
    <definedName name="solver_rel8" localSheetId="3" hidden="1">1</definedName>
    <definedName name="solver_rel8" localSheetId="4" hidden="1">1</definedName>
    <definedName name="solver_rel8" localSheetId="8" hidden="1">3</definedName>
    <definedName name="solver_rel8" localSheetId="9" hidden="1">3</definedName>
    <definedName name="solver_rel9" localSheetId="1" hidden="1">1</definedName>
    <definedName name="solver_rel9" localSheetId="2" hidden="1">1</definedName>
    <definedName name="solver_rel9" localSheetId="3" hidden="1">1</definedName>
    <definedName name="solver_rel9" localSheetId="4" hidden="1">1</definedName>
    <definedName name="solver_rel9" localSheetId="9" hidden="1">3</definedName>
    <definedName name="solver_reo" localSheetId="1" hidden="1">2</definedName>
    <definedName name="solver_reo" localSheetId="2" hidden="1">2</definedName>
    <definedName name="solver_reo" localSheetId="3" hidden="1">2</definedName>
    <definedName name="solver_reo" localSheetId="4" hidden="1">2</definedName>
    <definedName name="solver_reo" localSheetId="8" hidden="1">2</definedName>
    <definedName name="solver_reo" localSheetId="9" hidden="1">2</definedName>
    <definedName name="solver_rep" localSheetId="1" hidden="1">2</definedName>
    <definedName name="solver_rep" localSheetId="2" hidden="1">2</definedName>
    <definedName name="solver_rep" localSheetId="3" hidden="1">2</definedName>
    <definedName name="solver_rep" localSheetId="4" hidden="1">2</definedName>
    <definedName name="solver_rep" localSheetId="8" hidden="1">2</definedName>
    <definedName name="solver_rep" localSheetId="9" hidden="1">2</definedName>
    <definedName name="solver_rhs0" localSheetId="8" hidden="1">0</definedName>
    <definedName name="solver_rhs0" localSheetId="9" hidden="1">0</definedName>
    <definedName name="solver_rhs1" localSheetId="1" hidden="1">"integer"</definedName>
    <definedName name="solver_rhs1" localSheetId="2" hidden="1">"integer"</definedName>
    <definedName name="solver_rhs1" localSheetId="3" hidden="1">"integer"</definedName>
    <definedName name="solver_rhs1" localSheetId="4" hidden="1">"integer"</definedName>
    <definedName name="solver_rhs1" localSheetId="5" hidden="1">'2.Transportation'!$B$23:$G$23</definedName>
    <definedName name="solver_rhs1" localSheetId="6" hidden="1">'2b.TransSensit-MorVarDem'!$B$23:$G$23</definedName>
    <definedName name="solver_rhs1" localSheetId="7" hidden="1">'2c.TransSensitLowCostHL'!$B$23:$G$23</definedName>
    <definedName name="solver_rhs1" localSheetId="8" hidden="1">0</definedName>
    <definedName name="solver_rhs1" localSheetId="9" hidden="1">"integer"</definedName>
    <definedName name="solver_rhs10" localSheetId="9" hidden="1">0</definedName>
    <definedName name="solver_rhs2" localSheetId="1" hidden="1">0</definedName>
    <definedName name="solver_rhs2" localSheetId="2" hidden="1">500</definedName>
    <definedName name="solver_rhs2" localSheetId="3" hidden="1">0</definedName>
    <definedName name="solver_rhs2" localSheetId="4" hidden="1">0</definedName>
    <definedName name="solver_rhs2" localSheetId="5" hidden="1">'2.Transportation'!$I$4:$I$21</definedName>
    <definedName name="solver_rhs2" localSheetId="6" hidden="1">'2b.TransSensit-MorVarDem'!$I$4:$I$21</definedName>
    <definedName name="solver_rhs2" localSheetId="7" hidden="1">"integer"</definedName>
    <definedName name="solver_rhs2" localSheetId="8" hidden="1">500</definedName>
    <definedName name="solver_rhs2" localSheetId="9" hidden="1">0</definedName>
    <definedName name="solver_rhs3" localSheetId="1" hidden="1">500</definedName>
    <definedName name="solver_rhs3" localSheetId="2" hidden="1">0</definedName>
    <definedName name="solver_rhs3" localSheetId="3" hidden="1">500</definedName>
    <definedName name="solver_rhs3" localSheetId="4" hidden="1">500</definedName>
    <definedName name="solver_rhs3" localSheetId="5" hidden="1">"integer"</definedName>
    <definedName name="solver_rhs3" localSheetId="6" hidden="1">"integer"</definedName>
    <definedName name="solver_rhs3" localSheetId="7" hidden="1">'2c.TransSensitLowCostHL'!$I$4:$I$21</definedName>
    <definedName name="solver_rhs3" localSheetId="8" hidden="1">0</definedName>
    <definedName name="solver_rhs3" localSheetId="9" hidden="1">500</definedName>
    <definedName name="solver_rhs4" localSheetId="1" hidden="1">0</definedName>
    <definedName name="solver_rhs4" localSheetId="2" hidden="1">0</definedName>
    <definedName name="solver_rhs4" localSheetId="3" hidden="1">0</definedName>
    <definedName name="solver_rhs4" localSheetId="4" hidden="1">0</definedName>
    <definedName name="solver_rhs4" localSheetId="5" hidden="1">0</definedName>
    <definedName name="solver_rhs4" localSheetId="6" hidden="1">0</definedName>
    <definedName name="solver_rhs4" localSheetId="7" hidden="1">"integer"</definedName>
    <definedName name="solver_rhs4" localSheetId="8" hidden="1">0</definedName>
    <definedName name="solver_rhs4" localSheetId="9" hidden="1">0</definedName>
    <definedName name="solver_rhs5" localSheetId="1" hidden="1">0</definedName>
    <definedName name="solver_rhs5" localSheetId="2" hidden="1">0</definedName>
    <definedName name="solver_rhs5" localSheetId="3" hidden="1">0</definedName>
    <definedName name="solver_rhs5" localSheetId="4" hidden="1">0</definedName>
    <definedName name="solver_rhs5" localSheetId="7" hidden="1">0</definedName>
    <definedName name="solver_rhs5" localSheetId="8" hidden="1">0</definedName>
    <definedName name="solver_rhs5" localSheetId="9" hidden="1">0</definedName>
    <definedName name="solver_rhs6" localSheetId="1" hidden="1">0</definedName>
    <definedName name="solver_rhs6" localSheetId="2" hidden="1">0</definedName>
    <definedName name="solver_rhs6" localSheetId="3" hidden="1">0</definedName>
    <definedName name="solver_rhs6" localSheetId="4" hidden="1">0</definedName>
    <definedName name="solver_rhs6" localSheetId="8" hidden="1">0</definedName>
    <definedName name="solver_rhs6" localSheetId="9" hidden="1">0</definedName>
    <definedName name="solver_rhs7" localSheetId="1" hidden="1">0</definedName>
    <definedName name="solver_rhs7" localSheetId="2" hidden="1">0</definedName>
    <definedName name="solver_rhs7" localSheetId="3" hidden="1">0</definedName>
    <definedName name="solver_rhs7" localSheetId="4" hidden="1">0</definedName>
    <definedName name="solver_rhs7" localSheetId="8" hidden="1">0</definedName>
    <definedName name="solver_rhs7" localSheetId="9" hidden="1">0</definedName>
    <definedName name="solver_rhs8" localSheetId="1" hidden="1">0</definedName>
    <definedName name="solver_rhs8" localSheetId="2" hidden="1">0</definedName>
    <definedName name="solver_rhs8" localSheetId="3" hidden="1">0</definedName>
    <definedName name="solver_rhs8" localSheetId="4" hidden="1">0</definedName>
    <definedName name="solver_rhs8" localSheetId="8" hidden="1">0</definedName>
    <definedName name="solver_rhs8" localSheetId="9" hidden="1">0</definedName>
    <definedName name="solver_rhs9" localSheetId="1" hidden="1">0</definedName>
    <definedName name="solver_rhs9" localSheetId="2" hidden="1">0</definedName>
    <definedName name="solver_rhs9" localSheetId="3" hidden="1">0</definedName>
    <definedName name="solver_rhs9" localSheetId="4" hidden="1">0</definedName>
    <definedName name="solver_rhs9" localSheetId="9" hidden="1">0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8" hidden="1">2</definedName>
    <definedName name="solver_scl" localSheetId="9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100</definedName>
    <definedName name="solver_tim" localSheetId="9" hidden="1">100</definedName>
    <definedName name="solver_tmp" localSheetId="1" hidden="1">0</definedName>
    <definedName name="solver_tmp" localSheetId="2" hidden="1">0</definedName>
    <definedName name="solver_tmp" localSheetId="3" hidden="1">0</definedName>
    <definedName name="solver_tmp" localSheetId="4" hidden="1">0</definedName>
    <definedName name="solver_tmp" localSheetId="8" hidden="1">0</definedName>
    <definedName name="solver_tmp" localSheetId="9" hidden="1">0</definedName>
    <definedName name="solver_tol" localSheetId="1" hidden="1">0.001</definedName>
    <definedName name="solver_tol" localSheetId="2" hidden="1">0.001</definedName>
    <definedName name="solver_tol" localSheetId="3" hidden="1">0.001</definedName>
    <definedName name="solver_tol" localSheetId="4" hidden="1">0.001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0.05</definedName>
    <definedName name="solver_tol" localSheetId="9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4" l="1"/>
  <c r="O10" i="26"/>
  <c r="M5" i="26"/>
  <c r="D11" i="26"/>
  <c r="C11" i="26"/>
  <c r="E11" i="26"/>
  <c r="F11" i="26"/>
  <c r="G11" i="26"/>
  <c r="H11" i="26"/>
  <c r="I11" i="26"/>
  <c r="B11" i="26"/>
  <c r="P6" i="26"/>
  <c r="P7" i="26"/>
  <c r="P8" i="26"/>
  <c r="P9" i="26"/>
  <c r="P10" i="26"/>
  <c r="P5" i="26"/>
  <c r="M6" i="26"/>
  <c r="M7" i="26"/>
  <c r="M8" i="26"/>
  <c r="M9" i="26"/>
  <c r="M10" i="26"/>
  <c r="F12" i="26"/>
  <c r="E12" i="26"/>
  <c r="T33" i="26"/>
  <c r="O5" i="26" s="1"/>
  <c r="T30" i="26"/>
  <c r="T31" i="26" s="1"/>
  <c r="N6" i="26" s="1"/>
  <c r="I12" i="26"/>
  <c r="H12" i="26"/>
  <c r="P6" i="14"/>
  <c r="P7" i="14"/>
  <c r="P8" i="14"/>
  <c r="P9" i="14"/>
  <c r="P10" i="14"/>
  <c r="P5" i="14"/>
  <c r="M5" i="14"/>
  <c r="N6" i="14"/>
  <c r="N7" i="14"/>
  <c r="N8" i="14"/>
  <c r="N9" i="14"/>
  <c r="N10" i="14"/>
  <c r="N5" i="14"/>
  <c r="J5" i="18"/>
  <c r="N5" i="26" l="1"/>
  <c r="O9" i="26"/>
  <c r="N10" i="26"/>
  <c r="O8" i="26"/>
  <c r="N9" i="26"/>
  <c r="O7" i="26"/>
  <c r="N8" i="26"/>
  <c r="O6" i="26"/>
  <c r="N7" i="26"/>
  <c r="T25" i="26"/>
  <c r="D12" i="26" s="1"/>
  <c r="J12" i="26" s="1"/>
  <c r="O7" i="22"/>
  <c r="O8" i="22"/>
  <c r="O9" i="22"/>
  <c r="O10" i="22"/>
  <c r="O11" i="22"/>
  <c r="O6" i="22"/>
  <c r="O7" i="16"/>
  <c r="O8" i="16"/>
  <c r="O9" i="16"/>
  <c r="O10" i="16"/>
  <c r="O11" i="16"/>
  <c r="O6" i="16"/>
  <c r="O7" i="25"/>
  <c r="O8" i="25"/>
  <c r="O9" i="25"/>
  <c r="O10" i="25"/>
  <c r="O11" i="25"/>
  <c r="O6" i="25"/>
  <c r="S33" i="25"/>
  <c r="S31" i="25"/>
  <c r="S30" i="25"/>
  <c r="S25" i="25" s="1"/>
  <c r="N15" i="25"/>
  <c r="G45" i="25"/>
  <c r="F45" i="25" s="1"/>
  <c r="E45" i="25" s="1"/>
  <c r="D45" i="25" s="1"/>
  <c r="C45" i="25" s="1"/>
  <c r="B45" i="25" s="1"/>
  <c r="G44" i="25"/>
  <c r="F44" i="25" s="1"/>
  <c r="E44" i="25" s="1"/>
  <c r="D44" i="25" s="1"/>
  <c r="C44" i="25" s="1"/>
  <c r="B44" i="25" s="1"/>
  <c r="G43" i="25"/>
  <c r="F43" i="25" s="1"/>
  <c r="E43" i="25" s="1"/>
  <c r="D43" i="25" s="1"/>
  <c r="C43" i="25" s="1"/>
  <c r="B43" i="25" s="1"/>
  <c r="F42" i="25"/>
  <c r="G42" i="25" s="1"/>
  <c r="F41" i="25"/>
  <c r="G41" i="25" s="1"/>
  <c r="F40" i="25"/>
  <c r="E40" i="25" s="1"/>
  <c r="D40" i="25" s="1"/>
  <c r="C40" i="25" s="1"/>
  <c r="B40" i="25" s="1"/>
  <c r="E39" i="25"/>
  <c r="F39" i="25" s="1"/>
  <c r="G39" i="25" s="1"/>
  <c r="E38" i="25"/>
  <c r="F38" i="25" s="1"/>
  <c r="G38" i="25" s="1"/>
  <c r="E37" i="25"/>
  <c r="F37" i="25" s="1"/>
  <c r="G37" i="25" s="1"/>
  <c r="D36" i="25"/>
  <c r="E36" i="25" s="1"/>
  <c r="F36" i="25" s="1"/>
  <c r="G36" i="25" s="1"/>
  <c r="D35" i="25"/>
  <c r="C35" i="25" s="1"/>
  <c r="B35" i="25" s="1"/>
  <c r="D34" i="25"/>
  <c r="E34" i="25" s="1"/>
  <c r="F34" i="25" s="1"/>
  <c r="G34" i="25" s="1"/>
  <c r="C33" i="25"/>
  <c r="D33" i="25" s="1"/>
  <c r="E33" i="25" s="1"/>
  <c r="F33" i="25" s="1"/>
  <c r="G33" i="25" s="1"/>
  <c r="C32" i="25"/>
  <c r="D32" i="25" s="1"/>
  <c r="E32" i="25" s="1"/>
  <c r="F32" i="25" s="1"/>
  <c r="G32" i="25" s="1"/>
  <c r="C31" i="25"/>
  <c r="D31" i="25" s="1"/>
  <c r="E31" i="25" s="1"/>
  <c r="F31" i="25" s="1"/>
  <c r="G31" i="25" s="1"/>
  <c r="B30" i="25"/>
  <c r="C30" i="25" s="1"/>
  <c r="D30" i="25" s="1"/>
  <c r="E30" i="25" s="1"/>
  <c r="F30" i="25" s="1"/>
  <c r="G30" i="25" s="1"/>
  <c r="B29" i="25"/>
  <c r="C29" i="25" s="1"/>
  <c r="D29" i="25" s="1"/>
  <c r="E29" i="25" s="1"/>
  <c r="F29" i="25" s="1"/>
  <c r="G29" i="25" s="1"/>
  <c r="B28" i="25"/>
  <c r="C28" i="25" s="1"/>
  <c r="D28" i="25" s="1"/>
  <c r="E28" i="25" s="1"/>
  <c r="F28" i="25" s="1"/>
  <c r="G28" i="25" s="1"/>
  <c r="G25" i="25"/>
  <c r="B25" i="25"/>
  <c r="G24" i="25" a="1"/>
  <c r="G24" i="25" s="1"/>
  <c r="G23" i="25" s="1"/>
  <c r="F24" i="25" a="1"/>
  <c r="F24" i="25" s="1"/>
  <c r="F23" i="25" s="1"/>
  <c r="E24" i="25" a="1"/>
  <c r="E24" i="25" s="1"/>
  <c r="E23" i="25" s="1"/>
  <c r="D24" i="25" a="1"/>
  <c r="D24" i="25" s="1"/>
  <c r="D23" i="25" s="1"/>
  <c r="C24" i="25" a="1"/>
  <c r="C24" i="25" s="1"/>
  <c r="C23" i="25" s="1"/>
  <c r="B24" i="25" a="1"/>
  <c r="B24" i="25" s="1"/>
  <c r="B23" i="25" s="1"/>
  <c r="G22" i="25"/>
  <c r="F22" i="25"/>
  <c r="E22" i="25"/>
  <c r="D22" i="25"/>
  <c r="C22" i="25"/>
  <c r="B22" i="25"/>
  <c r="H21" i="25"/>
  <c r="H20" i="25"/>
  <c r="H19" i="25"/>
  <c r="H18" i="25"/>
  <c r="H17" i="25"/>
  <c r="H16" i="25"/>
  <c r="H15" i="25"/>
  <c r="H14" i="25"/>
  <c r="N13" i="25"/>
  <c r="M13" i="25"/>
  <c r="H13" i="25"/>
  <c r="N12" i="25"/>
  <c r="M12" i="25"/>
  <c r="H12" i="25"/>
  <c r="H11" i="25"/>
  <c r="H10" i="25"/>
  <c r="H9" i="25"/>
  <c r="H8" i="25"/>
  <c r="H7" i="25"/>
  <c r="I4" i="25"/>
  <c r="H6" i="25"/>
  <c r="I5" i="25"/>
  <c r="H5" i="25"/>
  <c r="H4" i="25"/>
  <c r="I23" i="25" l="1"/>
  <c r="L13" i="25"/>
  <c r="C34" i="25"/>
  <c r="B34" i="25" s="1"/>
  <c r="D39" i="25"/>
  <c r="C39" i="25" s="1"/>
  <c r="B39" i="25" s="1"/>
  <c r="D37" i="25"/>
  <c r="C37" i="25" s="1"/>
  <c r="B37" i="25" s="1"/>
  <c r="B33" i="25"/>
  <c r="C36" i="25"/>
  <c r="B36" i="25" s="1"/>
  <c r="E42" i="25"/>
  <c r="D42" i="25" s="1"/>
  <c r="C42" i="25" s="1"/>
  <c r="B42" i="25" s="1"/>
  <c r="B31" i="25"/>
  <c r="I24" i="25"/>
  <c r="B32" i="25"/>
  <c r="D38" i="25"/>
  <c r="C38" i="25" s="1"/>
  <c r="B38" i="25" s="1"/>
  <c r="G40" i="25"/>
  <c r="E41" i="25"/>
  <c r="D41" i="25" s="1"/>
  <c r="C41" i="25" s="1"/>
  <c r="B41" i="25" s="1"/>
  <c r="E35" i="25"/>
  <c r="F35" i="25" s="1"/>
  <c r="G35" i="25" s="1"/>
  <c r="N16" i="25" l="1"/>
  <c r="I8" i="25"/>
  <c r="I7" i="25"/>
  <c r="G45" i="16"/>
  <c r="G44" i="16"/>
  <c r="G43" i="16"/>
  <c r="F42" i="16"/>
  <c r="F41" i="16"/>
  <c r="F40" i="16"/>
  <c r="E39" i="16"/>
  <c r="E38" i="16"/>
  <c r="E37" i="16"/>
  <c r="D36" i="16"/>
  <c r="D35" i="16"/>
  <c r="D34" i="16"/>
  <c r="C33" i="16"/>
  <c r="B33" i="16" s="1"/>
  <c r="C32" i="16"/>
  <c r="C31" i="16"/>
  <c r="B29" i="16"/>
  <c r="C29" i="16" s="1"/>
  <c r="D29" i="16" s="1"/>
  <c r="E29" i="16" s="1"/>
  <c r="F29" i="16" s="1"/>
  <c r="G29" i="16" s="1"/>
  <c r="J6" i="18"/>
  <c r="J7" i="18"/>
  <c r="O7" i="18" s="1"/>
  <c r="J8" i="18"/>
  <c r="J9" i="18"/>
  <c r="O9" i="18" s="1"/>
  <c r="J10" i="18"/>
  <c r="O5" i="18"/>
  <c r="D35" i="22"/>
  <c r="C35" i="22" s="1"/>
  <c r="B35" i="22" s="1"/>
  <c r="S34" i="22"/>
  <c r="S32" i="22"/>
  <c r="C32" i="22"/>
  <c r="D32" i="22" s="1"/>
  <c r="E32" i="22" s="1"/>
  <c r="F32" i="22" s="1"/>
  <c r="G32" i="22" s="1"/>
  <c r="S31" i="22"/>
  <c r="B30" i="22"/>
  <c r="C30" i="22" s="1"/>
  <c r="D30" i="22" s="1"/>
  <c r="E30" i="22" s="1"/>
  <c r="F30" i="22" s="1"/>
  <c r="G30" i="22" s="1"/>
  <c r="C29" i="22"/>
  <c r="D29" i="22" s="1"/>
  <c r="E29" i="22" s="1"/>
  <c r="F29" i="22" s="1"/>
  <c r="G29" i="22" s="1"/>
  <c r="B29" i="22"/>
  <c r="B28" i="22"/>
  <c r="C31" i="22" s="1"/>
  <c r="S25" i="22"/>
  <c r="G25" i="22"/>
  <c r="B25" i="22"/>
  <c r="G24" i="22" a="1"/>
  <c r="G24" i="22" s="1"/>
  <c r="G23" i="22" s="1"/>
  <c r="F24" i="22" a="1"/>
  <c r="F24" i="22" s="1"/>
  <c r="F23" i="22" s="1"/>
  <c r="E24" i="22" a="1"/>
  <c r="E24" i="22" s="1"/>
  <c r="E23" i="22" s="1"/>
  <c r="D24" i="22" a="1"/>
  <c r="D24" i="22" s="1"/>
  <c r="D23" i="22" s="1"/>
  <c r="C24" i="22" a="1"/>
  <c r="C24" i="22" s="1"/>
  <c r="C23" i="22" s="1"/>
  <c r="B24" i="22" a="1"/>
  <c r="B24" i="22" s="1"/>
  <c r="B23" i="22" s="1"/>
  <c r="G22" i="22"/>
  <c r="F22" i="22"/>
  <c r="E22" i="22"/>
  <c r="D22" i="22"/>
  <c r="C22" i="22"/>
  <c r="B22" i="22"/>
  <c r="H21" i="22"/>
  <c r="H20" i="22"/>
  <c r="H19" i="22"/>
  <c r="H18" i="22"/>
  <c r="H17" i="22"/>
  <c r="H16" i="22"/>
  <c r="N15" i="22"/>
  <c r="H15" i="22"/>
  <c r="H14" i="22"/>
  <c r="N13" i="22"/>
  <c r="M13" i="22"/>
  <c r="L13" i="22"/>
  <c r="H13" i="22"/>
  <c r="N12" i="22"/>
  <c r="M12" i="22"/>
  <c r="H12" i="22"/>
  <c r="H11" i="22"/>
  <c r="H10" i="22"/>
  <c r="H9" i="22"/>
  <c r="H8" i="22"/>
  <c r="H7" i="22"/>
  <c r="H6" i="22"/>
  <c r="H5" i="22"/>
  <c r="H4" i="22"/>
  <c r="N13" i="16"/>
  <c r="M13" i="16"/>
  <c r="B30" i="16"/>
  <c r="C30" i="16" s="1"/>
  <c r="D30" i="16" s="1"/>
  <c r="E30" i="16" s="1"/>
  <c r="F30" i="16" s="1"/>
  <c r="G30" i="16" s="1"/>
  <c r="B28" i="16"/>
  <c r="C28" i="16" s="1"/>
  <c r="G25" i="16"/>
  <c r="N15" i="16" s="1"/>
  <c r="B25" i="16"/>
  <c r="C24" i="16" a="1"/>
  <c r="C24" i="16" s="1"/>
  <c r="D24" i="16" a="1"/>
  <c r="D24" i="16" s="1"/>
  <c r="E24" i="16" a="1"/>
  <c r="E24" i="16" s="1"/>
  <c r="F24" i="16" a="1"/>
  <c r="F24" i="16" s="1"/>
  <c r="G24" i="16" a="1"/>
  <c r="G24" i="16" s="1"/>
  <c r="B24" i="16" a="1"/>
  <c r="B24" i="16" s="1"/>
  <c r="S34" i="16"/>
  <c r="S31" i="16"/>
  <c r="S25" i="16" s="1"/>
  <c r="L13" i="16" s="1"/>
  <c r="H4" i="16"/>
  <c r="I5" i="16"/>
  <c r="S33" i="19"/>
  <c r="S30" i="19"/>
  <c r="S31" i="19" s="1"/>
  <c r="I12" i="19"/>
  <c r="G12" i="19"/>
  <c r="F12" i="19"/>
  <c r="E12" i="19"/>
  <c r="D12" i="19"/>
  <c r="C12" i="19"/>
  <c r="B12" i="19"/>
  <c r="I11" i="19"/>
  <c r="H11" i="19"/>
  <c r="G11" i="19"/>
  <c r="F11" i="19"/>
  <c r="E11" i="19"/>
  <c r="D11" i="19"/>
  <c r="C11" i="19"/>
  <c r="B11" i="19"/>
  <c r="P10" i="19"/>
  <c r="O10" i="19"/>
  <c r="M10" i="19"/>
  <c r="K10" i="19"/>
  <c r="P9" i="19"/>
  <c r="O9" i="19"/>
  <c r="M9" i="19"/>
  <c r="K9" i="19"/>
  <c r="P8" i="19"/>
  <c r="O8" i="19"/>
  <c r="M8" i="19"/>
  <c r="K8" i="19"/>
  <c r="P7" i="19"/>
  <c r="O7" i="19"/>
  <c r="M7" i="19"/>
  <c r="K7" i="19"/>
  <c r="P6" i="19"/>
  <c r="O6" i="19"/>
  <c r="M6" i="19"/>
  <c r="K6" i="19"/>
  <c r="P5" i="19"/>
  <c r="O5" i="19"/>
  <c r="M5" i="19"/>
  <c r="K5" i="19"/>
  <c r="S33" i="18"/>
  <c r="S30" i="18"/>
  <c r="S31" i="18" s="1"/>
  <c r="I12" i="18"/>
  <c r="G12" i="18"/>
  <c r="F12" i="18"/>
  <c r="E12" i="18"/>
  <c r="D12" i="18"/>
  <c r="C12" i="18"/>
  <c r="B12" i="18"/>
  <c r="I11" i="18"/>
  <c r="H11" i="18"/>
  <c r="G11" i="18"/>
  <c r="F11" i="18"/>
  <c r="E11" i="18"/>
  <c r="D11" i="18"/>
  <c r="C11" i="18"/>
  <c r="B11" i="18"/>
  <c r="P10" i="18"/>
  <c r="O10" i="18"/>
  <c r="M10" i="18"/>
  <c r="K10" i="18"/>
  <c r="P9" i="18"/>
  <c r="M9" i="18"/>
  <c r="K9" i="18"/>
  <c r="P8" i="18"/>
  <c r="O8" i="18"/>
  <c r="M8" i="18"/>
  <c r="K8" i="18"/>
  <c r="P7" i="18"/>
  <c r="M7" i="18"/>
  <c r="K7" i="18"/>
  <c r="P6" i="18"/>
  <c r="O6" i="18"/>
  <c r="M6" i="18"/>
  <c r="K6" i="18"/>
  <c r="P5" i="18"/>
  <c r="M5" i="18"/>
  <c r="K5" i="18"/>
  <c r="H8" i="17"/>
  <c r="G3" i="17"/>
  <c r="G4" i="17"/>
  <c r="G5" i="17"/>
  <c r="G6" i="17"/>
  <c r="G7" i="17"/>
  <c r="G2" i="17"/>
  <c r="S33" i="14"/>
  <c r="C8" i="17"/>
  <c r="D8" i="17"/>
  <c r="E8" i="17"/>
  <c r="F8" i="17"/>
  <c r="B8" i="17"/>
  <c r="S25" i="18" l="1"/>
  <c r="H12" i="18" s="1"/>
  <c r="I11" i="25"/>
  <c r="I10" i="25"/>
  <c r="I4" i="22"/>
  <c r="I23" i="22"/>
  <c r="D32" i="16"/>
  <c r="E32" i="16" s="1"/>
  <c r="F32" i="16" s="1"/>
  <c r="G32" i="16" s="1"/>
  <c r="D31" i="22"/>
  <c r="E31" i="22" s="1"/>
  <c r="F31" i="22" s="1"/>
  <c r="G31" i="22" s="1"/>
  <c r="B31" i="22"/>
  <c r="D34" i="22"/>
  <c r="I7" i="22"/>
  <c r="I8" i="22"/>
  <c r="I24" i="22"/>
  <c r="I5" i="22"/>
  <c r="E35" i="22"/>
  <c r="F35" i="22" s="1"/>
  <c r="G35" i="22" s="1"/>
  <c r="C28" i="22"/>
  <c r="B32" i="22"/>
  <c r="C33" i="22"/>
  <c r="E38" i="22"/>
  <c r="C36" i="16"/>
  <c r="B36" i="16" s="1"/>
  <c r="D33" i="16"/>
  <c r="E33" i="16" s="1"/>
  <c r="F33" i="16" s="1"/>
  <c r="G33" i="16" s="1"/>
  <c r="S32" i="16"/>
  <c r="D28" i="16"/>
  <c r="E28" i="16" s="1"/>
  <c r="F28" i="16" s="1"/>
  <c r="G28" i="16" s="1"/>
  <c r="B31" i="16"/>
  <c r="I4" i="16"/>
  <c r="J12" i="19"/>
  <c r="N5" i="19"/>
  <c r="N9" i="19"/>
  <c r="N7" i="19"/>
  <c r="N8" i="19"/>
  <c r="N6" i="19"/>
  <c r="N10" i="19"/>
  <c r="S25" i="19"/>
  <c r="H12" i="19" s="1"/>
  <c r="J12" i="18"/>
  <c r="N5" i="18"/>
  <c r="N7" i="18"/>
  <c r="N8" i="18"/>
  <c r="N6" i="18"/>
  <c r="N9" i="18"/>
  <c r="N10" i="18"/>
  <c r="G8" i="17"/>
  <c r="I13" i="25" l="1"/>
  <c r="I14" i="25"/>
  <c r="I10" i="22"/>
  <c r="I11" i="22"/>
  <c r="F41" i="22"/>
  <c r="F38" i="22"/>
  <c r="G38" i="22" s="1"/>
  <c r="D38" i="22"/>
  <c r="C38" i="22" s="1"/>
  <c r="B38" i="22" s="1"/>
  <c r="D36" i="22"/>
  <c r="D33" i="22"/>
  <c r="E33" i="22" s="1"/>
  <c r="F33" i="22" s="1"/>
  <c r="G33" i="22" s="1"/>
  <c r="B33" i="22"/>
  <c r="E37" i="22"/>
  <c r="E34" i="22"/>
  <c r="F34" i="22" s="1"/>
  <c r="G34" i="22" s="1"/>
  <c r="C34" i="22"/>
  <c r="B34" i="22" s="1"/>
  <c r="D28" i="22"/>
  <c r="E28" i="22" s="1"/>
  <c r="F28" i="22" s="1"/>
  <c r="G28" i="22" s="1"/>
  <c r="B32" i="16"/>
  <c r="D31" i="16"/>
  <c r="E31" i="16" s="1"/>
  <c r="F31" i="16" s="1"/>
  <c r="G31" i="16" s="1"/>
  <c r="E36" i="16"/>
  <c r="F36" i="16" s="1"/>
  <c r="G36" i="16" s="1"/>
  <c r="M7" i="14"/>
  <c r="M6" i="14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M12" i="16"/>
  <c r="N12" i="16"/>
  <c r="C22" i="16"/>
  <c r="D22" i="16"/>
  <c r="E22" i="16"/>
  <c r="F22" i="16"/>
  <c r="G22" i="16"/>
  <c r="B22" i="16"/>
  <c r="B23" i="16"/>
  <c r="C23" i="16"/>
  <c r="D23" i="16"/>
  <c r="E23" i="16"/>
  <c r="F23" i="16"/>
  <c r="G23" i="16"/>
  <c r="C12" i="14"/>
  <c r="B12" i="14"/>
  <c r="L12" i="25" l="1"/>
  <c r="N14" i="25" s="1"/>
  <c r="N17" i="25" s="1"/>
  <c r="I17" i="25"/>
  <c r="I16" i="25"/>
  <c r="E36" i="22"/>
  <c r="F36" i="22" s="1"/>
  <c r="G36" i="22" s="1"/>
  <c r="C36" i="22"/>
  <c r="B36" i="22" s="1"/>
  <c r="E39" i="22"/>
  <c r="G41" i="22"/>
  <c r="E41" i="22"/>
  <c r="D41" i="22" s="1"/>
  <c r="C41" i="22" s="1"/>
  <c r="B41" i="22" s="1"/>
  <c r="G44" i="22"/>
  <c r="F44" i="22" s="1"/>
  <c r="E44" i="22" s="1"/>
  <c r="D44" i="22" s="1"/>
  <c r="C44" i="22" s="1"/>
  <c r="B44" i="22" s="1"/>
  <c r="I13" i="22"/>
  <c r="I14" i="22"/>
  <c r="F37" i="22"/>
  <c r="G37" i="22" s="1"/>
  <c r="D37" i="22"/>
  <c r="C37" i="22" s="1"/>
  <c r="B37" i="22" s="1"/>
  <c r="F40" i="22"/>
  <c r="E35" i="16"/>
  <c r="F35" i="16" s="1"/>
  <c r="G35" i="16" s="1"/>
  <c r="C35" i="16"/>
  <c r="B35" i="16" s="1"/>
  <c r="D39" i="16"/>
  <c r="C39" i="16" s="1"/>
  <c r="B39" i="16" s="1"/>
  <c r="F39" i="16"/>
  <c r="G39" i="16" s="1"/>
  <c r="I24" i="16"/>
  <c r="C34" i="16"/>
  <c r="B34" i="16" s="1"/>
  <c r="E34" i="16"/>
  <c r="F34" i="16" s="1"/>
  <c r="G34" i="16" s="1"/>
  <c r="I23" i="16"/>
  <c r="I8" i="16"/>
  <c r="I7" i="16"/>
  <c r="M8" i="14"/>
  <c r="I20" i="25" l="1"/>
  <c r="I19" i="25"/>
  <c r="F42" i="22"/>
  <c r="F39" i="22"/>
  <c r="G39" i="22" s="1"/>
  <c r="D39" i="22"/>
  <c r="C39" i="22" s="1"/>
  <c r="B39" i="22" s="1"/>
  <c r="I17" i="22"/>
  <c r="I16" i="22"/>
  <c r="E40" i="22"/>
  <c r="D40" i="22" s="1"/>
  <c r="C40" i="22" s="1"/>
  <c r="B40" i="22" s="1"/>
  <c r="G43" i="22"/>
  <c r="F43" i="22" s="1"/>
  <c r="E43" i="22" s="1"/>
  <c r="D43" i="22" s="1"/>
  <c r="C43" i="22" s="1"/>
  <c r="B43" i="22" s="1"/>
  <c r="G40" i="22"/>
  <c r="F38" i="16"/>
  <c r="G38" i="16" s="1"/>
  <c r="D38" i="16"/>
  <c r="C38" i="16" s="1"/>
  <c r="B38" i="16" s="1"/>
  <c r="F37" i="16"/>
  <c r="G37" i="16" s="1"/>
  <c r="D37" i="16"/>
  <c r="C37" i="16" s="1"/>
  <c r="B37" i="16" s="1"/>
  <c r="E42" i="16"/>
  <c r="D42" i="16" s="1"/>
  <c r="C42" i="16" s="1"/>
  <c r="B42" i="16" s="1"/>
  <c r="F45" i="16"/>
  <c r="E45" i="16" s="1"/>
  <c r="D45" i="16" s="1"/>
  <c r="C45" i="16" s="1"/>
  <c r="B45" i="16" s="1"/>
  <c r="G42" i="16"/>
  <c r="I11" i="16"/>
  <c r="I10" i="16"/>
  <c r="M9" i="14"/>
  <c r="K5" i="14"/>
  <c r="K6" i="14"/>
  <c r="K7" i="14"/>
  <c r="K8" i="14"/>
  <c r="K9" i="14"/>
  <c r="K10" i="14"/>
  <c r="B11" i="14"/>
  <c r="C11" i="14"/>
  <c r="D11" i="14"/>
  <c r="E11" i="14"/>
  <c r="F11" i="14"/>
  <c r="G11" i="14"/>
  <c r="D12" i="14"/>
  <c r="E12" i="14"/>
  <c r="F12" i="14"/>
  <c r="G12" i="14"/>
  <c r="I12" i="14"/>
  <c r="S30" i="14"/>
  <c r="C12" i="9"/>
  <c r="D12" i="9"/>
  <c r="E12" i="9"/>
  <c r="F12" i="9"/>
  <c r="G12" i="9"/>
  <c r="H12" i="9"/>
  <c r="I12" i="9"/>
  <c r="J12" i="9"/>
  <c r="I6" i="9"/>
  <c r="I7" i="9" s="1"/>
  <c r="I5" i="9"/>
  <c r="H6" i="9" s="1"/>
  <c r="H5" i="9"/>
  <c r="S25" i="14" l="1"/>
  <c r="H12" i="14" s="1"/>
  <c r="N16" i="22"/>
  <c r="G45" i="22"/>
  <c r="F45" i="22" s="1"/>
  <c r="E45" i="22" s="1"/>
  <c r="D45" i="22" s="1"/>
  <c r="C45" i="22" s="1"/>
  <c r="B45" i="22" s="1"/>
  <c r="G42" i="22"/>
  <c r="E42" i="22"/>
  <c r="D42" i="22" s="1"/>
  <c r="C42" i="22" s="1"/>
  <c r="B42" i="22" s="1"/>
  <c r="I20" i="22"/>
  <c r="I19" i="22"/>
  <c r="L12" i="22"/>
  <c r="N14" i="22" s="1"/>
  <c r="F44" i="16"/>
  <c r="E44" i="16" s="1"/>
  <c r="D44" i="16" s="1"/>
  <c r="C44" i="16" s="1"/>
  <c r="B44" i="16" s="1"/>
  <c r="E41" i="16"/>
  <c r="D41" i="16" s="1"/>
  <c r="C41" i="16" s="1"/>
  <c r="B41" i="16" s="1"/>
  <c r="G41" i="16"/>
  <c r="F43" i="16"/>
  <c r="E43" i="16" s="1"/>
  <c r="D43" i="16" s="1"/>
  <c r="C43" i="16" s="1"/>
  <c r="B43" i="16" s="1"/>
  <c r="G40" i="16"/>
  <c r="E40" i="16"/>
  <c r="D40" i="16" s="1"/>
  <c r="C40" i="16" s="1"/>
  <c r="B40" i="16" s="1"/>
  <c r="N16" i="16" s="1"/>
  <c r="I13" i="16"/>
  <c r="I14" i="16"/>
  <c r="M10" i="14"/>
  <c r="S31" i="14"/>
  <c r="H7" i="9"/>
  <c r="I8" i="9" s="1"/>
  <c r="K6" i="9"/>
  <c r="M5" i="9"/>
  <c r="K13" i="9"/>
  <c r="K7" i="9"/>
  <c r="K8" i="9"/>
  <c r="K9" i="9"/>
  <c r="K10" i="9"/>
  <c r="K5" i="9"/>
  <c r="N6" i="9"/>
  <c r="N7" i="9"/>
  <c r="N8" i="9"/>
  <c r="N9" i="9"/>
  <c r="N10" i="9"/>
  <c r="N5" i="9"/>
  <c r="M6" i="9"/>
  <c r="M7" i="9"/>
  <c r="M8" i="9"/>
  <c r="M9" i="9"/>
  <c r="M10" i="9"/>
  <c r="M6" i="13"/>
  <c r="N5" i="13"/>
  <c r="N6" i="13"/>
  <c r="N17" i="22" l="1"/>
  <c r="L12" i="16"/>
  <c r="I17" i="16"/>
  <c r="I16" i="16"/>
  <c r="O5" i="14"/>
  <c r="H8" i="9"/>
  <c r="I9" i="9" s="1"/>
  <c r="M7" i="13"/>
  <c r="M8" i="13"/>
  <c r="M9" i="13"/>
  <c r="M10" i="13"/>
  <c r="M5" i="13"/>
  <c r="E17" i="13"/>
  <c r="J17" i="13"/>
  <c r="N14" i="16" l="1"/>
  <c r="N17" i="16" s="1"/>
  <c r="I20" i="16"/>
  <c r="I19" i="16"/>
  <c r="O6" i="14"/>
  <c r="I13" i="13"/>
  <c r="H13" i="13"/>
  <c r="E13" i="13"/>
  <c r="D13" i="13"/>
  <c r="C13" i="13"/>
  <c r="B13" i="13"/>
  <c r="P11" i="13"/>
  <c r="P10" i="13"/>
  <c r="N10" i="13"/>
  <c r="K10" i="13"/>
  <c r="P9" i="13"/>
  <c r="N9" i="13"/>
  <c r="K9" i="13"/>
  <c r="P8" i="13"/>
  <c r="N8" i="13"/>
  <c r="K8" i="13"/>
  <c r="P7" i="13"/>
  <c r="N7" i="13"/>
  <c r="K7" i="13"/>
  <c r="P6" i="13"/>
  <c r="O6" i="13"/>
  <c r="K6" i="13"/>
  <c r="P5" i="13"/>
  <c r="O5" i="13"/>
  <c r="K5" i="13"/>
  <c r="O7" i="14" l="1"/>
  <c r="O8" i="13"/>
  <c r="O7" i="13"/>
  <c r="O8" i="14" l="1"/>
  <c r="F13" i="13"/>
  <c r="O6" i="9"/>
  <c r="O9" i="9"/>
  <c r="O10" i="9"/>
  <c r="O8" i="9"/>
  <c r="O7" i="9"/>
  <c r="H11" i="14" l="1"/>
  <c r="O9" i="14"/>
  <c r="G13" i="13"/>
  <c r="C16" i="13" s="1"/>
  <c r="O9" i="13"/>
  <c r="B12" i="9"/>
  <c r="O10" i="14" l="1"/>
  <c r="I11" i="14"/>
  <c r="O10" i="13"/>
  <c r="O5" i="9"/>
  <c r="H9" i="9" l="1"/>
  <c r="I10" i="9" s="1"/>
  <c r="L5" i="9"/>
  <c r="L6" i="9" l="1"/>
  <c r="H10" i="9"/>
  <c r="L7" i="9" l="1"/>
  <c r="L8" i="9"/>
  <c r="L9" i="9" l="1"/>
  <c r="L10" i="9" l="1"/>
  <c r="C1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<sst xmlns="http://schemas.openxmlformats.org/spreadsheetml/2006/main" count="602" uniqueCount="137">
  <si>
    <t>Period</t>
  </si>
  <si>
    <t>1 Regular</t>
  </si>
  <si>
    <t>1 Overtime</t>
  </si>
  <si>
    <t>1 OutSource</t>
  </si>
  <si>
    <t>2 Regular</t>
  </si>
  <si>
    <t>2 Overtime</t>
  </si>
  <si>
    <t>2 OutSource</t>
  </si>
  <si>
    <t>3 Regular</t>
  </si>
  <si>
    <t>3 Overtime</t>
  </si>
  <si>
    <t>3 OutSource</t>
  </si>
  <si>
    <t>4 Regular</t>
  </si>
  <si>
    <t>4 Overtime</t>
  </si>
  <si>
    <t>4 OutSource</t>
  </si>
  <si>
    <t>5 Regular</t>
  </si>
  <si>
    <t>5 Overtime</t>
  </si>
  <si>
    <t>5 OutSource</t>
  </si>
  <si>
    <t>6 Regular</t>
  </si>
  <si>
    <t>6 Overtime</t>
  </si>
  <si>
    <t>6 OutSource</t>
  </si>
  <si>
    <t>Production</t>
  </si>
  <si>
    <t>Cost</t>
  </si>
  <si>
    <t>W</t>
  </si>
  <si>
    <t>H</t>
  </si>
  <si>
    <t>L</t>
  </si>
  <si>
    <t>Costs</t>
  </si>
  <si>
    <t>Subcontract</t>
  </si>
  <si>
    <t>Marginal subcontracting cost/unit</t>
  </si>
  <si>
    <t>Over time cost/hour</t>
  </si>
  <si>
    <t>Regular time cost/hour</t>
  </si>
  <si>
    <t>Labor hours required/unit</t>
  </si>
  <si>
    <t>Layoff cost/worker</t>
  </si>
  <si>
    <t>Hiring and training cost/worker</t>
  </si>
  <si>
    <t>Marginal cost of stockout/unit/month</t>
  </si>
  <si>
    <t>Inventory holding cost/unit/month</t>
  </si>
  <si>
    <t>Materials cost/unit</t>
  </si>
  <si>
    <t>Item</t>
  </si>
  <si>
    <t>June</t>
  </si>
  <si>
    <t>May</t>
  </si>
  <si>
    <t>April</t>
  </si>
  <si>
    <t>March</t>
  </si>
  <si>
    <t>February</t>
  </si>
  <si>
    <t>January</t>
  </si>
  <si>
    <t>Demand Forecast</t>
  </si>
  <si>
    <t>Month</t>
  </si>
  <si>
    <t>Aggregate Planning (Chapter 8-9)</t>
  </si>
  <si>
    <t>Total Cost =</t>
  </si>
  <si>
    <t>Demand</t>
  </si>
  <si>
    <t>Stockout</t>
  </si>
  <si>
    <t>Inventory</t>
  </si>
  <si>
    <t>Overtime</t>
  </si>
  <si>
    <t># Workforce</t>
  </si>
  <si>
    <t># Laid off</t>
  </si>
  <si>
    <t># Hired</t>
  </si>
  <si>
    <t>Aggregate Plan Decision Variables</t>
  </si>
  <si>
    <t>Ht</t>
  </si>
  <si>
    <t>Lt</t>
  </si>
  <si>
    <t>Wt</t>
  </si>
  <si>
    <t>Ot</t>
  </si>
  <si>
    <t>It</t>
  </si>
  <si>
    <t>SHt</t>
  </si>
  <si>
    <t>SCt</t>
  </si>
  <si>
    <t>Regular Capacity</t>
  </si>
  <si>
    <t>Overtime Capacity</t>
  </si>
  <si>
    <t>SubCotract Capacity</t>
  </si>
  <si>
    <t>Reg-Time</t>
  </si>
  <si>
    <t>Pt</t>
  </si>
  <si>
    <r>
      <t>H</t>
    </r>
    <r>
      <rPr>
        <sz val="10"/>
        <rFont val="Arial"/>
        <family val="2"/>
      </rPr>
      <t>t</t>
    </r>
  </si>
  <si>
    <r>
      <t>L</t>
    </r>
    <r>
      <rPr>
        <sz val="10"/>
        <rFont val="Arial"/>
        <family val="2"/>
      </rPr>
      <t>t</t>
    </r>
  </si>
  <si>
    <r>
      <t>W</t>
    </r>
    <r>
      <rPr>
        <sz val="10"/>
        <rFont val="Arial"/>
        <family val="2"/>
      </rPr>
      <t>t</t>
    </r>
  </si>
  <si>
    <r>
      <t>O</t>
    </r>
    <r>
      <rPr>
        <sz val="10"/>
        <rFont val="Arial"/>
        <family val="2"/>
      </rPr>
      <t>t</t>
    </r>
  </si>
  <si>
    <r>
      <t>I</t>
    </r>
    <r>
      <rPr>
        <sz val="10"/>
        <rFont val="Arial"/>
        <family val="2"/>
      </rPr>
      <t>t</t>
    </r>
  </si>
  <si>
    <r>
      <t>S</t>
    </r>
    <r>
      <rPr>
        <sz val="10"/>
        <rFont val="Arial"/>
        <family val="2"/>
      </rPr>
      <t>t</t>
    </r>
  </si>
  <si>
    <r>
      <t>C</t>
    </r>
    <r>
      <rPr>
        <sz val="10"/>
        <rFont val="Arial"/>
        <family val="2"/>
      </rPr>
      <t>t</t>
    </r>
  </si>
  <si>
    <r>
      <t>P</t>
    </r>
    <r>
      <rPr>
        <sz val="10"/>
        <rFont val="Arial"/>
        <family val="2"/>
      </rPr>
      <t>t</t>
    </r>
  </si>
  <si>
    <t>Workforce</t>
  </si>
  <si>
    <t>Capacity</t>
  </si>
  <si>
    <t>Price</t>
  </si>
  <si>
    <t>Balance</t>
  </si>
  <si>
    <t>,=0</t>
  </si>
  <si>
    <t>&lt;=0</t>
  </si>
  <si>
    <t>Work Force</t>
  </si>
  <si>
    <t>Wage per month per worker</t>
  </si>
  <si>
    <t>Ending Inventory</t>
  </si>
  <si>
    <t>=0</t>
  </si>
  <si>
    <t>Beginning Inventory</t>
  </si>
  <si>
    <t>Aggregate Planning (Chapter 8−9)</t>
  </si>
  <si>
    <t>Ct</t>
  </si>
  <si>
    <t>St</t>
  </si>
  <si>
    <t>Constraints</t>
  </si>
  <si>
    <t>More Variable Demand</t>
  </si>
  <si>
    <t>50,50</t>
  </si>
  <si>
    <t>SUM</t>
  </si>
  <si>
    <t>`</t>
  </si>
  <si>
    <t>Change H&amp;L</t>
  </si>
  <si>
    <t>Family</t>
  </si>
  <si>
    <t>Material Cost/ Unit ($)</t>
  </si>
  <si>
    <t>Revenue/ Unit ($)</t>
  </si>
  <si>
    <t>Average Batch Size</t>
  </si>
  <si>
    <t>Production Time/ Unit (hour)</t>
  </si>
  <si>
    <t>Net Production Time/Unit (hour)</t>
  </si>
  <si>
    <t>Percentage Share of Units Sold</t>
  </si>
  <si>
    <t>A</t>
  </si>
  <si>
    <t>B</t>
  </si>
  <si>
    <t>C</t>
  </si>
  <si>
    <t>D</t>
  </si>
  <si>
    <t>E</t>
  </si>
  <si>
    <t>F</t>
  </si>
  <si>
    <t>Setup Time/ Batch (hour)</t>
  </si>
  <si>
    <t>Aggregate Product</t>
  </si>
  <si>
    <t xml:space="preserve">Ht </t>
  </si>
  <si>
    <t xml:space="preserve">Lt </t>
  </si>
  <si>
    <t xml:space="preserve">Ot </t>
  </si>
  <si>
    <t xml:space="preserve">It </t>
  </si>
  <si>
    <t xml:space="preserve">St </t>
  </si>
  <si>
    <t xml:space="preserve">Ct </t>
  </si>
  <si>
    <t xml:space="preserve">Wt </t>
  </si>
  <si>
    <t xml:space="preserve">Pt </t>
  </si>
  <si>
    <t>Number of employees hired at the beginning of month t</t>
  </si>
  <si>
    <t>Number of employees laid off at the beginning of month t</t>
  </si>
  <si>
    <t>Number of overtime hours worked in month t</t>
  </si>
  <si>
    <t>Inventory at the end of month t</t>
  </si>
  <si>
    <t>Number of units stocked out at the end of month t</t>
  </si>
  <si>
    <t>Number of units subcontracted for month t</t>
  </si>
  <si>
    <t>Workforce size for month t</t>
  </si>
  <si>
    <t>Production in month t</t>
  </si>
  <si>
    <t>Hours/day</t>
  </si>
  <si>
    <t>Days/month</t>
  </si>
  <si>
    <t>Working hour/month</t>
  </si>
  <si>
    <t>Production/worker/month</t>
  </si>
  <si>
    <t>Overtime hour allowed/worker/month</t>
  </si>
  <si>
    <t>Overtime production per worker/month</t>
  </si>
  <si>
    <t xml:space="preserve">Aggregate Plan </t>
  </si>
  <si>
    <t>Decision Variables</t>
  </si>
  <si>
    <t>DemandAdjusted</t>
  </si>
  <si>
    <t>LHS</t>
  </si>
  <si>
    <t>Hours</t>
  </si>
  <si>
    <t>Regular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</si>
</sst>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"/>
    <numFmt numFmtId="167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sz val="11"/>
      <name val="Book Antiqua"/>
      <family val="1"/>
    </font>
    <font>
      <sz val="11"/>
      <color theme="1"/>
      <name val="Book Antiqua"/>
      <family val="1"/>
    </font>
    <font>
      <u/>
      <sz val="1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theme="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11"/>
      <color rgb="FFFF0000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</cellStyleXfs>
  <cellXfs count="2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3" fillId="2" borderId="13" xfId="1" applyNumberFormat="1" applyFont="1" applyFill="1" applyBorder="1" applyAlignment="1"/>
    <xf numFmtId="0" fontId="3" fillId="0" borderId="14" xfId="0" applyFont="1" applyBorder="1"/>
    <xf numFmtId="164" fontId="3" fillId="3" borderId="15" xfId="1" applyNumberFormat="1" applyFont="1" applyFill="1" applyBorder="1" applyAlignment="1"/>
    <xf numFmtId="0" fontId="3" fillId="0" borderId="16" xfId="0" applyFont="1" applyBorder="1"/>
    <xf numFmtId="164" fontId="3" fillId="2" borderId="15" xfId="1" applyNumberFormat="1" applyFont="1" applyFill="1" applyBorder="1" applyAlignment="1"/>
    <xf numFmtId="37" fontId="3" fillId="2" borderId="15" xfId="1" applyNumberFormat="1" applyFont="1" applyFill="1" applyBorder="1" applyAlignment="1"/>
    <xf numFmtId="164" fontId="3" fillId="2" borderId="17" xfId="1" applyNumberFormat="1" applyFont="1" applyFill="1" applyBorder="1" applyAlignment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165" fontId="3" fillId="3" borderId="13" xfId="2" applyNumberFormat="1" applyFont="1" applyFill="1" applyBorder="1"/>
    <xf numFmtId="165" fontId="3" fillId="3" borderId="15" xfId="2" applyNumberFormat="1" applyFont="1" applyFill="1" applyBorder="1"/>
    <xf numFmtId="0" fontId="6" fillId="0" borderId="0" xfId="0" applyFont="1"/>
    <xf numFmtId="3" fontId="0" fillId="0" borderId="0" xfId="0" applyNumberFormat="1"/>
    <xf numFmtId="164" fontId="7" fillId="4" borderId="10" xfId="1" applyNumberFormat="1" applyFont="1" applyFill="1" applyBorder="1"/>
    <xf numFmtId="3" fontId="3" fillId="6" borderId="21" xfId="0" applyNumberFormat="1" applyFont="1" applyFill="1" applyBorder="1"/>
    <xf numFmtId="3" fontId="3" fillId="5" borderId="22" xfId="0" applyNumberFormat="1" applyFont="1" applyFill="1" applyBorder="1"/>
    <xf numFmtId="3" fontId="3" fillId="6" borderId="22" xfId="0" applyNumberFormat="1" applyFont="1" applyFill="1" applyBorder="1"/>
    <xf numFmtId="0" fontId="0" fillId="0" borderId="25" xfId="0" applyBorder="1"/>
    <xf numFmtId="0" fontId="5" fillId="0" borderId="21" xfId="0" applyFont="1" applyBorder="1"/>
    <xf numFmtId="0" fontId="8" fillId="0" borderId="26" xfId="0" applyFont="1" applyBorder="1" applyAlignment="1">
      <alignment horizontal="center"/>
    </xf>
    <xf numFmtId="165" fontId="3" fillId="0" borderId="25" xfId="2" applyNumberFormat="1" applyFont="1" applyFill="1" applyBorder="1"/>
    <xf numFmtId="0" fontId="5" fillId="0" borderId="1" xfId="0" applyFont="1" applyBorder="1"/>
    <xf numFmtId="164" fontId="0" fillId="0" borderId="0" xfId="0" applyNumberFormat="1"/>
    <xf numFmtId="0" fontId="3" fillId="0" borderId="29" xfId="0" applyFont="1" applyBorder="1"/>
    <xf numFmtId="0" fontId="3" fillId="0" borderId="6" xfId="0" applyFont="1" applyBorder="1"/>
    <xf numFmtId="0" fontId="8" fillId="0" borderId="27" xfId="0" applyFont="1" applyBorder="1" applyAlignment="1">
      <alignment horizontal="center"/>
    </xf>
    <xf numFmtId="0" fontId="5" fillId="0" borderId="23" xfId="0" applyFont="1" applyBorder="1"/>
    <xf numFmtId="3" fontId="3" fillId="6" borderId="24" xfId="0" applyNumberFormat="1" applyFont="1" applyFill="1" applyBorder="1"/>
    <xf numFmtId="3" fontId="3" fillId="6" borderId="23" xfId="0" applyNumberFormat="1" applyFont="1" applyFill="1" applyBorder="1"/>
    <xf numFmtId="0" fontId="0" fillId="0" borderId="2" xfId="0" applyBorder="1" applyAlignment="1"/>
    <xf numFmtId="3" fontId="0" fillId="0" borderId="25" xfId="0" applyNumberFormat="1" applyBorder="1"/>
    <xf numFmtId="165" fontId="3" fillId="0" borderId="12" xfId="2" applyNumberFormat="1" applyFont="1" applyFill="1" applyBorder="1"/>
    <xf numFmtId="3" fontId="0" fillId="0" borderId="12" xfId="0" applyNumberFormat="1" applyBorder="1"/>
    <xf numFmtId="0" fontId="3" fillId="7" borderId="29" xfId="0" applyFont="1" applyFill="1" applyBorder="1"/>
    <xf numFmtId="3" fontId="3" fillId="7" borderId="28" xfId="0" applyNumberFormat="1" applyFont="1" applyFill="1" applyBorder="1"/>
    <xf numFmtId="0" fontId="0" fillId="7" borderId="0" xfId="0" applyFill="1" applyBorder="1"/>
    <xf numFmtId="3" fontId="3" fillId="7" borderId="0" xfId="0" applyNumberFormat="1" applyFont="1" applyFill="1" applyBorder="1"/>
    <xf numFmtId="3" fontId="3" fillId="7" borderId="30" xfId="0" applyNumberFormat="1" applyFont="1" applyFill="1" applyBorder="1"/>
    <xf numFmtId="3" fontId="3" fillId="0" borderId="22" xfId="0" applyNumberFormat="1" applyFont="1" applyFill="1" applyBorder="1"/>
    <xf numFmtId="3" fontId="3" fillId="0" borderId="21" xfId="0" applyNumberFormat="1" applyFont="1" applyFill="1" applyBorder="1"/>
    <xf numFmtId="0" fontId="5" fillId="0" borderId="0" xfId="3" applyFont="1"/>
    <xf numFmtId="0" fontId="4" fillId="0" borderId="0" xfId="3"/>
    <xf numFmtId="0" fontId="4" fillId="0" borderId="27" xfId="3" applyBorder="1"/>
    <xf numFmtId="0" fontId="8" fillId="0" borderId="26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5" fillId="0" borderId="23" xfId="3" applyFont="1" applyBorder="1"/>
    <xf numFmtId="0" fontId="5" fillId="0" borderId="21" xfId="3" applyFont="1" applyBorder="1"/>
    <xf numFmtId="0" fontId="5" fillId="0" borderId="8" xfId="3" applyFont="1" applyBorder="1"/>
    <xf numFmtId="0" fontId="5" fillId="0" borderId="31" xfId="3" applyFont="1" applyBorder="1"/>
    <xf numFmtId="0" fontId="5" fillId="0" borderId="10" xfId="3" applyFont="1" applyBorder="1"/>
    <xf numFmtId="0" fontId="3" fillId="0" borderId="24" xfId="3" applyFont="1" applyBorder="1"/>
    <xf numFmtId="3" fontId="3" fillId="2" borderId="22" xfId="3" applyNumberFormat="1" applyFont="1" applyFill="1" applyBorder="1"/>
    <xf numFmtId="3" fontId="3" fillId="2" borderId="32" xfId="3" applyNumberFormat="1" applyFont="1" applyFill="1" applyBorder="1"/>
    <xf numFmtId="0" fontId="3" fillId="0" borderId="9" xfId="3" applyFont="1" applyBorder="1"/>
    <xf numFmtId="3" fontId="3" fillId="6" borderId="22" xfId="3" applyNumberFormat="1" applyFont="1" applyFill="1" applyBorder="1"/>
    <xf numFmtId="3" fontId="3" fillId="5" borderId="22" xfId="3" applyNumberFormat="1" applyFont="1" applyFill="1" applyBorder="1"/>
    <xf numFmtId="3" fontId="3" fillId="5" borderId="32" xfId="3" applyNumberFormat="1" applyFont="1" applyFill="1" applyBorder="1"/>
    <xf numFmtId="165" fontId="3" fillId="0" borderId="33" xfId="2" applyNumberFormat="1" applyFont="1" applyFill="1" applyBorder="1"/>
    <xf numFmtId="3" fontId="4" fillId="0" borderId="25" xfId="3" applyNumberFormat="1" applyBorder="1"/>
    <xf numFmtId="2" fontId="4" fillId="0" borderId="0" xfId="3" applyNumberFormat="1"/>
    <xf numFmtId="0" fontId="3" fillId="0" borderId="23" xfId="3" applyFont="1" applyBorder="1"/>
    <xf numFmtId="3" fontId="3" fillId="6" borderId="21" xfId="3" applyNumberFormat="1" applyFont="1" applyFill="1" applyBorder="1"/>
    <xf numFmtId="165" fontId="3" fillId="0" borderId="34" xfId="2" applyNumberFormat="1" applyFont="1" applyFill="1" applyBorder="1"/>
    <xf numFmtId="3" fontId="4" fillId="0" borderId="0" xfId="3" applyNumberFormat="1"/>
    <xf numFmtId="0" fontId="0" fillId="0" borderId="0" xfId="0" applyFill="1"/>
    <xf numFmtId="164" fontId="7" fillId="0" borderId="0" xfId="1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164" fontId="0" fillId="0" borderId="0" xfId="0" applyNumberFormat="1" applyFill="1" applyBorder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3" fillId="0" borderId="0" xfId="2" applyNumberFormat="1" applyFont="1" applyFill="1" applyBorder="1"/>
    <xf numFmtId="1" fontId="0" fillId="0" borderId="0" xfId="0" applyNumberFormat="1"/>
    <xf numFmtId="0" fontId="9" fillId="0" borderId="0" xfId="3" applyFont="1"/>
    <xf numFmtId="0" fontId="10" fillId="0" borderId="0" xfId="4" applyFont="1"/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3" quotePrefix="1" applyFont="1"/>
    <xf numFmtId="3" fontId="9" fillId="0" borderId="0" xfId="3" applyNumberFormat="1" applyFont="1"/>
    <xf numFmtId="1" fontId="9" fillId="0" borderId="15" xfId="3" applyNumberFormat="1" applyFont="1" applyBorder="1" applyAlignment="1">
      <alignment horizontal="center"/>
    </xf>
    <xf numFmtId="1" fontId="9" fillId="0" borderId="35" xfId="3" applyNumberFormat="1" applyFont="1" applyBorder="1" applyAlignment="1">
      <alignment horizontal="center"/>
    </xf>
    <xf numFmtId="165" fontId="9" fillId="0" borderId="34" xfId="2" applyNumberFormat="1" applyFont="1" applyFill="1" applyBorder="1"/>
    <xf numFmtId="0" fontId="9" fillId="0" borderId="23" xfId="3" applyFont="1" applyBorder="1"/>
    <xf numFmtId="165" fontId="9" fillId="0" borderId="33" xfId="2" applyNumberFormat="1" applyFont="1" applyFill="1" applyBorder="1"/>
    <xf numFmtId="0" fontId="9" fillId="0" borderId="24" xfId="3" applyFont="1" applyBorder="1"/>
    <xf numFmtId="0" fontId="9" fillId="0" borderId="15" xfId="3" applyFont="1" applyBorder="1"/>
    <xf numFmtId="0" fontId="9" fillId="0" borderId="35" xfId="3" applyFont="1" applyBorder="1"/>
    <xf numFmtId="0" fontId="9" fillId="0" borderId="9" xfId="3" applyFont="1" applyBorder="1"/>
    <xf numFmtId="0" fontId="11" fillId="0" borderId="0" xfId="4" applyFont="1" applyAlignment="1">
      <alignment vertical="center"/>
    </xf>
    <xf numFmtId="0" fontId="9" fillId="0" borderId="19" xfId="3" applyFont="1" applyBorder="1"/>
    <xf numFmtId="0" fontId="9" fillId="0" borderId="36" xfId="3" applyFont="1" applyBorder="1"/>
    <xf numFmtId="0" fontId="9" fillId="0" borderId="10" xfId="3" applyFont="1" applyBorder="1"/>
    <xf numFmtId="0" fontId="9" fillId="0" borderId="31" xfId="3" applyFont="1" applyBorder="1"/>
    <xf numFmtId="0" fontId="9" fillId="0" borderId="8" xfId="3" applyFont="1" applyBorder="1"/>
    <xf numFmtId="0" fontId="9" fillId="0" borderId="21" xfId="3" applyFont="1" applyBorder="1"/>
    <xf numFmtId="0" fontId="9" fillId="0" borderId="3" xfId="3" applyFont="1" applyBorder="1" applyAlignment="1">
      <alignment horizontal="center"/>
    </xf>
    <xf numFmtId="0" fontId="9" fillId="0" borderId="26" xfId="3" applyFont="1" applyBorder="1" applyAlignment="1">
      <alignment horizontal="center"/>
    </xf>
    <xf numFmtId="0" fontId="9" fillId="0" borderId="27" xfId="3" applyFont="1" applyBorder="1"/>
    <xf numFmtId="166" fontId="9" fillId="6" borderId="22" xfId="3" applyNumberFormat="1" applyFont="1" applyFill="1" applyBorder="1"/>
    <xf numFmtId="166" fontId="9" fillId="6" borderId="21" xfId="3" applyNumberFormat="1" applyFont="1" applyFill="1" applyBorder="1"/>
    <xf numFmtId="0" fontId="9" fillId="0" borderId="20" xfId="4" applyFont="1" applyFill="1" applyBorder="1" applyAlignment="1">
      <alignment vertical="center"/>
    </xf>
    <xf numFmtId="0" fontId="9" fillId="0" borderId="19" xfId="4" applyFont="1" applyFill="1" applyBorder="1" applyAlignment="1">
      <alignment vertical="center"/>
    </xf>
    <xf numFmtId="0" fontId="9" fillId="0" borderId="16" xfId="4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vertical="center"/>
    </xf>
    <xf numFmtId="0" fontId="9" fillId="0" borderId="14" xfId="4" applyFont="1" applyFill="1" applyBorder="1" applyAlignment="1">
      <alignment vertical="center"/>
    </xf>
    <xf numFmtId="165" fontId="9" fillId="0" borderId="13" xfId="2" applyNumberFormat="1" applyFont="1" applyFill="1" applyBorder="1" applyAlignment="1">
      <alignment vertical="center"/>
    </xf>
    <xf numFmtId="0" fontId="9" fillId="0" borderId="10" xfId="4" applyFont="1" applyFill="1" applyBorder="1" applyAlignment="1">
      <alignment vertical="center"/>
    </xf>
    <xf numFmtId="0" fontId="9" fillId="0" borderId="31" xfId="4" applyFont="1" applyFill="1" applyBorder="1" applyAlignment="1">
      <alignment vertical="center"/>
    </xf>
    <xf numFmtId="0" fontId="9" fillId="0" borderId="25" xfId="4" applyFont="1" applyFill="1" applyBorder="1" applyAlignment="1">
      <alignment vertical="center"/>
    </xf>
    <xf numFmtId="0" fontId="9" fillId="0" borderId="33" xfId="4" applyFont="1" applyFill="1" applyBorder="1" applyAlignment="1">
      <alignment vertical="center"/>
    </xf>
    <xf numFmtId="0" fontId="10" fillId="0" borderId="34" xfId="4" applyFont="1" applyFill="1" applyBorder="1" applyAlignment="1">
      <alignment vertical="center"/>
    </xf>
    <xf numFmtId="166" fontId="9" fillId="0" borderId="22" xfId="3" applyNumberFormat="1" applyFont="1" applyFill="1" applyBorder="1"/>
    <xf numFmtId="3" fontId="9" fillId="0" borderId="22" xfId="3" applyNumberFormat="1" applyFont="1" applyFill="1" applyBorder="1"/>
    <xf numFmtId="3" fontId="9" fillId="0" borderId="32" xfId="3" applyNumberFormat="1" applyFont="1" applyFill="1" applyBorder="1"/>
    <xf numFmtId="3" fontId="9" fillId="0" borderId="0" xfId="3" applyNumberFormat="1" applyFont="1" applyFill="1"/>
    <xf numFmtId="0" fontId="10" fillId="0" borderId="10" xfId="4" applyFont="1" applyBorder="1"/>
    <xf numFmtId="0" fontId="9" fillId="0" borderId="37" xfId="4" applyFont="1" applyFill="1" applyBorder="1" applyAlignment="1">
      <alignment vertical="center"/>
    </xf>
    <xf numFmtId="0" fontId="9" fillId="0" borderId="29" xfId="3" applyFont="1" applyFill="1" applyBorder="1" applyAlignment="1">
      <alignment vertical="center"/>
    </xf>
    <xf numFmtId="0" fontId="9" fillId="0" borderId="40" xfId="3" applyFont="1" applyFill="1" applyBorder="1" applyAlignment="1">
      <alignment vertical="center"/>
    </xf>
    <xf numFmtId="0" fontId="10" fillId="0" borderId="40" xfId="4" applyFont="1" applyFill="1" applyBorder="1"/>
    <xf numFmtId="0" fontId="9" fillId="0" borderId="41" xfId="3" applyFont="1" applyFill="1" applyBorder="1" applyAlignment="1">
      <alignment vertical="center"/>
    </xf>
    <xf numFmtId="0" fontId="10" fillId="0" borderId="10" xfId="4" applyFont="1" applyFill="1" applyBorder="1" applyAlignment="1">
      <alignment vertical="center"/>
    </xf>
    <xf numFmtId="0" fontId="10" fillId="0" borderId="25" xfId="4" applyFont="1" applyFill="1" applyBorder="1" applyAlignment="1">
      <alignment vertical="center"/>
    </xf>
    <xf numFmtId="0" fontId="10" fillId="0" borderId="33" xfId="4" applyFont="1" applyFill="1" applyBorder="1" applyAlignment="1">
      <alignment vertical="center"/>
    </xf>
    <xf numFmtId="0" fontId="10" fillId="0" borderId="33" xfId="4" applyFont="1" applyFill="1" applyBorder="1"/>
    <xf numFmtId="0" fontId="9" fillId="0" borderId="0" xfId="0" applyFont="1"/>
    <xf numFmtId="0" fontId="12" fillId="0" borderId="42" xfId="0" applyFont="1" applyBorder="1" applyAlignment="1">
      <alignment horizontal="center" vertical="top" wrapText="1" readingOrder="1"/>
    </xf>
    <xf numFmtId="0" fontId="13" fillId="0" borderId="43" xfId="0" applyFont="1" applyBorder="1" applyAlignment="1">
      <alignment horizontal="center" vertical="top" wrapText="1" readingOrder="1"/>
    </xf>
    <xf numFmtId="0" fontId="13" fillId="0" borderId="44" xfId="0" applyFont="1" applyBorder="1" applyAlignment="1">
      <alignment horizontal="center" vertical="top" wrapText="1" readingOrder="1"/>
    </xf>
    <xf numFmtId="0" fontId="13" fillId="0" borderId="4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/>
    </xf>
    <xf numFmtId="164" fontId="9" fillId="0" borderId="32" xfId="1" applyNumberFormat="1" applyFont="1" applyFill="1" applyBorder="1" applyAlignment="1">
      <alignment vertical="top"/>
    </xf>
    <xf numFmtId="164" fontId="9" fillId="0" borderId="38" xfId="1" applyNumberFormat="1" applyFont="1" applyFill="1" applyBorder="1" applyAlignment="1">
      <alignment vertical="top"/>
    </xf>
    <xf numFmtId="164" fontId="10" fillId="0" borderId="39" xfId="4" applyNumberFormat="1" applyFont="1" applyFill="1" applyBorder="1" applyAlignment="1">
      <alignment vertical="top"/>
    </xf>
    <xf numFmtId="167" fontId="14" fillId="8" borderId="10" xfId="0" applyNumberFormat="1" applyFont="1" applyFill="1" applyBorder="1" applyAlignment="1">
      <alignment horizontal="center" vertical="top"/>
    </xf>
    <xf numFmtId="0" fontId="12" fillId="0" borderId="46" xfId="0" applyFont="1" applyBorder="1" applyAlignment="1">
      <alignment horizontal="center" vertical="top" wrapText="1" readingOrder="1"/>
    </xf>
    <xf numFmtId="0" fontId="13" fillId="0" borderId="47" xfId="0" applyFont="1" applyBorder="1" applyAlignment="1">
      <alignment horizontal="center" vertical="top" wrapText="1" readingOrder="1"/>
    </xf>
    <xf numFmtId="0" fontId="13" fillId="0" borderId="48" xfId="0" applyFont="1" applyBorder="1" applyAlignment="1">
      <alignment horizontal="center" vertical="top" wrapText="1" readingOrder="1"/>
    </xf>
    <xf numFmtId="0" fontId="13" fillId="0" borderId="49" xfId="0" applyFont="1" applyBorder="1" applyAlignment="1">
      <alignment horizontal="center" vertical="top" wrapText="1" readingOrder="1"/>
    </xf>
    <xf numFmtId="1" fontId="9" fillId="0" borderId="12" xfId="0" applyNumberFormat="1" applyFont="1" applyBorder="1" applyAlignment="1">
      <alignment horizontal="center" vertical="top"/>
    </xf>
    <xf numFmtId="0" fontId="12" fillId="0" borderId="50" xfId="0" applyFont="1" applyBorder="1" applyAlignment="1">
      <alignment horizontal="center" vertical="top" wrapText="1" readingOrder="1"/>
    </xf>
    <xf numFmtId="0" fontId="12" fillId="0" borderId="51" xfId="0" applyFont="1" applyBorder="1" applyAlignment="1">
      <alignment horizontal="center" vertical="top" wrapText="1" readingOrder="1"/>
    </xf>
    <xf numFmtId="0" fontId="12" fillId="0" borderId="52" xfId="0" applyFont="1" applyBorder="1" applyAlignment="1">
      <alignment horizontal="center" vertical="top" wrapText="1" readingOrder="1"/>
    </xf>
    <xf numFmtId="0" fontId="13" fillId="0" borderId="53" xfId="0" applyFont="1" applyBorder="1" applyAlignment="1">
      <alignment horizontal="center" vertical="top" wrapText="1" readingOrder="1"/>
    </xf>
    <xf numFmtId="0" fontId="13" fillId="0" borderId="54" xfId="0" applyFont="1" applyBorder="1" applyAlignment="1">
      <alignment horizontal="center" vertical="top" wrapText="1" readingOrder="1"/>
    </xf>
    <xf numFmtId="0" fontId="13" fillId="0" borderId="55" xfId="0" applyFont="1" applyBorder="1" applyAlignment="1">
      <alignment horizontal="center" vertical="top" wrapText="1" readingOrder="1"/>
    </xf>
    <xf numFmtId="0" fontId="13" fillId="0" borderId="56" xfId="0" applyFont="1" applyBorder="1" applyAlignment="1">
      <alignment horizontal="center" vertical="top" wrapText="1" readingOrder="1"/>
    </xf>
    <xf numFmtId="0" fontId="13" fillId="0" borderId="57" xfId="0" applyFont="1" applyBorder="1" applyAlignment="1">
      <alignment horizontal="center" vertical="top" wrapText="1" readingOrder="1"/>
    </xf>
    <xf numFmtId="0" fontId="13" fillId="0" borderId="58" xfId="0" applyFont="1" applyBorder="1" applyAlignment="1">
      <alignment horizontal="center" vertical="top" wrapText="1" readingOrder="1"/>
    </xf>
    <xf numFmtId="167" fontId="9" fillId="0" borderId="6" xfId="0" applyNumberFormat="1" applyFont="1" applyBorder="1" applyAlignment="1">
      <alignment horizontal="center" vertical="top"/>
    </xf>
    <xf numFmtId="167" fontId="9" fillId="0" borderId="7" xfId="0" applyNumberFormat="1" applyFont="1" applyBorder="1" applyAlignment="1">
      <alignment horizontal="center" vertical="top"/>
    </xf>
    <xf numFmtId="167" fontId="9" fillId="0" borderId="8" xfId="0" applyNumberFormat="1" applyFont="1" applyBorder="1" applyAlignment="1">
      <alignment horizontal="center" vertical="top"/>
    </xf>
    <xf numFmtId="0" fontId="13" fillId="0" borderId="59" xfId="0" applyFont="1" applyBorder="1" applyAlignment="1">
      <alignment horizontal="center" vertical="top" wrapText="1" readingOrder="1"/>
    </xf>
    <xf numFmtId="0" fontId="10" fillId="0" borderId="0" xfId="4" applyFont="1" applyAlignment="1"/>
    <xf numFmtId="0" fontId="13" fillId="0" borderId="0" xfId="0" applyFont="1" applyAlignment="1">
      <alignment vertical="center" readingOrder="1"/>
    </xf>
    <xf numFmtId="0" fontId="10" fillId="0" borderId="11" xfId="4" applyFont="1" applyBorder="1"/>
    <xf numFmtId="0" fontId="10" fillId="0" borderId="12" xfId="4" applyFont="1" applyBorder="1"/>
    <xf numFmtId="0" fontId="14" fillId="9" borderId="11" xfId="4" applyFont="1" applyFill="1" applyBorder="1"/>
    <xf numFmtId="0" fontId="14" fillId="9" borderId="10" xfId="4" applyFont="1" applyFill="1" applyBorder="1"/>
    <xf numFmtId="0" fontId="9" fillId="0" borderId="20" xfId="3" applyFont="1" applyFill="1" applyBorder="1"/>
    <xf numFmtId="0" fontId="9" fillId="0" borderId="36" xfId="3" applyFont="1" applyFill="1" applyBorder="1"/>
    <xf numFmtId="0" fontId="9" fillId="0" borderId="19" xfId="3" applyFont="1" applyFill="1" applyBorder="1"/>
    <xf numFmtId="0" fontId="9" fillId="0" borderId="16" xfId="3" applyFont="1" applyFill="1" applyBorder="1"/>
    <xf numFmtId="0" fontId="9" fillId="0" borderId="35" xfId="3" applyFont="1" applyFill="1" applyBorder="1"/>
    <xf numFmtId="0" fontId="9" fillId="0" borderId="15" xfId="3" applyFont="1" applyFill="1" applyBorder="1"/>
    <xf numFmtId="1" fontId="9" fillId="0" borderId="16" xfId="3" applyNumberFormat="1" applyFont="1" applyFill="1" applyBorder="1" applyAlignment="1">
      <alignment horizontal="center"/>
    </xf>
    <xf numFmtId="1" fontId="9" fillId="0" borderId="35" xfId="3" applyNumberFormat="1" applyFont="1" applyFill="1" applyBorder="1" applyAlignment="1">
      <alignment horizontal="center"/>
    </xf>
    <xf numFmtId="1" fontId="9" fillId="0" borderId="15" xfId="3" applyNumberFormat="1" applyFont="1" applyFill="1" applyBorder="1" applyAlignment="1">
      <alignment horizontal="center"/>
    </xf>
    <xf numFmtId="1" fontId="9" fillId="0" borderId="14" xfId="3" applyNumberFormat="1" applyFont="1" applyFill="1" applyBorder="1" applyAlignment="1">
      <alignment horizontal="center"/>
    </xf>
    <xf numFmtId="1" fontId="9" fillId="0" borderId="60" xfId="3" applyNumberFormat="1" applyFont="1" applyFill="1" applyBorder="1" applyAlignment="1">
      <alignment horizontal="center"/>
    </xf>
    <xf numFmtId="1" fontId="9" fillId="0" borderId="13" xfId="3" applyNumberFormat="1" applyFont="1" applyFill="1" applyBorder="1" applyAlignment="1">
      <alignment horizontal="center"/>
    </xf>
    <xf numFmtId="2" fontId="9" fillId="0" borderId="32" xfId="6" applyNumberFormat="1" applyFont="1" applyFill="1" applyBorder="1" applyAlignment="1">
      <alignment vertical="top"/>
    </xf>
    <xf numFmtId="2" fontId="9" fillId="0" borderId="38" xfId="6" applyNumberFormat="1" applyFont="1" applyFill="1" applyBorder="1" applyAlignment="1">
      <alignment vertical="top"/>
    </xf>
    <xf numFmtId="2" fontId="10" fillId="0" borderId="39" xfId="6" applyNumberFormat="1" applyFont="1" applyFill="1" applyBorder="1" applyAlignment="1">
      <alignment vertical="top"/>
    </xf>
    <xf numFmtId="0" fontId="10" fillId="0" borderId="0" xfId="5" applyFont="1"/>
    <xf numFmtId="0" fontId="16" fillId="0" borderId="0" xfId="5" applyFont="1"/>
    <xf numFmtId="167" fontId="10" fillId="0" borderId="1" xfId="5" applyNumberFormat="1" applyFont="1" applyBorder="1"/>
    <xf numFmtId="167" fontId="10" fillId="0" borderId="9" xfId="5" applyNumberFormat="1" applyFont="1" applyBorder="1"/>
    <xf numFmtId="167" fontId="10" fillId="0" borderId="0" xfId="5" applyNumberFormat="1" applyFont="1"/>
    <xf numFmtId="2" fontId="10" fillId="0" borderId="0" xfId="5" applyNumberFormat="1" applyFont="1"/>
    <xf numFmtId="0" fontId="16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0" fontId="16" fillId="0" borderId="37" xfId="5" applyFont="1" applyBorder="1" applyAlignment="1">
      <alignment horizontal="center"/>
    </xf>
    <xf numFmtId="0" fontId="16" fillId="0" borderId="61" xfId="5" applyFont="1" applyBorder="1" applyAlignment="1">
      <alignment horizontal="center"/>
    </xf>
    <xf numFmtId="0" fontId="16" fillId="0" borderId="31" xfId="5" applyFont="1" applyBorder="1" applyAlignment="1">
      <alignment horizontal="center"/>
    </xf>
    <xf numFmtId="1" fontId="16" fillId="0" borderId="37" xfId="5" applyNumberFormat="1" applyFont="1" applyBorder="1" applyAlignment="1">
      <alignment horizontal="center"/>
    </xf>
    <xf numFmtId="1" fontId="10" fillId="0" borderId="61" xfId="5" applyNumberFormat="1" applyFont="1" applyBorder="1" applyAlignment="1">
      <alignment horizontal="center"/>
    </xf>
    <xf numFmtId="1" fontId="10" fillId="0" borderId="31" xfId="5" applyNumberFormat="1" applyFont="1" applyBorder="1" applyAlignment="1">
      <alignment horizontal="center"/>
    </xf>
    <xf numFmtId="167" fontId="10" fillId="0" borderId="37" xfId="5" applyNumberFormat="1" applyFont="1" applyBorder="1"/>
    <xf numFmtId="167" fontId="10" fillId="0" borderId="10" xfId="5" applyNumberFormat="1" applyFont="1" applyBorder="1"/>
    <xf numFmtId="1" fontId="10" fillId="0" borderId="0" xfId="5" applyNumberFormat="1" applyFont="1"/>
    <xf numFmtId="0" fontId="17" fillId="0" borderId="0" xfId="5" applyFont="1"/>
    <xf numFmtId="1" fontId="18" fillId="0" borderId="9" xfId="5" applyNumberFormat="1" applyFont="1" applyBorder="1" applyAlignment="1">
      <alignment horizontal="center"/>
    </xf>
    <xf numFmtId="1" fontId="10" fillId="0" borderId="2" xfId="5" applyNumberFormat="1" applyFont="1" applyBorder="1" applyAlignment="1">
      <alignment horizontal="center"/>
    </xf>
    <xf numFmtId="1" fontId="10" fillId="0" borderId="3" xfId="5" applyNumberFormat="1" applyFont="1" applyBorder="1" applyAlignment="1">
      <alignment horizontal="center"/>
    </xf>
    <xf numFmtId="1" fontId="18" fillId="0" borderId="11" xfId="5" applyNumberFormat="1" applyFont="1" applyBorder="1" applyAlignment="1">
      <alignment horizontal="center"/>
    </xf>
    <xf numFmtId="1" fontId="10" fillId="0" borderId="0" xfId="5" applyNumberFormat="1" applyFont="1" applyBorder="1" applyAlignment="1">
      <alignment horizontal="center"/>
    </xf>
    <xf numFmtId="1" fontId="10" fillId="0" borderId="5" xfId="5" applyNumberFormat="1" applyFont="1" applyBorder="1" applyAlignment="1">
      <alignment horizontal="center"/>
    </xf>
    <xf numFmtId="1" fontId="18" fillId="0" borderId="12" xfId="5" applyNumberFormat="1" applyFont="1" applyBorder="1" applyAlignment="1">
      <alignment horizontal="center"/>
    </xf>
    <xf numFmtId="1" fontId="10" fillId="0" borderId="4" xfId="5" applyNumberFormat="1" applyFont="1" applyBorder="1" applyAlignment="1">
      <alignment horizontal="center"/>
    </xf>
    <xf numFmtId="1" fontId="18" fillId="0" borderId="0" xfId="5" applyNumberFormat="1" applyFont="1" applyBorder="1" applyAlignment="1">
      <alignment horizontal="center"/>
    </xf>
    <xf numFmtId="1" fontId="10" fillId="0" borderId="6" xfId="5" applyNumberFormat="1" applyFont="1" applyBorder="1" applyAlignment="1">
      <alignment horizontal="center"/>
    </xf>
    <xf numFmtId="1" fontId="10" fillId="0" borderId="7" xfId="5" applyNumberFormat="1" applyFont="1" applyBorder="1" applyAlignment="1">
      <alignment horizontal="center"/>
    </xf>
    <xf numFmtId="1" fontId="10" fillId="0" borderId="9" xfId="5" applyNumberFormat="1" applyFont="1" applyBorder="1" applyAlignment="1">
      <alignment horizontal="center"/>
    </xf>
    <xf numFmtId="1" fontId="10" fillId="0" borderId="0" xfId="5" applyNumberFormat="1" applyFont="1" applyAlignment="1">
      <alignment horizontal="center"/>
    </xf>
    <xf numFmtId="1" fontId="10" fillId="0" borderId="11" xfId="5" applyNumberFormat="1" applyFont="1" applyBorder="1" applyAlignment="1">
      <alignment horizontal="center"/>
    </xf>
    <xf numFmtId="1" fontId="10" fillId="0" borderId="12" xfId="5" applyNumberFormat="1" applyFont="1" applyBorder="1" applyAlignment="1">
      <alignment horizontal="center"/>
    </xf>
    <xf numFmtId="4" fontId="9" fillId="6" borderId="22" xfId="3" applyNumberFormat="1" applyFont="1" applyFill="1" applyBorder="1"/>
    <xf numFmtId="4" fontId="9" fillId="6" borderId="21" xfId="3" applyNumberFormat="1" applyFont="1" applyFill="1" applyBorder="1"/>
    <xf numFmtId="1" fontId="9" fillId="10" borderId="16" xfId="3" applyNumberFormat="1" applyFont="1" applyFill="1" applyBorder="1" applyAlignment="1">
      <alignment horizontal="center"/>
    </xf>
    <xf numFmtId="1" fontId="9" fillId="10" borderId="35" xfId="3" applyNumberFormat="1" applyFont="1" applyFill="1" applyBorder="1" applyAlignment="1">
      <alignment horizontal="center"/>
    </xf>
    <xf numFmtId="3" fontId="9" fillId="10" borderId="22" xfId="3" applyNumberFormat="1" applyFont="1" applyFill="1" applyBorder="1"/>
    <xf numFmtId="3" fontId="9" fillId="10" borderId="32" xfId="3" applyNumberFormat="1" applyFont="1" applyFill="1" applyBorder="1"/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3" applyFont="1" applyBorder="1" applyAlignment="1">
      <alignment wrapText="1"/>
    </xf>
    <xf numFmtId="0" fontId="4" fillId="0" borderId="11" xfId="3" applyBorder="1" applyAlignment="1">
      <alignment wrapText="1"/>
    </xf>
    <xf numFmtId="0" fontId="4" fillId="0" borderId="12" xfId="3" applyBorder="1"/>
  </cellXfs>
  <cellStyles count="7">
    <cellStyle name="Comma 2" xfId="2" xr:uid="{E92755C3-5835-42E4-994B-F6CC26DEFB9A}"/>
    <cellStyle name="Currency" xfId="6" builtinId="4"/>
    <cellStyle name="Currency 2" xfId="1" xr:uid="{C38ED973-A598-4B8F-A66F-17F82C80A3E5}"/>
    <cellStyle name="Normal" xfId="0" builtinId="0"/>
    <cellStyle name="Normal 2" xfId="3" xr:uid="{ED921C7F-81D9-4A85-8D38-B3B3CD7E822B}"/>
    <cellStyle name="Normal 3" xfId="4" xr:uid="{3ADB891C-8658-4F51-82CC-4972E2B4E609}"/>
    <cellStyle name="Normal 4" xfId="5" xr:uid="{695E9363-D74B-40BF-85E0-CC907B61AD8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'1.AggregatePlanBaseLP'!$A$1</c:f>
          <c:strCache>
            <c:ptCount val="1"/>
            <c:pt idx="0">
              <c:v>Aggregate Plan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'1.AggregatePlanBaseLP'!$I$3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'1.AggregatePlanBaseLP'!$A$5:$A$10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'1.AggregatePlanBaseLP'!$I$5:$I$10</c:f>
              <c:numCache>
                <c:formatCode>#,##0</c:formatCode>
                <c:ptCount val="6"/>
                <c:pt idx="0">
                  <c:v>2560</c:v>
                </c:pt>
                <c:pt idx="1">
                  <c:v>2560</c:v>
                </c:pt>
                <c:pt idx="2">
                  <c:v>2560</c:v>
                </c:pt>
                <c:pt idx="3">
                  <c:v>2560</c:v>
                </c:pt>
                <c:pt idx="4">
                  <c:v>2560</c:v>
                </c:pt>
                <c:pt idx="5">
                  <c:v>2560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D-4AE3-8CA6-BEE897B78FD8}"/>
            </c:ext>
          </c:extLst>
        </c:ser>
        <c:ser>
          <c:idx val="1"/>
          <c:order val="1"/>
          <c:tx>
            <c:strRef>
              <c:f>'1.AggregatePlanBaseLP'!$J$3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'1.AggregatePlanBaseLP'!$A$5:$A$10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'1.AggregatePlanBaseLP'!$J$5:$J$10</c:f>
              <c:numCache>
                <c:formatCode>General</c:formatCode>
                <c:ptCount val="6"/>
                <c:pt idx="0">
                  <c:v>1600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2200</c:v>
                </c:pt>
                <c:pt idx="5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FD-4AE3-8CA6-BEE897B78FD8}"/>
            </c:ext>
          </c:extLst>
        </c:ser>
        <c:ser>
          <c:idx val="2"/>
          <c:order val="2"/>
          <c:tx>
            <c:strRef>
              <c:f>'1.AggregatePlanBaseLP'!$E$3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'1.AggregatePlanBaseLP'!$A$5:$A$10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'1.AggregatePlanBaseLP'!$E$5:$E$10</c:f>
              <c:numCache>
                <c:formatCode>#,##0.0</c:formatCode>
                <c:ptCount val="6"/>
                <c:pt idx="0">
                  <c:v>1960</c:v>
                </c:pt>
                <c:pt idx="1">
                  <c:v>1520</c:v>
                </c:pt>
                <c:pt idx="2">
                  <c:v>880</c:v>
                </c:pt>
                <c:pt idx="3">
                  <c:v>0</c:v>
                </c:pt>
                <c:pt idx="4">
                  <c:v>140</c:v>
                </c:pt>
                <c:pt idx="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FD-4AE3-8CA6-BEE897B78FD8}"/>
            </c:ext>
          </c:extLst>
        </c:ser>
        <c:ser>
          <c:idx val="3"/>
          <c:order val="3"/>
          <c:tx>
            <c:strRef>
              <c:f>'1.AggregatePlanBaseLP'!$G$3</c:f>
              <c:strCache>
                <c:ptCount val="1"/>
                <c:pt idx="0">
                  <c:v>Subcontract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'1.AggregatePlanBaseLP'!$A$5:$A$10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'1.AggregatePlanBaseLP'!$G$5:$G$10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FD-4AE3-8CA6-BEE897B78FD8}"/>
            </c:ext>
          </c:extLst>
        </c:ser>
        <c:ser>
          <c:idx val="4"/>
          <c:order val="4"/>
          <c:tx>
            <c:strRef>
              <c:f>'1.AggregatePlanBaseLP'!$F$3</c:f>
              <c:strCache>
                <c:ptCount val="1"/>
                <c:pt idx="0">
                  <c:v>Stockout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'1.AggregatePlanBaseLP'!$A$5:$A$10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'1.AggregatePlanBaseLP'!$F$5:$F$10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FD-4AE3-8CA6-BEE897B78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33232"/>
        <c:axId val="820934064"/>
      </c:scatterChart>
      <c:valAx>
        <c:axId val="820933232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4064"/>
        <c:crosses val="autoZero"/>
        <c:crossBetween val="midCat"/>
      </c:valAx>
      <c:valAx>
        <c:axId val="8209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'1.AggregatePlanBaseLP (2)'!$A$1</c:f>
          <c:strCache>
            <c:ptCount val="1"/>
            <c:pt idx="0">
              <c:v>Aggregate Plan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'1.AggregatePlanBaseLP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'1.AggregatePlanBaseLP (2)'!$A$5:$A$10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E-448C-81A9-8865E814028B}"/>
            </c:ext>
          </c:extLst>
        </c:ser>
        <c:ser>
          <c:idx val="1"/>
          <c:order val="1"/>
          <c:tx>
            <c:strRef>
              <c:f>'1.AggregatePlanBaseLP (2)'!$J$3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'1.AggregatePlanBaseLP (2)'!$A$5:$A$10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 (2)'!$J$5:$J$10</c:f>
              <c:numCache>
                <c:formatCode>General</c:formatCode>
                <c:ptCount val="6"/>
                <c:pt idx="0">
                  <c:v>1600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2200</c:v>
                </c:pt>
                <c:pt idx="5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E-448C-81A9-8865E814028B}"/>
            </c:ext>
          </c:extLst>
        </c:ser>
        <c:ser>
          <c:idx val="2"/>
          <c:order val="2"/>
          <c:tx>
            <c:strRef>
              <c:f>'1.AggregatePlanBaseLP (2)'!$H$3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'1.AggregatePlanBaseLP (2)'!$A$5:$A$10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 (2)'!$H$5:$H$10</c:f>
              <c:numCache>
                <c:formatCode>#,##0.0</c:formatCode>
                <c:ptCount val="6"/>
                <c:pt idx="0">
                  <c:v>1960</c:v>
                </c:pt>
                <c:pt idx="1">
                  <c:v>1520</c:v>
                </c:pt>
                <c:pt idx="2">
                  <c:v>880</c:v>
                </c:pt>
                <c:pt idx="3">
                  <c:v>0</c:v>
                </c:pt>
                <c:pt idx="4">
                  <c:v>140</c:v>
                </c:pt>
                <c:pt idx="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E-448C-81A9-8865E814028B}"/>
            </c:ext>
          </c:extLst>
        </c:ser>
        <c:ser>
          <c:idx val="3"/>
          <c:order val="3"/>
          <c:tx>
            <c:strRef>
              <c:f>'1.AggregatePlanBaseLP (2)'!$G$3</c:f>
              <c:strCache>
                <c:ptCount val="1"/>
                <c:pt idx="0">
                  <c:v>Subcontract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'1.AggregatePlanBaseLP (2)'!$A$5:$A$10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 (2)'!$G$5:$G$10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E-448C-81A9-8865E814028B}"/>
            </c:ext>
          </c:extLst>
        </c:ser>
        <c:ser>
          <c:idx val="4"/>
          <c:order val="4"/>
          <c:tx>
            <c:strRef>
              <c:f>'1.AggregatePlanBaseLP (2)'!$I$3</c:f>
              <c:strCache>
                <c:ptCount val="1"/>
                <c:pt idx="0">
                  <c:v>Stockout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'1.AggregatePlanBaseLP (2)'!$A$5:$A$10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'1.AggregatePlanBaseLP (2)'!$I$5:$I$10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E-448C-81A9-8865E814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33232"/>
        <c:axId val="820934064"/>
      </c:scatterChart>
      <c:valAx>
        <c:axId val="820933232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4064"/>
        <c:crosses val="autoZero"/>
        <c:crossBetween val="midCat"/>
      </c:valAx>
      <c:valAx>
        <c:axId val="8209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'1b.LP.Sensit-MorVarDem'!$A$1</c:f>
          <c:strCache>
            <c:ptCount val="1"/>
            <c:pt idx="0">
              <c:v>Aggregate Plan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'1b.LP.Sensit-MorVarDem'!$I$3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'1b.LP.Sensit-MorVarDem'!$A$5:$A$10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'1b.LP.Sensit-MorVarDem'!$I$5:$I$10</c:f>
              <c:numCache>
                <c:formatCode>#,##0.0</c:formatCode>
                <c:ptCount val="6"/>
                <c:pt idx="0">
                  <c:v>2560</c:v>
                </c:pt>
                <c:pt idx="1">
                  <c:v>2560</c:v>
                </c:pt>
                <c:pt idx="2">
                  <c:v>2560</c:v>
                </c:pt>
                <c:pt idx="3">
                  <c:v>2560</c:v>
                </c:pt>
                <c:pt idx="4">
                  <c:v>2560</c:v>
                </c:pt>
                <c:pt idx="5">
                  <c:v>2560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C-42FD-98CC-1C2C792F632A}"/>
            </c:ext>
          </c:extLst>
        </c:ser>
        <c:ser>
          <c:idx val="1"/>
          <c:order val="1"/>
          <c:tx>
            <c:strRef>
              <c:f>'1b.LP.Sensit-MorVarDem'!$J$3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'1b.LP.Sensit-MorVarDem'!$A$5:$A$10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'1b.LP.Sensit-MorVarDem'!$J$5:$J$10</c:f>
              <c:numCache>
                <c:formatCode>General</c:formatCode>
                <c:ptCount val="6"/>
                <c:pt idx="0">
                  <c:v>1000</c:v>
                </c:pt>
                <c:pt idx="1">
                  <c:v>3000</c:v>
                </c:pt>
                <c:pt idx="2">
                  <c:v>3800</c:v>
                </c:pt>
                <c:pt idx="3">
                  <c:v>4800</c:v>
                </c:pt>
                <c:pt idx="4">
                  <c:v>2000</c:v>
                </c:pt>
                <c:pt idx="5">
                  <c:v>1400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C-42FD-98CC-1C2C792F632A}"/>
            </c:ext>
          </c:extLst>
        </c:ser>
        <c:ser>
          <c:idx val="2"/>
          <c:order val="2"/>
          <c:tx>
            <c:strRef>
              <c:f>'1b.LP.Sensit-MorVarDem'!$E$3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'1b.LP.Sensit-MorVarDem'!$A$5:$A$10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'1b.LP.Sensit-MorVarDem'!$E$5:$E$10</c:f>
              <c:numCache>
                <c:formatCode>#,##0.0</c:formatCode>
                <c:ptCount val="6"/>
                <c:pt idx="0">
                  <c:v>2560</c:v>
                </c:pt>
                <c:pt idx="1">
                  <c:v>2120</c:v>
                </c:pt>
                <c:pt idx="2">
                  <c:v>880</c:v>
                </c:pt>
                <c:pt idx="3">
                  <c:v>0</c:v>
                </c:pt>
                <c:pt idx="4">
                  <c:v>0</c:v>
                </c:pt>
                <c:pt idx="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8C-42FD-98CC-1C2C792F632A}"/>
            </c:ext>
          </c:extLst>
        </c:ser>
        <c:ser>
          <c:idx val="3"/>
          <c:order val="3"/>
          <c:tx>
            <c:strRef>
              <c:f>'1b.LP.Sensit-MorVarDem'!$G$3</c:f>
              <c:strCache>
                <c:ptCount val="1"/>
                <c:pt idx="0">
                  <c:v>Subcontract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'1b.LP.Sensit-MorVarDem'!$A$5:$A$10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'1b.LP.Sensit-MorVarDem'!$G$5:$G$10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C-42FD-98CC-1C2C792F632A}"/>
            </c:ext>
          </c:extLst>
        </c:ser>
        <c:ser>
          <c:idx val="4"/>
          <c:order val="4"/>
          <c:tx>
            <c:strRef>
              <c:f>'1b.LP.Sensit-MorVarDem'!$F$3</c:f>
              <c:strCache>
                <c:ptCount val="1"/>
                <c:pt idx="0">
                  <c:v>Stockout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'1b.LP.Sensit-MorVarDem'!$A$5:$A$10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'1b.LP.Sensit-MorVarDem'!$F$5:$F$10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1220</c:v>
                </c:pt>
                <c:pt idx="4">
                  <c:v>660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8C-42FD-98CC-1C2C792F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33232"/>
        <c:axId val="820934064"/>
      </c:scatterChart>
      <c:valAx>
        <c:axId val="820933232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4064"/>
        <c:crosses val="autoZero"/>
        <c:crossBetween val="midCat"/>
      </c:valAx>
      <c:valAx>
        <c:axId val="8209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'1c.LP.SensitLowCostHL'!$A$1</c:f>
          <c:strCache>
            <c:ptCount val="1"/>
            <c:pt idx="0">
              <c:v>Aggregate Plan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'1c.LP.SensitLowCostHL'!$I$3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'1c.LP.SensitLowCostHL'!$A$5:$A$10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'1c.LP.SensitLowCostHL'!$I$5:$I$10</c:f>
              <c:numCache>
                <c:formatCode>#,##0.00</c:formatCode>
                <c:ptCount val="6"/>
                <c:pt idx="0">
                  <c:v>1800</c:v>
                </c:pt>
                <c:pt idx="1">
                  <c:v>1800</c:v>
                </c:pt>
                <c:pt idx="2">
                  <c:v>3480</c:v>
                </c:pt>
                <c:pt idx="3">
                  <c:v>3520</c:v>
                </c:pt>
                <c:pt idx="4">
                  <c:v>2440</c:v>
                </c:pt>
                <c:pt idx="5">
                  <c:v>2440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F-4874-A809-C48A2CE5C9A1}"/>
            </c:ext>
          </c:extLst>
        </c:ser>
        <c:ser>
          <c:idx val="1"/>
          <c:order val="1"/>
          <c:tx>
            <c:strRef>
              <c:f>'1c.LP.SensitLowCostHL'!$J$3</c:f>
              <c:strCache>
                <c:ptCount val="1"/>
                <c:pt idx="0">
                  <c:v>Demand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'1c.LP.SensitLowCostHL'!$A$5:$A$10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'1c.LP.SensitLowCostHL'!$J$5:$J$10</c:f>
              <c:numCache>
                <c:formatCode>General</c:formatCode>
                <c:ptCount val="6"/>
                <c:pt idx="0">
                  <c:v>1600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2200</c:v>
                </c:pt>
                <c:pt idx="5">
                  <c:v>2200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F-4874-A809-C48A2CE5C9A1}"/>
            </c:ext>
          </c:extLst>
        </c:ser>
        <c:ser>
          <c:idx val="2"/>
          <c:order val="2"/>
          <c:tx>
            <c:strRef>
              <c:f>'1c.LP.SensitLowCostHL'!$E$3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'1c.LP.SensitLowCostHL'!$A$5:$A$10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'1c.LP.SensitLowCostHL'!$E$5:$E$10</c:f>
              <c:numCache>
                <c:formatCode>#,##0.00</c:formatCode>
                <c:ptCount val="6"/>
                <c:pt idx="0">
                  <c:v>1200</c:v>
                </c:pt>
                <c:pt idx="1">
                  <c:v>0</c:v>
                </c:pt>
                <c:pt idx="2">
                  <c:v>280</c:v>
                </c:pt>
                <c:pt idx="3">
                  <c:v>0</c:v>
                </c:pt>
                <c:pt idx="4">
                  <c:v>240</c:v>
                </c:pt>
                <c:pt idx="5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1F-4874-A809-C48A2CE5C9A1}"/>
            </c:ext>
          </c:extLst>
        </c:ser>
        <c:ser>
          <c:idx val="3"/>
          <c:order val="3"/>
          <c:tx>
            <c:strRef>
              <c:f>'1c.LP.SensitLowCostHL'!$G$3</c:f>
              <c:strCache>
                <c:ptCount val="1"/>
                <c:pt idx="0">
                  <c:v>Subcontract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'1c.LP.SensitLowCostHL'!$A$5:$A$10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'1c.LP.SensitLowCostHL'!$G$5:$G$10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1F-4874-A809-C48A2CE5C9A1}"/>
            </c:ext>
          </c:extLst>
        </c:ser>
        <c:ser>
          <c:idx val="4"/>
          <c:order val="4"/>
          <c:tx>
            <c:strRef>
              <c:f>'1c.LP.SensitLowCostHL'!$F$3</c:f>
              <c:strCache>
                <c:ptCount val="1"/>
                <c:pt idx="0">
                  <c:v>Stockout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'1c.LP.SensitLowCostHL'!$A$5:$A$10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'1c.LP.SensitLowCostHL'!$F$5:$F$10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1F-4874-A809-C48A2CE5C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33232"/>
        <c:axId val="820934064"/>
      </c:scatterChart>
      <c:valAx>
        <c:axId val="820933232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4064"/>
        <c:crosses val="autoZero"/>
        <c:crossBetween val="midCat"/>
      </c:valAx>
      <c:valAx>
        <c:axId val="8209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2093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Aggregate Plan</a:t>
            </a:r>
          </a:p>
        </c:rich>
      </c:tx>
      <c:layout>
        <c:manualLayout>
          <c:xMode val="edge"/>
          <c:yMode val="edge"/>
          <c:x val="0.4317425083240845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33407325194296E-2"/>
          <c:y val="0.12234910277324638"/>
          <c:w val="0.78246392896781303"/>
          <c:h val="0.77161500815660733"/>
        </c:manualLayout>
      </c:layout>
      <c:lineChart>
        <c:grouping val="standard"/>
        <c:varyColors val="0"/>
        <c:ser>
          <c:idx val="0"/>
          <c:order val="0"/>
          <c:tx>
            <c:v>Inventory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'Planning-Ardavan'!$H$5:$H$10</c:f>
              <c:numCache>
                <c:formatCode>#,##0</c:formatCode>
                <c:ptCount val="6"/>
                <c:pt idx="0">
                  <c:v>14900</c:v>
                </c:pt>
                <c:pt idx="1">
                  <c:v>11900</c:v>
                </c:pt>
                <c:pt idx="2">
                  <c:v>8700</c:v>
                </c:pt>
                <c:pt idx="3">
                  <c:v>4900</c:v>
                </c:pt>
                <c:pt idx="4">
                  <c:v>2700</c:v>
                </c:pt>
                <c:pt idx="5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6-4048-A819-C89E2ED1A6A7}"/>
            </c:ext>
          </c:extLst>
        </c:ser>
        <c:ser>
          <c:idx val="1"/>
          <c:order val="1"/>
          <c:tx>
            <c:v>Production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Planning!#REF!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6-4048-A819-C89E2ED1A6A7}"/>
            </c:ext>
          </c:extLst>
        </c:ser>
        <c:ser>
          <c:idx val="2"/>
          <c:order val="2"/>
          <c:tx>
            <c:v>Demand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'Planning-Ardavan'!$J$5:$J$10</c:f>
              <c:numCache>
                <c:formatCode>_(* #,##0_);_(* \(#,##0\);_(* "-"??_);_(@_)</c:formatCode>
                <c:ptCount val="6"/>
                <c:pt idx="0">
                  <c:v>1600</c:v>
                </c:pt>
                <c:pt idx="1">
                  <c:v>3000</c:v>
                </c:pt>
                <c:pt idx="2">
                  <c:v>3200</c:v>
                </c:pt>
                <c:pt idx="3">
                  <c:v>3800</c:v>
                </c:pt>
                <c:pt idx="4">
                  <c:v>2200</c:v>
                </c:pt>
                <c:pt idx="5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6-4048-A819-C89E2ED1A6A7}"/>
            </c:ext>
          </c:extLst>
        </c:ser>
        <c:ser>
          <c:idx val="3"/>
          <c:order val="3"/>
          <c:tx>
            <c:v>Stockout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'Planning-Ardavan'!$I$5:$I$10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6-4048-A819-C89E2ED1A6A7}"/>
            </c:ext>
          </c:extLst>
        </c:ser>
        <c:ser>
          <c:idx val="4"/>
          <c:order val="4"/>
          <c:tx>
            <c:v>Subcontracting</c:v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'Planning-Ardavan'!$F$5:$F$10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66-4048-A819-C89E2ED1A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70560"/>
        <c:axId val="56772864"/>
      </c:lineChart>
      <c:catAx>
        <c:axId val="567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42508324084350735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7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70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60599334073306"/>
          <c:y val="0.42251223491027756"/>
          <c:w val="0.14095449500554941"/>
          <c:h val="0.17292006525285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F6EBDC-27F8-4CC1-AD3F-FAAD1A4E359A}">
  <sheetPr codeName="Chart9"/>
  <sheetViews>
    <sheetView zoomScale="7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0</xdr:rowOff>
    </xdr:from>
    <xdr:to>
      <xdr:col>10</xdr:col>
      <xdr:colOff>49530</xdr:colOff>
      <xdr:row>14</xdr:row>
      <xdr:rowOff>125730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FFE3B0-A554-463C-A68D-34E91CF9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1640" y="0"/>
          <a:ext cx="2533650" cy="29527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87312</xdr:colOff>
      <xdr:row>32</xdr:row>
      <xdr:rowOff>7936</xdr:rowOff>
    </xdr:from>
    <xdr:to>
      <xdr:col>8</xdr:col>
      <xdr:colOff>235901</xdr:colOff>
      <xdr:row>51</xdr:row>
      <xdr:rowOff>23317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B9C5E1-AFCD-43A2-B7F4-FDA838CE6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6778624"/>
          <a:ext cx="5085714" cy="3952381"/>
        </a:xfrm>
        <a:prstGeom prst="rect">
          <a:avLst/>
        </a:prstGeom>
      </xdr:spPr>
    </xdr:pic>
    <xdr:clientData/>
  </xdr:twoCellAnchor>
  <xdr:twoCellAnchor>
    <xdr:from>
      <xdr:col>7</xdr:col>
      <xdr:colOff>4761</xdr:colOff>
      <xdr:row>12</xdr:row>
      <xdr:rowOff>65880</xdr:rowOff>
    </xdr:from>
    <xdr:to>
      <xdr:col>14</xdr:col>
      <xdr:colOff>379411</xdr:colOff>
      <xdr:row>25</xdr:row>
      <xdr:rowOff>111917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D55E9E-F2EE-4089-A27A-30EF04BA5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87312</xdr:colOff>
      <xdr:row>32</xdr:row>
      <xdr:rowOff>7936</xdr:rowOff>
    </xdr:from>
    <xdr:to>
      <xdr:col>8</xdr:col>
      <xdr:colOff>132714</xdr:colOff>
      <xdr:row>51</xdr:row>
      <xdr:rowOff>23317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7C3CA-701F-4DA0-90F1-74CB3918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337" y="6780211"/>
          <a:ext cx="5082539" cy="4006356"/>
        </a:xfrm>
        <a:prstGeom prst="rect">
          <a:avLst/>
        </a:prstGeom>
      </xdr:spPr>
    </xdr:pic>
    <xdr:clientData/>
  </xdr:twoCellAnchor>
  <xdr:twoCellAnchor>
    <xdr:from>
      <xdr:col>10</xdr:col>
      <xdr:colOff>84138</xdr:colOff>
      <xdr:row>19</xdr:row>
      <xdr:rowOff>169065</xdr:rowOff>
    </xdr:from>
    <xdr:to>
      <xdr:col>17</xdr:col>
      <xdr:colOff>109537</xdr:colOff>
      <xdr:row>32</xdr:row>
      <xdr:rowOff>159540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FF990-7405-476A-A217-CC9746BCE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87312</xdr:colOff>
      <xdr:row>32</xdr:row>
      <xdr:rowOff>7936</xdr:rowOff>
    </xdr:from>
    <xdr:to>
      <xdr:col>8</xdr:col>
      <xdr:colOff>235901</xdr:colOff>
      <xdr:row>51</xdr:row>
      <xdr:rowOff>23317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92B1D7-C770-474B-A05A-AE0BCAAD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337" y="6789736"/>
          <a:ext cx="5082539" cy="4006356"/>
        </a:xfrm>
        <a:prstGeom prst="rect">
          <a:avLst/>
        </a:prstGeom>
      </xdr:spPr>
    </xdr:pic>
    <xdr:clientData/>
  </xdr:twoCellAnchor>
  <xdr:twoCellAnchor>
    <xdr:from>
      <xdr:col>6</xdr:col>
      <xdr:colOff>331786</xdr:colOff>
      <xdr:row>11</xdr:row>
      <xdr:rowOff>140492</xdr:rowOff>
    </xdr:from>
    <xdr:to>
      <xdr:col>13</xdr:col>
      <xdr:colOff>484186</xdr:colOff>
      <xdr:row>25</xdr:row>
      <xdr:rowOff>18254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0E15F1-B631-48F9-A63A-170B0868E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87312</xdr:colOff>
      <xdr:row>32</xdr:row>
      <xdr:rowOff>7936</xdr:rowOff>
    </xdr:from>
    <xdr:to>
      <xdr:col>8</xdr:col>
      <xdr:colOff>235901</xdr:colOff>
      <xdr:row>51</xdr:row>
      <xdr:rowOff>23317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53ACA8-6938-48B4-BC6C-56E6F773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337" y="6789736"/>
          <a:ext cx="5082539" cy="4006356"/>
        </a:xfrm>
        <a:prstGeom prst="rect">
          <a:avLst/>
        </a:prstGeom>
      </xdr:spPr>
    </xdr:pic>
    <xdr:clientData/>
  </xdr:twoCellAnchor>
  <xdr:twoCellAnchor>
    <xdr:from>
      <xdr:col>7</xdr:col>
      <xdr:colOff>95248</xdr:colOff>
      <xdr:row>12</xdr:row>
      <xdr:rowOff>100805</xdr:rowOff>
    </xdr:from>
    <xdr:to>
      <xdr:col>14</xdr:col>
      <xdr:colOff>444498</xdr:colOff>
      <xdr:row>25</xdr:row>
      <xdr:rowOff>169067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89AFD0-2361-4E91-8DA8-942B0AED1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F2272-6C7B-4CBD-9468-88C618E902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8AB4-E521-4B3C-A4F4-FBF88A76DCA9}">
  <sheetPr codeName="Sheet1"/>
  <dimension ref="A1:H10"/>
  <sheetViews>
    <sheetView workbookViewId="0">
      <selection activeCell="E26" sqref="E25:E26"/>
    </sheetView>
  </sheetViews>
  <sheetFormatPr defaultColWidth="18.7109375" defaultRowHeight="16.5" x14ac:dyDescent="0.3"/>
  <cols>
    <col min="1" max="1" width="19.28515625" style="133" bestFit="1" customWidth="1"/>
    <col min="2" max="2" width="15" style="133" customWidth="1"/>
    <col min="3" max="3" width="13" style="133" customWidth="1"/>
    <col min="4" max="4" width="17" style="133" customWidth="1"/>
    <col min="5" max="5" width="15.5703125" style="133" bestFit="1" customWidth="1"/>
    <col min="6" max="6" width="18.28515625" style="133" bestFit="1" customWidth="1"/>
    <col min="7" max="7" width="18" style="133" bestFit="1" customWidth="1"/>
    <col min="8" max="8" width="18.42578125" style="133" bestFit="1" customWidth="1"/>
    <col min="9" max="16384" width="18.7109375" style="133"/>
  </cols>
  <sheetData>
    <row r="1" spans="1:8" ht="30" customHeight="1" thickTop="1" thickBot="1" x14ac:dyDescent="0.35">
      <c r="A1" s="134" t="s">
        <v>94</v>
      </c>
      <c r="B1" s="143" t="s">
        <v>95</v>
      </c>
      <c r="C1" s="143" t="s">
        <v>96</v>
      </c>
      <c r="D1" s="148" t="s">
        <v>107</v>
      </c>
      <c r="E1" s="149" t="s">
        <v>97</v>
      </c>
      <c r="F1" s="150" t="s">
        <v>98</v>
      </c>
      <c r="G1" s="143" t="s">
        <v>99</v>
      </c>
      <c r="H1" s="143" t="s">
        <v>100</v>
      </c>
    </row>
    <row r="2" spans="1:8" ht="18" thickTop="1" thickBot="1" x14ac:dyDescent="0.35">
      <c r="A2" s="135" t="s">
        <v>101</v>
      </c>
      <c r="B2" s="144">
        <v>15</v>
      </c>
      <c r="C2" s="144">
        <v>54</v>
      </c>
      <c r="D2" s="151">
        <v>8</v>
      </c>
      <c r="E2" s="135">
        <v>50</v>
      </c>
      <c r="F2" s="152">
        <v>5.6</v>
      </c>
      <c r="G2" s="144">
        <f t="shared" ref="G2:G7" si="0">(D2+E2*F2)/E2</f>
        <v>5.76</v>
      </c>
      <c r="H2" s="144">
        <v>10</v>
      </c>
    </row>
    <row r="3" spans="1:8" ht="17.25" thickBot="1" x14ac:dyDescent="0.35">
      <c r="A3" s="136" t="s">
        <v>102</v>
      </c>
      <c r="B3" s="145">
        <v>7</v>
      </c>
      <c r="C3" s="145">
        <v>30</v>
      </c>
      <c r="D3" s="153">
        <v>6</v>
      </c>
      <c r="E3" s="136">
        <v>150</v>
      </c>
      <c r="F3" s="154">
        <v>3</v>
      </c>
      <c r="G3" s="145">
        <f t="shared" si="0"/>
        <v>3.04</v>
      </c>
      <c r="H3" s="145">
        <v>25</v>
      </c>
    </row>
    <row r="4" spans="1:8" ht="17.25" thickBot="1" x14ac:dyDescent="0.35">
      <c r="A4" s="136" t="s">
        <v>103</v>
      </c>
      <c r="B4" s="145">
        <v>9</v>
      </c>
      <c r="C4" s="145">
        <v>39</v>
      </c>
      <c r="D4" s="153">
        <v>8</v>
      </c>
      <c r="E4" s="136">
        <v>100</v>
      </c>
      <c r="F4" s="154">
        <v>3.8</v>
      </c>
      <c r="G4" s="145">
        <f t="shared" si="0"/>
        <v>3.88</v>
      </c>
      <c r="H4" s="145">
        <v>20</v>
      </c>
    </row>
    <row r="5" spans="1:8" ht="17.25" thickBot="1" x14ac:dyDescent="0.35">
      <c r="A5" s="136" t="s">
        <v>104</v>
      </c>
      <c r="B5" s="145">
        <v>12</v>
      </c>
      <c r="C5" s="145">
        <v>49</v>
      </c>
      <c r="D5" s="153">
        <v>10</v>
      </c>
      <c r="E5" s="136">
        <v>50</v>
      </c>
      <c r="F5" s="154">
        <v>4.8</v>
      </c>
      <c r="G5" s="145">
        <f t="shared" si="0"/>
        <v>5</v>
      </c>
      <c r="H5" s="145">
        <v>10</v>
      </c>
    </row>
    <row r="6" spans="1:8" ht="17.25" thickBot="1" x14ac:dyDescent="0.35">
      <c r="A6" s="136" t="s">
        <v>105</v>
      </c>
      <c r="B6" s="145">
        <v>9</v>
      </c>
      <c r="C6" s="145">
        <v>36</v>
      </c>
      <c r="D6" s="153">
        <v>6</v>
      </c>
      <c r="E6" s="136">
        <v>100</v>
      </c>
      <c r="F6" s="154">
        <v>3.6</v>
      </c>
      <c r="G6" s="145">
        <f t="shared" si="0"/>
        <v>3.66</v>
      </c>
      <c r="H6" s="145">
        <v>20</v>
      </c>
    </row>
    <row r="7" spans="1:8" ht="17.25" thickBot="1" x14ac:dyDescent="0.35">
      <c r="A7" s="137" t="s">
        <v>106</v>
      </c>
      <c r="B7" s="160">
        <v>13</v>
      </c>
      <c r="C7" s="160">
        <v>48</v>
      </c>
      <c r="D7" s="155">
        <v>5</v>
      </c>
      <c r="E7" s="137">
        <v>75</v>
      </c>
      <c r="F7" s="156">
        <v>4.3</v>
      </c>
      <c r="G7" s="146">
        <f t="shared" si="0"/>
        <v>4.3666666666666663</v>
      </c>
      <c r="H7" s="146">
        <v>15</v>
      </c>
    </row>
    <row r="8" spans="1:8" ht="18" thickTop="1" thickBot="1" x14ac:dyDescent="0.35">
      <c r="A8" s="138" t="s">
        <v>108</v>
      </c>
      <c r="B8" s="142">
        <f>SUMPRODUCT(B2:B7,$H$2:$H$7)/100</f>
        <v>10</v>
      </c>
      <c r="C8" s="142">
        <f t="shared" ref="C8:F8" si="1">SUMPRODUCT(C2:C7,$H$2:$H$7)/100</f>
        <v>40</v>
      </c>
      <c r="D8" s="157">
        <f t="shared" si="1"/>
        <v>6.85</v>
      </c>
      <c r="E8" s="158">
        <f t="shared" si="1"/>
        <v>98.75</v>
      </c>
      <c r="F8" s="159">
        <f t="shared" si="1"/>
        <v>3.915</v>
      </c>
      <c r="G8" s="142">
        <f>SUMPRODUCT(G2:G7,$H$2:$H$7)/100</f>
        <v>3.9989999999999997</v>
      </c>
      <c r="H8" s="147">
        <f>SUM(H2:H7)</f>
        <v>100</v>
      </c>
    </row>
    <row r="9" spans="1:8" x14ac:dyDescent="0.3">
      <c r="A9" s="138"/>
      <c r="B9" s="138"/>
      <c r="C9" s="138"/>
      <c r="D9" s="138"/>
      <c r="E9" s="138"/>
      <c r="F9" s="138"/>
      <c r="G9" s="138"/>
      <c r="H9" s="138"/>
    </row>
    <row r="10" spans="1:8" x14ac:dyDescent="0.3">
      <c r="A10" s="138"/>
      <c r="B10" s="138"/>
      <c r="C10" s="138"/>
      <c r="D10" s="138"/>
      <c r="E10" s="138"/>
      <c r="F10" s="138"/>
      <c r="G10" s="138"/>
      <c r="H10" s="13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5529-C5BD-4849-9CFF-642EFA575C42}">
  <sheetPr codeName="Sheet2">
    <tabColor rgb="FFFFFF00"/>
    <pageSetUpPr fitToPage="1"/>
  </sheetPr>
  <dimension ref="A1:V33"/>
  <sheetViews>
    <sheetView zoomScale="120" workbookViewId="0">
      <selection activeCell="J5" sqref="J5:J10"/>
    </sheetView>
  </sheetViews>
  <sheetFormatPr defaultColWidth="9.140625" defaultRowHeight="16.5" x14ac:dyDescent="0.3"/>
  <cols>
    <col min="1" max="1" width="8.7109375" style="81" customWidth="1"/>
    <col min="2" max="2" width="8.5703125" style="81" bestFit="1" customWidth="1"/>
    <col min="3" max="3" width="10.5703125" style="81" bestFit="1" customWidth="1"/>
    <col min="4" max="4" width="10.140625" style="81" bestFit="1" customWidth="1"/>
    <col min="5" max="5" width="9.7109375" style="81" bestFit="1" customWidth="1"/>
    <col min="6" max="6" width="10" style="81" customWidth="1"/>
    <col min="7" max="7" width="12.42578125" style="81" bestFit="1" customWidth="1"/>
    <col min="8" max="8" width="12.5703125" style="81" customWidth="1"/>
    <col min="9" max="9" width="11.7109375" style="81" bestFit="1" customWidth="1"/>
    <col min="10" max="10" width="9.28515625" style="81" bestFit="1" customWidth="1"/>
    <col min="11" max="11" width="5.42578125" style="81" customWidth="1"/>
    <col min="12" max="12" width="2.7109375" style="81" customWidth="1"/>
    <col min="13" max="13" width="12" style="81" bestFit="1" customWidth="1"/>
    <col min="14" max="14" width="9.5703125" style="81" bestFit="1" customWidth="1"/>
    <col min="15" max="15" width="10.42578125" style="81" bestFit="1" customWidth="1"/>
    <col min="16" max="16" width="10.140625" style="81" customWidth="1"/>
    <col min="17" max="17" width="4" style="81" customWidth="1"/>
    <col min="18" max="18" width="42.42578125" style="81" customWidth="1"/>
    <col min="19" max="19" width="9.28515625" style="81" customWidth="1"/>
    <col min="20" max="16384" width="9.140625" style="81"/>
  </cols>
  <sheetData>
    <row r="1" spans="1:22" ht="17.25" thickBot="1" x14ac:dyDescent="0.35">
      <c r="A1" s="81" t="s">
        <v>131</v>
      </c>
      <c r="C1" s="81" t="s">
        <v>132</v>
      </c>
      <c r="M1" s="81" t="s">
        <v>88</v>
      </c>
    </row>
    <row r="2" spans="1:22" ht="17.25" thickBot="1" x14ac:dyDescent="0.35">
      <c r="A2" s="105"/>
      <c r="B2" s="104" t="s">
        <v>54</v>
      </c>
      <c r="C2" s="104" t="s">
        <v>55</v>
      </c>
      <c r="D2" s="104" t="s">
        <v>57</v>
      </c>
      <c r="E2" s="104" t="s">
        <v>58</v>
      </c>
      <c r="F2" s="104" t="s">
        <v>87</v>
      </c>
      <c r="G2" s="104" t="s">
        <v>86</v>
      </c>
      <c r="H2" s="104" t="s">
        <v>56</v>
      </c>
      <c r="I2" s="103" t="s">
        <v>65</v>
      </c>
    </row>
    <row r="3" spans="1:22" ht="17.25" thickBot="1" x14ac:dyDescent="0.35">
      <c r="A3" s="90" t="s">
        <v>0</v>
      </c>
      <c r="B3" s="102" t="s">
        <v>52</v>
      </c>
      <c r="C3" s="102" t="s">
        <v>51</v>
      </c>
      <c r="D3" s="102" t="s">
        <v>49</v>
      </c>
      <c r="E3" s="102" t="s">
        <v>48</v>
      </c>
      <c r="F3" s="102" t="s">
        <v>47</v>
      </c>
      <c r="G3" s="102" t="s">
        <v>25</v>
      </c>
      <c r="H3" s="102" t="s">
        <v>50</v>
      </c>
      <c r="I3" s="101" t="s">
        <v>19</v>
      </c>
      <c r="J3" s="100" t="s">
        <v>46</v>
      </c>
      <c r="K3" s="99" t="s">
        <v>76</v>
      </c>
      <c r="M3" s="167" t="s">
        <v>74</v>
      </c>
      <c r="N3" s="168" t="s">
        <v>75</v>
      </c>
      <c r="O3" s="98" t="s">
        <v>48</v>
      </c>
      <c r="P3" s="97" t="s">
        <v>49</v>
      </c>
      <c r="R3" s="96" t="s">
        <v>85</v>
      </c>
      <c r="S3" s="82"/>
      <c r="T3" s="82"/>
      <c r="U3" s="82"/>
      <c r="V3" s="82"/>
    </row>
    <row r="4" spans="1:22" x14ac:dyDescent="0.3">
      <c r="A4" s="92">
        <v>0</v>
      </c>
      <c r="B4" s="119">
        <v>0</v>
      </c>
      <c r="C4" s="119">
        <v>0</v>
      </c>
      <c r="D4" s="119">
        <v>0</v>
      </c>
      <c r="E4" s="119">
        <v>1000</v>
      </c>
      <c r="F4" s="119">
        <v>0</v>
      </c>
      <c r="G4" s="119">
        <v>0</v>
      </c>
      <c r="H4" s="120">
        <v>80</v>
      </c>
      <c r="I4" s="121"/>
      <c r="J4" s="95"/>
      <c r="K4" s="95"/>
      <c r="M4" s="170"/>
      <c r="N4" s="171"/>
      <c r="O4" s="94"/>
      <c r="P4" s="93"/>
      <c r="R4" s="84" t="s">
        <v>42</v>
      </c>
      <c r="S4" s="83"/>
      <c r="T4" s="82"/>
      <c r="U4" s="82"/>
      <c r="V4" s="82"/>
    </row>
    <row r="5" spans="1:22" ht="17.25" thickBot="1" x14ac:dyDescent="0.35">
      <c r="A5" s="92">
        <v>1</v>
      </c>
      <c r="B5" s="106">
        <v>0</v>
      </c>
      <c r="C5" s="106">
        <v>16</v>
      </c>
      <c r="D5" s="106">
        <v>0</v>
      </c>
      <c r="E5" s="106">
        <v>1960</v>
      </c>
      <c r="F5" s="106">
        <v>0</v>
      </c>
      <c r="G5" s="106">
        <v>0</v>
      </c>
      <c r="H5" s="228">
        <v>64</v>
      </c>
      <c r="I5" s="229">
        <v>2560</v>
      </c>
      <c r="J5" s="163">
        <v>1600</v>
      </c>
      <c r="K5" s="91">
        <f t="shared" ref="K5:K10" si="0">IF($E$15=1,IF(A5=$E$21,$H$16-1,$H$16),$H$16)</f>
        <v>0</v>
      </c>
      <c r="M5" s="226">
        <f>H4+B5-C5-H5</f>
        <v>0</v>
      </c>
      <c r="N5" s="227">
        <f>I5-$S$31*H5-D5/$S$27</f>
        <v>0</v>
      </c>
      <c r="O5" s="88">
        <f t="shared" ref="O5:O10" si="1">E4+I5+G5-F4-J5-E5+F5</f>
        <v>0</v>
      </c>
      <c r="P5" s="87">
        <f>D5-H5*$S$32</f>
        <v>-640</v>
      </c>
      <c r="R5" s="83" t="s">
        <v>84</v>
      </c>
      <c r="S5" s="83">
        <v>1000</v>
      </c>
      <c r="T5" s="82"/>
      <c r="U5" s="82"/>
      <c r="V5" s="82"/>
    </row>
    <row r="6" spans="1:22" ht="17.25" thickBot="1" x14ac:dyDescent="0.35">
      <c r="A6" s="92">
        <v>2</v>
      </c>
      <c r="B6" s="106">
        <v>0</v>
      </c>
      <c r="C6" s="106">
        <v>0</v>
      </c>
      <c r="D6" s="106">
        <v>0</v>
      </c>
      <c r="E6" s="106">
        <v>1520</v>
      </c>
      <c r="F6" s="106">
        <v>0</v>
      </c>
      <c r="G6" s="106">
        <v>0</v>
      </c>
      <c r="H6" s="228">
        <v>64</v>
      </c>
      <c r="I6" s="229">
        <v>2560</v>
      </c>
      <c r="J6" s="163">
        <v>3000</v>
      </c>
      <c r="K6" s="91">
        <f t="shared" si="0"/>
        <v>0</v>
      </c>
      <c r="M6" s="226">
        <f t="shared" ref="M6:M10" si="2">H5+B6-C6-H6</f>
        <v>0</v>
      </c>
      <c r="N6" s="227">
        <f t="shared" ref="N6:N10" si="3">I6-$S$31*H6-D6/$S$27</f>
        <v>0</v>
      </c>
      <c r="O6" s="88">
        <f t="shared" si="1"/>
        <v>0</v>
      </c>
      <c r="P6" s="87">
        <f t="shared" ref="P6:P10" si="4">D6-H6*$S$32</f>
        <v>-640</v>
      </c>
      <c r="R6" s="108" t="s">
        <v>43</v>
      </c>
      <c r="S6" s="109" t="s">
        <v>46</v>
      </c>
      <c r="T6" s="82"/>
      <c r="U6" s="82"/>
      <c r="V6" s="82"/>
    </row>
    <row r="7" spans="1:22" x14ac:dyDescent="0.3">
      <c r="A7" s="92">
        <v>3</v>
      </c>
      <c r="B7" s="106">
        <v>0</v>
      </c>
      <c r="C7" s="106">
        <v>0</v>
      </c>
      <c r="D7" s="106">
        <v>0</v>
      </c>
      <c r="E7" s="106">
        <v>880</v>
      </c>
      <c r="F7" s="106">
        <v>0</v>
      </c>
      <c r="G7" s="106">
        <v>0</v>
      </c>
      <c r="H7" s="228">
        <v>64</v>
      </c>
      <c r="I7" s="229">
        <v>2560</v>
      </c>
      <c r="J7" s="163">
        <v>3200</v>
      </c>
      <c r="K7" s="91">
        <f t="shared" si="0"/>
        <v>0</v>
      </c>
      <c r="M7" s="226">
        <f t="shared" si="2"/>
        <v>0</v>
      </c>
      <c r="N7" s="227">
        <f t="shared" si="3"/>
        <v>0</v>
      </c>
      <c r="O7" s="88">
        <f t="shared" si="1"/>
        <v>0</v>
      </c>
      <c r="P7" s="87">
        <f t="shared" si="4"/>
        <v>-640</v>
      </c>
      <c r="R7" s="110" t="s">
        <v>41</v>
      </c>
      <c r="S7" s="111">
        <v>1600</v>
      </c>
      <c r="T7" s="82"/>
      <c r="U7" s="82"/>
      <c r="V7" s="82"/>
    </row>
    <row r="8" spans="1:22" x14ac:dyDescent="0.3">
      <c r="A8" s="92">
        <v>4</v>
      </c>
      <c r="B8" s="106">
        <v>0</v>
      </c>
      <c r="C8" s="106">
        <v>0</v>
      </c>
      <c r="D8" s="106">
        <v>0</v>
      </c>
      <c r="E8" s="106">
        <v>0</v>
      </c>
      <c r="F8" s="106">
        <v>220</v>
      </c>
      <c r="G8" s="106">
        <v>140</v>
      </c>
      <c r="H8" s="228">
        <v>64</v>
      </c>
      <c r="I8" s="229">
        <v>2560</v>
      </c>
      <c r="J8" s="163">
        <v>3800</v>
      </c>
      <c r="K8" s="91">
        <f t="shared" si="0"/>
        <v>0</v>
      </c>
      <c r="M8" s="226">
        <f t="shared" si="2"/>
        <v>0</v>
      </c>
      <c r="N8" s="227">
        <f t="shared" si="3"/>
        <v>0</v>
      </c>
      <c r="O8" s="88">
        <f t="shared" si="1"/>
        <v>0</v>
      </c>
      <c r="P8" s="87">
        <f t="shared" si="4"/>
        <v>-640</v>
      </c>
      <c r="R8" s="110" t="s">
        <v>40</v>
      </c>
      <c r="S8" s="111">
        <v>3000</v>
      </c>
      <c r="T8" s="82"/>
      <c r="U8" s="82"/>
      <c r="V8" s="82"/>
    </row>
    <row r="9" spans="1:22" x14ac:dyDescent="0.3">
      <c r="A9" s="92">
        <v>5</v>
      </c>
      <c r="B9" s="106">
        <v>0</v>
      </c>
      <c r="C9" s="106">
        <v>0</v>
      </c>
      <c r="D9" s="106">
        <v>0</v>
      </c>
      <c r="E9" s="106">
        <v>140</v>
      </c>
      <c r="F9" s="106">
        <v>0</v>
      </c>
      <c r="G9" s="106">
        <v>0</v>
      </c>
      <c r="H9" s="228">
        <v>64</v>
      </c>
      <c r="I9" s="229">
        <v>2560</v>
      </c>
      <c r="J9" s="163">
        <v>2200</v>
      </c>
      <c r="K9" s="91">
        <f t="shared" si="0"/>
        <v>0</v>
      </c>
      <c r="M9" s="226">
        <f t="shared" si="2"/>
        <v>0</v>
      </c>
      <c r="N9" s="227">
        <f t="shared" si="3"/>
        <v>0</v>
      </c>
      <c r="O9" s="88">
        <f t="shared" si="1"/>
        <v>0</v>
      </c>
      <c r="P9" s="87">
        <f t="shared" si="4"/>
        <v>-640</v>
      </c>
      <c r="R9" s="110" t="s">
        <v>39</v>
      </c>
      <c r="S9" s="111">
        <v>3200</v>
      </c>
      <c r="T9" s="82"/>
      <c r="U9" s="82"/>
      <c r="V9" s="82"/>
    </row>
    <row r="10" spans="1:22" ht="17.25" thickBot="1" x14ac:dyDescent="0.35">
      <c r="A10" s="90">
        <v>6</v>
      </c>
      <c r="B10" s="107">
        <v>0</v>
      </c>
      <c r="C10" s="107">
        <v>0</v>
      </c>
      <c r="D10" s="107">
        <v>0</v>
      </c>
      <c r="E10" s="107">
        <v>500</v>
      </c>
      <c r="F10" s="107">
        <v>0</v>
      </c>
      <c r="G10" s="107">
        <v>0</v>
      </c>
      <c r="H10" s="228">
        <v>64</v>
      </c>
      <c r="I10" s="229">
        <v>2560</v>
      </c>
      <c r="J10" s="164">
        <v>2200</v>
      </c>
      <c r="K10" s="89">
        <f t="shared" si="0"/>
        <v>0</v>
      </c>
      <c r="M10" s="226">
        <f t="shared" si="2"/>
        <v>0</v>
      </c>
      <c r="N10" s="227">
        <f t="shared" si="3"/>
        <v>0</v>
      </c>
      <c r="O10" s="88">
        <f t="shared" si="1"/>
        <v>0</v>
      </c>
      <c r="P10" s="87">
        <f t="shared" si="4"/>
        <v>-640</v>
      </c>
      <c r="R10" s="110" t="s">
        <v>38</v>
      </c>
      <c r="S10" s="111">
        <v>3800</v>
      </c>
      <c r="T10" s="82"/>
      <c r="U10" s="82"/>
      <c r="V10" s="82"/>
    </row>
    <row r="11" spans="1:22" ht="17.25" thickBot="1" x14ac:dyDescent="0.35">
      <c r="B11" s="86">
        <f t="shared" ref="B11:I11" si="5">SUM(B5:B10)</f>
        <v>0</v>
      </c>
      <c r="C11" s="86">
        <f t="shared" si="5"/>
        <v>16</v>
      </c>
      <c r="D11" s="86">
        <f t="shared" si="5"/>
        <v>0</v>
      </c>
      <c r="E11" s="86">
        <f t="shared" si="5"/>
        <v>5000</v>
      </c>
      <c r="F11" s="86">
        <f t="shared" si="5"/>
        <v>220</v>
      </c>
      <c r="G11" s="86">
        <f t="shared" si="5"/>
        <v>140</v>
      </c>
      <c r="H11" s="86">
        <f t="shared" si="5"/>
        <v>384</v>
      </c>
      <c r="I11" s="86">
        <f t="shared" si="5"/>
        <v>15360</v>
      </c>
      <c r="M11" s="85" t="s">
        <v>83</v>
      </c>
      <c r="N11" s="85" t="s">
        <v>79</v>
      </c>
      <c r="O11" s="85" t="s">
        <v>83</v>
      </c>
      <c r="P11" s="85" t="s">
        <v>79</v>
      </c>
      <c r="R11" s="110" t="s">
        <v>37</v>
      </c>
      <c r="S11" s="111">
        <v>2200</v>
      </c>
      <c r="T11" s="82"/>
      <c r="U11" s="82"/>
      <c r="V11" s="82"/>
    </row>
    <row r="12" spans="1:22" s="82" customFormat="1" ht="17.25" thickBot="1" x14ac:dyDescent="0.35">
      <c r="B12" s="122">
        <f>S20</f>
        <v>300</v>
      </c>
      <c r="C12" s="122">
        <f>S21</f>
        <v>500</v>
      </c>
      <c r="D12" s="122">
        <f>S23</f>
        <v>6</v>
      </c>
      <c r="E12" s="122">
        <f>S18</f>
        <v>2</v>
      </c>
      <c r="F12" s="122">
        <f>S19</f>
        <v>5</v>
      </c>
      <c r="G12" s="122">
        <f>S24</f>
        <v>30</v>
      </c>
      <c r="H12" s="122">
        <f>S25</f>
        <v>640</v>
      </c>
      <c r="I12" s="122">
        <f>S32</f>
        <v>10</v>
      </c>
      <c r="J12" s="123">
        <f>SUMPRODUCT(B11:I11,B12:I12)</f>
        <v>422660</v>
      </c>
      <c r="R12" s="112" t="s">
        <v>36</v>
      </c>
      <c r="S12" s="113">
        <v>2200</v>
      </c>
    </row>
    <row r="13" spans="1:22" s="82" customFormat="1" ht="15" customHeight="1" x14ac:dyDescent="0.3">
      <c r="R13" s="84" t="s">
        <v>82</v>
      </c>
      <c r="S13" s="84">
        <v>500</v>
      </c>
    </row>
    <row r="14" spans="1:22" s="82" customFormat="1" x14ac:dyDescent="0.3">
      <c r="A14" s="162" t="s">
        <v>109</v>
      </c>
      <c r="B14" s="82" t="s">
        <v>117</v>
      </c>
      <c r="C14" s="161"/>
      <c r="S14" s="82">
        <v>422660</v>
      </c>
    </row>
    <row r="15" spans="1:22" s="82" customFormat="1" ht="17.25" thickBot="1" x14ac:dyDescent="0.35">
      <c r="A15" s="162" t="s">
        <v>110</v>
      </c>
      <c r="B15" s="82" t="s">
        <v>118</v>
      </c>
      <c r="C15" s="161"/>
      <c r="R15" s="84" t="s">
        <v>24</v>
      </c>
    </row>
    <row r="16" spans="1:22" s="82" customFormat="1" ht="15" customHeight="1" thickBot="1" x14ac:dyDescent="0.35">
      <c r="A16" s="162" t="s">
        <v>111</v>
      </c>
      <c r="B16" s="82" t="s">
        <v>119</v>
      </c>
      <c r="C16" s="161"/>
      <c r="R16" s="114" t="s">
        <v>35</v>
      </c>
      <c r="S16" s="115" t="s">
        <v>20</v>
      </c>
    </row>
    <row r="17" spans="1:19" s="82" customFormat="1" x14ac:dyDescent="0.3">
      <c r="A17" s="162" t="s">
        <v>112</v>
      </c>
      <c r="B17" s="82" t="s">
        <v>120</v>
      </c>
      <c r="C17" s="161"/>
      <c r="R17" s="116" t="s">
        <v>34</v>
      </c>
      <c r="S17" s="139">
        <v>10</v>
      </c>
    </row>
    <row r="18" spans="1:19" s="82" customFormat="1" x14ac:dyDescent="0.3">
      <c r="A18" s="162" t="s">
        <v>113</v>
      </c>
      <c r="B18" s="82" t="s">
        <v>121</v>
      </c>
      <c r="C18" s="161"/>
      <c r="H18"/>
      <c r="I18"/>
      <c r="J18"/>
      <c r="K18"/>
      <c r="L18"/>
      <c r="M18"/>
      <c r="R18" s="117" t="s">
        <v>33</v>
      </c>
      <c r="S18" s="140">
        <v>2</v>
      </c>
    </row>
    <row r="19" spans="1:19" s="82" customFormat="1" ht="15.75" customHeight="1" x14ac:dyDescent="0.3">
      <c r="A19" s="162" t="s">
        <v>114</v>
      </c>
      <c r="B19" s="82" t="s">
        <v>122</v>
      </c>
      <c r="C19" s="161"/>
      <c r="H19"/>
      <c r="I19"/>
      <c r="J19"/>
      <c r="K19"/>
      <c r="L19"/>
      <c r="M19"/>
      <c r="R19" s="117" t="s">
        <v>32</v>
      </c>
      <c r="S19" s="140">
        <v>5</v>
      </c>
    </row>
    <row r="20" spans="1:19" s="82" customFormat="1" x14ac:dyDescent="0.3">
      <c r="A20" s="162" t="s">
        <v>115</v>
      </c>
      <c r="B20" s="82" t="s">
        <v>123</v>
      </c>
      <c r="C20" s="161"/>
      <c r="H20"/>
      <c r="I20"/>
      <c r="J20"/>
      <c r="K20"/>
      <c r="L20"/>
      <c r="M20"/>
      <c r="R20" s="117" t="s">
        <v>31</v>
      </c>
      <c r="S20" s="140">
        <v>300</v>
      </c>
    </row>
    <row r="21" spans="1:19" s="82" customFormat="1" x14ac:dyDescent="0.3">
      <c r="A21" s="162" t="s">
        <v>116</v>
      </c>
      <c r="B21" s="82" t="s">
        <v>124</v>
      </c>
      <c r="C21" s="161"/>
      <c r="H21"/>
      <c r="I21"/>
      <c r="J21"/>
      <c r="K21"/>
      <c r="L21"/>
      <c r="M21"/>
      <c r="R21" s="117" t="s">
        <v>30</v>
      </c>
      <c r="S21" s="140">
        <v>500</v>
      </c>
    </row>
    <row r="22" spans="1:19" s="82" customFormat="1" x14ac:dyDescent="0.3">
      <c r="H22"/>
      <c r="I22"/>
      <c r="J22"/>
      <c r="K22"/>
      <c r="L22"/>
      <c r="M22"/>
      <c r="R22" s="117" t="s">
        <v>28</v>
      </c>
      <c r="S22" s="140">
        <v>4</v>
      </c>
    </row>
    <row r="23" spans="1:19" s="82" customFormat="1" x14ac:dyDescent="0.3">
      <c r="H23"/>
      <c r="I23"/>
      <c r="J23"/>
      <c r="K23"/>
      <c r="L23"/>
      <c r="M23"/>
      <c r="R23" s="117" t="s">
        <v>27</v>
      </c>
      <c r="S23" s="140">
        <v>6</v>
      </c>
    </row>
    <row r="24" spans="1:19" s="82" customFormat="1" x14ac:dyDescent="0.3">
      <c r="H24"/>
      <c r="I24"/>
      <c r="J24"/>
      <c r="K24"/>
      <c r="L24"/>
      <c r="M24"/>
      <c r="R24" s="117" t="s">
        <v>26</v>
      </c>
      <c r="S24" s="140">
        <v>30</v>
      </c>
    </row>
    <row r="25" spans="1:19" s="82" customFormat="1" ht="17.25" thickBot="1" x14ac:dyDescent="0.35">
      <c r="R25" s="118" t="s">
        <v>81</v>
      </c>
      <c r="S25" s="141">
        <f>S22*S30</f>
        <v>640</v>
      </c>
    </row>
    <row r="26" spans="1:19" s="82" customFormat="1" ht="17.25" thickBot="1" x14ac:dyDescent="0.35"/>
    <row r="27" spans="1:19" s="82" customFormat="1" ht="17.25" thickBot="1" x14ac:dyDescent="0.35">
      <c r="R27" s="124" t="s">
        <v>29</v>
      </c>
      <c r="S27" s="129">
        <v>4</v>
      </c>
    </row>
    <row r="28" spans="1:19" s="82" customFormat="1" x14ac:dyDescent="0.3">
      <c r="R28" s="125" t="s">
        <v>125</v>
      </c>
      <c r="S28" s="130">
        <v>8</v>
      </c>
    </row>
    <row r="29" spans="1:19" s="82" customFormat="1" x14ac:dyDescent="0.3">
      <c r="R29" s="126" t="s">
        <v>126</v>
      </c>
      <c r="S29" s="131">
        <v>20</v>
      </c>
    </row>
    <row r="30" spans="1:19" s="82" customFormat="1" x14ac:dyDescent="0.3">
      <c r="R30" s="126" t="s">
        <v>127</v>
      </c>
      <c r="S30" s="131">
        <f>S28*S29</f>
        <v>160</v>
      </c>
    </row>
    <row r="31" spans="1:19" s="82" customFormat="1" x14ac:dyDescent="0.3">
      <c r="R31" s="127" t="s">
        <v>128</v>
      </c>
      <c r="S31" s="132">
        <f>S30/S27</f>
        <v>40</v>
      </c>
    </row>
    <row r="32" spans="1:19" x14ac:dyDescent="0.3">
      <c r="R32" s="126" t="s">
        <v>129</v>
      </c>
      <c r="S32" s="131">
        <v>10</v>
      </c>
    </row>
    <row r="33" spans="18:19" ht="17.25" thickBot="1" x14ac:dyDescent="0.35">
      <c r="R33" s="128" t="s">
        <v>130</v>
      </c>
      <c r="S33" s="118">
        <f>S32/S27</f>
        <v>2.5</v>
      </c>
    </row>
  </sheetData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8F45-686E-4A60-90BB-38625D4E6A1A}">
  <sheetPr>
    <tabColor rgb="FFFFFF00"/>
    <pageSetUpPr fitToPage="1"/>
  </sheetPr>
  <dimension ref="A1:W33"/>
  <sheetViews>
    <sheetView tabSelected="1" zoomScale="120" workbookViewId="0">
      <selection activeCell="A2" sqref="A2:P10"/>
    </sheetView>
  </sheetViews>
  <sheetFormatPr defaultColWidth="9.140625" defaultRowHeight="16.5" x14ac:dyDescent="0.3"/>
  <cols>
    <col min="1" max="1" width="8.7109375" style="81" customWidth="1"/>
    <col min="2" max="2" width="8.5703125" style="81" bestFit="1" customWidth="1"/>
    <col min="3" max="3" width="10.5703125" style="81" bestFit="1" customWidth="1"/>
    <col min="4" max="4" width="12.42578125" style="81" customWidth="1"/>
    <col min="5" max="5" width="14.140625" style="81" bestFit="1" customWidth="1"/>
    <col min="6" max="6" width="10.140625" style="81" customWidth="1"/>
    <col min="7" max="7" width="9.7109375" style="81" bestFit="1" customWidth="1"/>
    <col min="8" max="8" width="10" style="81" customWidth="1"/>
    <col min="9" max="9" width="12.42578125" style="81" bestFit="1" customWidth="1"/>
    <col min="10" max="10" width="11.7109375" style="81" bestFit="1" customWidth="1"/>
    <col min="11" max="11" width="9.28515625" style="81" bestFit="1" customWidth="1"/>
    <col min="12" max="12" width="5.42578125" style="81" customWidth="1"/>
    <col min="13" max="13" width="11.7109375" style="81" customWidth="1"/>
    <col min="14" max="14" width="12" style="81" bestFit="1" customWidth="1"/>
    <col min="15" max="15" width="9.5703125" style="81" bestFit="1" customWidth="1"/>
    <col min="16" max="16" width="10.42578125" style="81" bestFit="1" customWidth="1"/>
    <col min="17" max="17" width="10.140625" style="81" customWidth="1"/>
    <col min="18" max="18" width="4" style="81" customWidth="1"/>
    <col min="19" max="19" width="42.42578125" style="81" customWidth="1"/>
    <col min="20" max="20" width="9.28515625" style="81" customWidth="1"/>
    <col min="21" max="16384" width="9.140625" style="81"/>
  </cols>
  <sheetData>
    <row r="1" spans="1:23" ht="17.25" thickBot="1" x14ac:dyDescent="0.35">
      <c r="A1" s="81" t="s">
        <v>131</v>
      </c>
      <c r="C1" s="81" t="s">
        <v>132</v>
      </c>
      <c r="M1" s="81" t="s">
        <v>88</v>
      </c>
    </row>
    <row r="2" spans="1:23" ht="17.25" thickBot="1" x14ac:dyDescent="0.35">
      <c r="A2" s="105"/>
      <c r="B2" s="104" t="s">
        <v>54</v>
      </c>
      <c r="C2" s="104" t="s">
        <v>55</v>
      </c>
      <c r="D2" s="104" t="s">
        <v>56</v>
      </c>
      <c r="E2" s="104" t="s">
        <v>65</v>
      </c>
      <c r="F2" s="104" t="s">
        <v>57</v>
      </c>
      <c r="G2" s="104" t="s">
        <v>86</v>
      </c>
      <c r="H2" s="104" t="s">
        <v>58</v>
      </c>
      <c r="I2" s="104" t="s">
        <v>87</v>
      </c>
    </row>
    <row r="3" spans="1:23" ht="17.25" thickBot="1" x14ac:dyDescent="0.35">
      <c r="A3" s="90" t="s">
        <v>0</v>
      </c>
      <c r="B3" s="102" t="s">
        <v>52</v>
      </c>
      <c r="C3" s="102" t="s">
        <v>51</v>
      </c>
      <c r="D3" s="102" t="s">
        <v>50</v>
      </c>
      <c r="E3" s="102" t="s">
        <v>136</v>
      </c>
      <c r="F3" s="102" t="s">
        <v>49</v>
      </c>
      <c r="G3" s="102" t="s">
        <v>25</v>
      </c>
      <c r="H3" s="102" t="s">
        <v>48</v>
      </c>
      <c r="I3" s="102" t="s">
        <v>47</v>
      </c>
      <c r="J3" s="100" t="s">
        <v>46</v>
      </c>
      <c r="K3" s="99" t="s">
        <v>76</v>
      </c>
      <c r="M3" s="167" t="s">
        <v>74</v>
      </c>
      <c r="N3" s="168" t="s">
        <v>75</v>
      </c>
      <c r="O3" s="97" t="s">
        <v>49</v>
      </c>
      <c r="P3" s="98" t="s">
        <v>48</v>
      </c>
      <c r="S3" s="96" t="s">
        <v>85</v>
      </c>
      <c r="T3" s="82"/>
      <c r="U3" s="82"/>
      <c r="V3" s="82"/>
      <c r="W3" s="82"/>
    </row>
    <row r="4" spans="1:23" x14ac:dyDescent="0.3">
      <c r="A4" s="92">
        <v>0</v>
      </c>
      <c r="B4" s="119">
        <v>0</v>
      </c>
      <c r="C4" s="119">
        <v>0</v>
      </c>
      <c r="D4" s="120">
        <v>80</v>
      </c>
      <c r="E4" s="119">
        <v>0</v>
      </c>
      <c r="F4" s="119">
        <v>0</v>
      </c>
      <c r="G4" s="119">
        <v>0</v>
      </c>
      <c r="H4" s="119">
        <v>1000</v>
      </c>
      <c r="I4" s="119">
        <v>0</v>
      </c>
      <c r="J4" s="95"/>
      <c r="K4" s="95"/>
      <c r="M4" s="170"/>
      <c r="N4" s="171"/>
      <c r="O4" s="93"/>
      <c r="P4" s="94"/>
      <c r="S4" s="84" t="s">
        <v>42</v>
      </c>
      <c r="T4" s="83"/>
      <c r="U4" s="82"/>
      <c r="V4" s="82"/>
      <c r="W4" s="82"/>
    </row>
    <row r="5" spans="1:23" ht="17.25" thickBot="1" x14ac:dyDescent="0.35">
      <c r="A5" s="92">
        <v>1</v>
      </c>
      <c r="B5" s="106">
        <v>0</v>
      </c>
      <c r="C5" s="106">
        <v>16</v>
      </c>
      <c r="D5" s="228">
        <v>64</v>
      </c>
      <c r="E5" s="106">
        <v>2560</v>
      </c>
      <c r="F5" s="106">
        <v>0</v>
      </c>
      <c r="G5" s="106">
        <v>0</v>
      </c>
      <c r="H5" s="106">
        <v>1960</v>
      </c>
      <c r="I5" s="106">
        <v>0</v>
      </c>
      <c r="J5" s="163">
        <v>1600</v>
      </c>
      <c r="K5" s="91"/>
      <c r="M5" s="226">
        <f>D4+B5-C5-D5</f>
        <v>0</v>
      </c>
      <c r="N5" s="227">
        <f>E5-D5*$T$31</f>
        <v>0</v>
      </c>
      <c r="O5" s="87">
        <f>F5-D5*$T$33</f>
        <v>-160</v>
      </c>
      <c r="P5" s="88">
        <f>H4+SUM(E5:G5)-J5-I4-H5+I5</f>
        <v>0</v>
      </c>
      <c r="S5" s="83" t="s">
        <v>84</v>
      </c>
      <c r="T5" s="83">
        <v>1000</v>
      </c>
      <c r="U5" s="82"/>
      <c r="V5" s="82"/>
      <c r="W5" s="82"/>
    </row>
    <row r="6" spans="1:23" ht="17.25" thickBot="1" x14ac:dyDescent="0.35">
      <c r="A6" s="92">
        <v>2</v>
      </c>
      <c r="B6" s="106">
        <v>0</v>
      </c>
      <c r="C6" s="106">
        <v>0</v>
      </c>
      <c r="D6" s="228">
        <v>64</v>
      </c>
      <c r="E6" s="106">
        <v>2560</v>
      </c>
      <c r="F6" s="106">
        <v>0</v>
      </c>
      <c r="G6" s="106">
        <v>0</v>
      </c>
      <c r="H6" s="106">
        <v>1520</v>
      </c>
      <c r="I6" s="106">
        <v>0</v>
      </c>
      <c r="J6" s="163">
        <v>3000</v>
      </c>
      <c r="K6" s="91"/>
      <c r="M6" s="226">
        <f t="shared" ref="M6:M10" si="0">D5+B6-C6-D6</f>
        <v>0</v>
      </c>
      <c r="N6" s="227">
        <f t="shared" ref="N6:N10" si="1">E6-D6*$T$31</f>
        <v>0</v>
      </c>
      <c r="O6" s="87">
        <f t="shared" ref="O6:O10" si="2">F6-D6*$T$33</f>
        <v>-160</v>
      </c>
      <c r="P6" s="88">
        <f>H5+SUM(E6:G6)-J6-I5-H6+I6</f>
        <v>0</v>
      </c>
      <c r="S6" s="108" t="s">
        <v>43</v>
      </c>
      <c r="T6" s="109" t="s">
        <v>46</v>
      </c>
      <c r="U6" s="82"/>
      <c r="V6" s="82"/>
      <c r="W6" s="82"/>
    </row>
    <row r="7" spans="1:23" x14ac:dyDescent="0.3">
      <c r="A7" s="92">
        <v>3</v>
      </c>
      <c r="B7" s="106">
        <v>0</v>
      </c>
      <c r="C7" s="106">
        <v>0</v>
      </c>
      <c r="D7" s="228">
        <v>64</v>
      </c>
      <c r="E7" s="106">
        <v>2560</v>
      </c>
      <c r="F7" s="106">
        <v>0</v>
      </c>
      <c r="G7" s="106">
        <v>0</v>
      </c>
      <c r="H7" s="106">
        <v>880</v>
      </c>
      <c r="I7" s="106">
        <v>0</v>
      </c>
      <c r="J7" s="163">
        <v>3200</v>
      </c>
      <c r="K7" s="91"/>
      <c r="M7" s="226">
        <f t="shared" si="0"/>
        <v>0</v>
      </c>
      <c r="N7" s="227">
        <f t="shared" si="1"/>
        <v>0</v>
      </c>
      <c r="O7" s="87">
        <f t="shared" si="2"/>
        <v>-160</v>
      </c>
      <c r="P7" s="88">
        <f>H6+SUM(E7:G7)-J7-I6-H7+I7</f>
        <v>0</v>
      </c>
      <c r="S7" s="110" t="s">
        <v>41</v>
      </c>
      <c r="T7" s="111">
        <v>1600</v>
      </c>
      <c r="U7" s="82"/>
      <c r="V7" s="82"/>
      <c r="W7" s="82"/>
    </row>
    <row r="8" spans="1:23" x14ac:dyDescent="0.3">
      <c r="A8" s="92">
        <v>4</v>
      </c>
      <c r="B8" s="106">
        <v>0</v>
      </c>
      <c r="C8" s="106">
        <v>0</v>
      </c>
      <c r="D8" s="228">
        <v>64</v>
      </c>
      <c r="E8" s="106">
        <v>2560</v>
      </c>
      <c r="F8" s="106">
        <v>0</v>
      </c>
      <c r="G8" s="106">
        <v>140</v>
      </c>
      <c r="H8" s="106">
        <v>0</v>
      </c>
      <c r="I8" s="106">
        <v>220</v>
      </c>
      <c r="J8" s="163">
        <v>3800</v>
      </c>
      <c r="K8" s="91"/>
      <c r="M8" s="226">
        <f t="shared" si="0"/>
        <v>0</v>
      </c>
      <c r="N8" s="227">
        <f t="shared" si="1"/>
        <v>0</v>
      </c>
      <c r="O8" s="87">
        <f t="shared" si="2"/>
        <v>-160</v>
      </c>
      <c r="P8" s="88">
        <f>H7+SUM(E8:G8)-J8-I7-H8+I8</f>
        <v>0</v>
      </c>
      <c r="S8" s="110" t="s">
        <v>40</v>
      </c>
      <c r="T8" s="111">
        <v>3000</v>
      </c>
      <c r="U8" s="82"/>
      <c r="V8" s="82"/>
      <c r="W8" s="82"/>
    </row>
    <row r="9" spans="1:23" x14ac:dyDescent="0.3">
      <c r="A9" s="92">
        <v>5</v>
      </c>
      <c r="B9" s="106">
        <v>0</v>
      </c>
      <c r="C9" s="106">
        <v>0</v>
      </c>
      <c r="D9" s="228">
        <v>64</v>
      </c>
      <c r="E9" s="106">
        <v>2560</v>
      </c>
      <c r="F9" s="106">
        <v>0</v>
      </c>
      <c r="G9" s="106">
        <v>0</v>
      </c>
      <c r="H9" s="106">
        <v>140</v>
      </c>
      <c r="I9" s="106">
        <v>0</v>
      </c>
      <c r="J9" s="163">
        <v>2200</v>
      </c>
      <c r="K9" s="91"/>
      <c r="M9" s="226">
        <f t="shared" si="0"/>
        <v>0</v>
      </c>
      <c r="N9" s="227">
        <f t="shared" si="1"/>
        <v>0</v>
      </c>
      <c r="O9" s="87">
        <f t="shared" si="2"/>
        <v>-160</v>
      </c>
      <c r="P9" s="88">
        <f>H8+SUM(E9:G9)-J9-I8-H9+I9</f>
        <v>0</v>
      </c>
      <c r="S9" s="110" t="s">
        <v>39</v>
      </c>
      <c r="T9" s="111">
        <v>3200</v>
      </c>
      <c r="U9" s="82"/>
      <c r="V9" s="82"/>
      <c r="W9" s="82"/>
    </row>
    <row r="10" spans="1:23" ht="17.25" thickBot="1" x14ac:dyDescent="0.35">
      <c r="A10" s="90">
        <v>6</v>
      </c>
      <c r="B10" s="107">
        <v>0</v>
      </c>
      <c r="C10" s="107">
        <v>0</v>
      </c>
      <c r="D10" s="228">
        <v>64</v>
      </c>
      <c r="E10" s="107">
        <v>2560</v>
      </c>
      <c r="F10" s="107">
        <v>0</v>
      </c>
      <c r="G10" s="107">
        <v>0</v>
      </c>
      <c r="H10" s="107">
        <v>500</v>
      </c>
      <c r="I10" s="107">
        <v>0</v>
      </c>
      <c r="J10" s="164">
        <v>2200</v>
      </c>
      <c r="K10" s="89"/>
      <c r="M10" s="226">
        <f t="shared" si="0"/>
        <v>0</v>
      </c>
      <c r="N10" s="227">
        <f t="shared" si="1"/>
        <v>0</v>
      </c>
      <c r="O10" s="87">
        <f t="shared" si="2"/>
        <v>-160</v>
      </c>
      <c r="P10" s="88">
        <f>H9+SUM(E10:G10)-J10-I9-H10+I10</f>
        <v>0</v>
      </c>
      <c r="S10" s="110" t="s">
        <v>38</v>
      </c>
      <c r="T10" s="111">
        <v>3800</v>
      </c>
      <c r="U10" s="82"/>
      <c r="V10" s="82"/>
      <c r="W10" s="82"/>
    </row>
    <row r="11" spans="1:23" ht="17.25" thickBot="1" x14ac:dyDescent="0.35">
      <c r="B11" s="86">
        <f>SUM(B5:B10)</f>
        <v>0</v>
      </c>
      <c r="C11" s="86">
        <f t="shared" ref="C11:I11" si="3">SUM(C5:C10)</f>
        <v>16</v>
      </c>
      <c r="D11" s="86">
        <f t="shared" si="3"/>
        <v>384</v>
      </c>
      <c r="E11" s="86">
        <f t="shared" si="3"/>
        <v>15360</v>
      </c>
      <c r="F11" s="86">
        <f t="shared" si="3"/>
        <v>0</v>
      </c>
      <c r="G11" s="86">
        <f t="shared" si="3"/>
        <v>140</v>
      </c>
      <c r="H11" s="86">
        <f t="shared" si="3"/>
        <v>5000</v>
      </c>
      <c r="I11" s="86">
        <f t="shared" si="3"/>
        <v>220</v>
      </c>
      <c r="M11" s="85" t="s">
        <v>83</v>
      </c>
      <c r="N11" s="85" t="s">
        <v>79</v>
      </c>
      <c r="O11" s="85" t="s">
        <v>79</v>
      </c>
      <c r="P11" s="85" t="s">
        <v>83</v>
      </c>
      <c r="S11" s="110" t="s">
        <v>37</v>
      </c>
      <c r="T11" s="111">
        <v>2200</v>
      </c>
      <c r="U11" s="82"/>
      <c r="V11" s="82"/>
      <c r="W11" s="82"/>
    </row>
    <row r="12" spans="1:23" s="82" customFormat="1" ht="17.25" thickBot="1" x14ac:dyDescent="0.35">
      <c r="B12" s="122">
        <v>300</v>
      </c>
      <c r="C12" s="122">
        <v>500</v>
      </c>
      <c r="D12" s="122">
        <f>T25</f>
        <v>640</v>
      </c>
      <c r="E12" s="122">
        <f>T17</f>
        <v>10</v>
      </c>
      <c r="F12" s="122">
        <f>T17+T27*T23</f>
        <v>34</v>
      </c>
      <c r="G12" s="122">
        <v>30</v>
      </c>
      <c r="H12" s="122">
        <f>T18</f>
        <v>2</v>
      </c>
      <c r="I12" s="122">
        <f>T19</f>
        <v>5</v>
      </c>
      <c r="J12" s="123">
        <f>SUMPRODUCT(B11:I11,B12:I12)</f>
        <v>422660</v>
      </c>
      <c r="S12" s="112" t="s">
        <v>36</v>
      </c>
      <c r="T12" s="113">
        <v>2200</v>
      </c>
    </row>
    <row r="13" spans="1:23" s="82" customFormat="1" ht="15" customHeight="1" x14ac:dyDescent="0.3">
      <c r="S13" s="84" t="s">
        <v>82</v>
      </c>
      <c r="T13" s="84">
        <v>500</v>
      </c>
    </row>
    <row r="14" spans="1:23" s="82" customFormat="1" x14ac:dyDescent="0.3">
      <c r="A14" s="162" t="s">
        <v>109</v>
      </c>
      <c r="B14" s="82" t="s">
        <v>117</v>
      </c>
      <c r="C14" s="161"/>
      <c r="D14" s="161"/>
      <c r="T14" s="82">
        <v>422660</v>
      </c>
    </row>
    <row r="15" spans="1:23" s="82" customFormat="1" ht="17.25" thickBot="1" x14ac:dyDescent="0.35">
      <c r="A15" s="162" t="s">
        <v>110</v>
      </c>
      <c r="B15" s="82" t="s">
        <v>118</v>
      </c>
      <c r="C15" s="161"/>
      <c r="D15" s="161"/>
      <c r="S15" s="84" t="s">
        <v>24</v>
      </c>
    </row>
    <row r="16" spans="1:23" s="82" customFormat="1" ht="15" customHeight="1" thickBot="1" x14ac:dyDescent="0.35">
      <c r="A16" s="162" t="s">
        <v>111</v>
      </c>
      <c r="B16" s="82" t="s">
        <v>119</v>
      </c>
      <c r="C16" s="161"/>
      <c r="D16" s="161"/>
      <c r="S16" s="114" t="s">
        <v>35</v>
      </c>
      <c r="T16" s="115" t="s">
        <v>20</v>
      </c>
    </row>
    <row r="17" spans="1:20" s="82" customFormat="1" x14ac:dyDescent="0.3">
      <c r="A17" s="162" t="s">
        <v>112</v>
      </c>
      <c r="B17" s="82" t="s">
        <v>120</v>
      </c>
      <c r="C17" s="161"/>
      <c r="D17" s="161"/>
      <c r="S17" s="116" t="s">
        <v>34</v>
      </c>
      <c r="T17" s="139">
        <v>10</v>
      </c>
    </row>
    <row r="18" spans="1:20" s="82" customFormat="1" x14ac:dyDescent="0.3">
      <c r="A18" s="162" t="s">
        <v>113</v>
      </c>
      <c r="B18" s="82" t="s">
        <v>121</v>
      </c>
      <c r="C18" s="161"/>
      <c r="D18" s="161"/>
      <c r="J18"/>
      <c r="K18"/>
      <c r="L18"/>
      <c r="M18"/>
      <c r="N18"/>
      <c r="S18" s="117" t="s">
        <v>33</v>
      </c>
      <c r="T18" s="140">
        <v>2</v>
      </c>
    </row>
    <row r="19" spans="1:20" s="82" customFormat="1" ht="15.75" customHeight="1" x14ac:dyDescent="0.3">
      <c r="A19" s="162" t="s">
        <v>114</v>
      </c>
      <c r="B19" s="82" t="s">
        <v>122</v>
      </c>
      <c r="C19" s="161"/>
      <c r="D19" s="161"/>
      <c r="J19"/>
      <c r="K19"/>
      <c r="L19"/>
      <c r="M19"/>
      <c r="N19"/>
      <c r="S19" s="117" t="s">
        <v>32</v>
      </c>
      <c r="T19" s="140">
        <v>5</v>
      </c>
    </row>
    <row r="20" spans="1:20" s="82" customFormat="1" x14ac:dyDescent="0.3">
      <c r="A20" s="162" t="s">
        <v>115</v>
      </c>
      <c r="B20" s="82" t="s">
        <v>123</v>
      </c>
      <c r="C20" s="161"/>
      <c r="D20" s="161"/>
      <c r="J20"/>
      <c r="K20"/>
      <c r="L20"/>
      <c r="M20"/>
      <c r="N20"/>
      <c r="S20" s="117" t="s">
        <v>31</v>
      </c>
      <c r="T20" s="140">
        <v>300</v>
      </c>
    </row>
    <row r="21" spans="1:20" s="82" customFormat="1" x14ac:dyDescent="0.3">
      <c r="A21" s="162" t="s">
        <v>116</v>
      </c>
      <c r="B21" s="82" t="s">
        <v>124</v>
      </c>
      <c r="C21" s="161"/>
      <c r="D21" s="161"/>
      <c r="J21"/>
      <c r="K21"/>
      <c r="L21"/>
      <c r="M21"/>
      <c r="N21"/>
      <c r="S21" s="117" t="s">
        <v>30</v>
      </c>
      <c r="T21" s="140">
        <v>500</v>
      </c>
    </row>
    <row r="22" spans="1:20" s="82" customFormat="1" x14ac:dyDescent="0.3">
      <c r="J22"/>
      <c r="K22"/>
      <c r="L22"/>
      <c r="M22"/>
      <c r="N22"/>
      <c r="S22" s="117" t="s">
        <v>28</v>
      </c>
      <c r="T22" s="140">
        <v>4</v>
      </c>
    </row>
    <row r="23" spans="1:20" s="82" customFormat="1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S23" s="117" t="s">
        <v>27</v>
      </c>
      <c r="T23" s="140">
        <v>6</v>
      </c>
    </row>
    <row r="24" spans="1:20" s="82" customFormat="1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S24" s="117" t="s">
        <v>26</v>
      </c>
      <c r="T24" s="140">
        <v>30</v>
      </c>
    </row>
    <row r="25" spans="1:20" s="82" customFormat="1" ht="17.25" thickBot="1" x14ac:dyDescent="0.35">
      <c r="B25"/>
      <c r="C25"/>
      <c r="D25"/>
      <c r="E25"/>
      <c r="F25"/>
      <c r="G25"/>
      <c r="H25"/>
      <c r="I25"/>
      <c r="J25"/>
      <c r="S25" s="118" t="s">
        <v>81</v>
      </c>
      <c r="T25" s="141">
        <f>T22*T30</f>
        <v>640</v>
      </c>
    </row>
    <row r="26" spans="1:20" s="82" customFormat="1" ht="17.25" thickBot="1" x14ac:dyDescent="0.35">
      <c r="B26"/>
      <c r="C26"/>
      <c r="D26"/>
      <c r="E26"/>
      <c r="F26"/>
      <c r="G26"/>
      <c r="H26"/>
      <c r="I26"/>
      <c r="J26"/>
    </row>
    <row r="27" spans="1:20" s="82" customFormat="1" ht="17.25" thickBot="1" x14ac:dyDescent="0.35">
      <c r="S27" s="124" t="s">
        <v>29</v>
      </c>
      <c r="T27" s="129">
        <v>4</v>
      </c>
    </row>
    <row r="28" spans="1:20" s="82" customFormat="1" x14ac:dyDescent="0.3">
      <c r="S28" s="125" t="s">
        <v>125</v>
      </c>
      <c r="T28" s="130">
        <v>8</v>
      </c>
    </row>
    <row r="29" spans="1:20" s="82" customFormat="1" x14ac:dyDescent="0.3">
      <c r="S29" s="126" t="s">
        <v>126</v>
      </c>
      <c r="T29" s="131">
        <v>20</v>
      </c>
    </row>
    <row r="30" spans="1:20" s="82" customFormat="1" x14ac:dyDescent="0.3">
      <c r="S30" s="126" t="s">
        <v>127</v>
      </c>
      <c r="T30" s="131">
        <f>T28*T29</f>
        <v>160</v>
      </c>
    </row>
    <row r="31" spans="1:20" s="82" customFormat="1" x14ac:dyDescent="0.3">
      <c r="S31" s="127" t="s">
        <v>128</v>
      </c>
      <c r="T31" s="132">
        <f>T30/T27</f>
        <v>40</v>
      </c>
    </row>
    <row r="32" spans="1:20" x14ac:dyDescent="0.3">
      <c r="S32" s="126" t="s">
        <v>129</v>
      </c>
      <c r="T32" s="131">
        <v>10</v>
      </c>
    </row>
    <row r="33" spans="19:20" ht="17.25" thickBot="1" x14ac:dyDescent="0.35">
      <c r="S33" s="128" t="s">
        <v>130</v>
      </c>
      <c r="T33" s="118">
        <f>T32/T27</f>
        <v>2.5</v>
      </c>
    </row>
  </sheetData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5912-3161-47E3-BAF2-F80EB7A2030E}">
  <sheetPr codeName="Sheet3">
    <tabColor rgb="FFFFFF00"/>
    <pageSetUpPr fitToPage="1"/>
  </sheetPr>
  <dimension ref="A1:V33"/>
  <sheetViews>
    <sheetView topLeftCell="H3" zoomScale="120" workbookViewId="0">
      <selection activeCell="T7" sqref="T7:T12"/>
    </sheetView>
  </sheetViews>
  <sheetFormatPr defaultColWidth="9.140625" defaultRowHeight="16.5" x14ac:dyDescent="0.3"/>
  <cols>
    <col min="1" max="1" width="8.7109375" style="81" customWidth="1"/>
    <col min="2" max="2" width="8.5703125" style="81" bestFit="1" customWidth="1"/>
    <col min="3" max="3" width="10.5703125" style="81" bestFit="1" customWidth="1"/>
    <col min="4" max="4" width="10.140625" style="81" bestFit="1" customWidth="1"/>
    <col min="5" max="5" width="9.7109375" style="81" bestFit="1" customWidth="1"/>
    <col min="6" max="6" width="10" style="81" customWidth="1"/>
    <col min="7" max="7" width="12.42578125" style="81" bestFit="1" customWidth="1"/>
    <col min="8" max="8" width="12.5703125" style="81" customWidth="1"/>
    <col min="9" max="9" width="11.7109375" style="81" bestFit="1" customWidth="1"/>
    <col min="10" max="10" width="9.28515625" style="81" bestFit="1" customWidth="1"/>
    <col min="11" max="11" width="5.42578125" style="81" customWidth="1"/>
    <col min="12" max="12" width="2.7109375" style="81" customWidth="1"/>
    <col min="13" max="13" width="12" style="81" bestFit="1" customWidth="1"/>
    <col min="14" max="14" width="9.5703125" style="81" bestFit="1" customWidth="1"/>
    <col min="15" max="15" width="10.42578125" style="81" bestFit="1" customWidth="1"/>
    <col min="16" max="16" width="10.140625" style="81" bestFit="1" customWidth="1"/>
    <col min="17" max="17" width="4" style="81" customWidth="1"/>
    <col min="18" max="18" width="42.42578125" style="81" customWidth="1"/>
    <col min="19" max="19" width="9.28515625" style="81" customWidth="1"/>
    <col min="20" max="16384" width="9.140625" style="81"/>
  </cols>
  <sheetData>
    <row r="1" spans="1:22" ht="17.25" thickBot="1" x14ac:dyDescent="0.35">
      <c r="A1" s="81" t="s">
        <v>131</v>
      </c>
      <c r="C1" s="81" t="s">
        <v>132</v>
      </c>
      <c r="M1" s="81" t="s">
        <v>88</v>
      </c>
    </row>
    <row r="2" spans="1:22" ht="17.25" thickBot="1" x14ac:dyDescent="0.35">
      <c r="A2" s="105"/>
      <c r="B2" s="104" t="s">
        <v>54</v>
      </c>
      <c r="C2" s="104" t="s">
        <v>55</v>
      </c>
      <c r="D2" s="104" t="s">
        <v>57</v>
      </c>
      <c r="E2" s="104" t="s">
        <v>58</v>
      </c>
      <c r="F2" s="104" t="s">
        <v>87</v>
      </c>
      <c r="G2" s="104" t="s">
        <v>86</v>
      </c>
      <c r="H2" s="104" t="s">
        <v>56</v>
      </c>
      <c r="I2" s="103" t="s">
        <v>65</v>
      </c>
    </row>
    <row r="3" spans="1:22" ht="17.25" thickBot="1" x14ac:dyDescent="0.35">
      <c r="A3" s="90" t="s">
        <v>0</v>
      </c>
      <c r="B3" s="102" t="s">
        <v>52</v>
      </c>
      <c r="C3" s="102" t="s">
        <v>51</v>
      </c>
      <c r="D3" s="102" t="s">
        <v>49</v>
      </c>
      <c r="E3" s="102" t="s">
        <v>48</v>
      </c>
      <c r="F3" s="102" t="s">
        <v>47</v>
      </c>
      <c r="G3" s="102" t="s">
        <v>25</v>
      </c>
      <c r="H3" s="102" t="s">
        <v>50</v>
      </c>
      <c r="I3" s="101" t="s">
        <v>19</v>
      </c>
      <c r="J3" s="100" t="s">
        <v>46</v>
      </c>
      <c r="K3" s="99" t="s">
        <v>76</v>
      </c>
      <c r="M3" s="167" t="s">
        <v>74</v>
      </c>
      <c r="N3" s="168" t="s">
        <v>75</v>
      </c>
      <c r="O3" s="168" t="s">
        <v>48</v>
      </c>
      <c r="P3" s="169" t="s">
        <v>49</v>
      </c>
      <c r="R3" s="96" t="s">
        <v>85</v>
      </c>
      <c r="S3" s="82"/>
      <c r="T3" s="82"/>
      <c r="U3" s="82"/>
      <c r="V3" s="82"/>
    </row>
    <row r="4" spans="1:22" x14ac:dyDescent="0.3">
      <c r="A4" s="92">
        <v>0</v>
      </c>
      <c r="B4" s="119">
        <v>0</v>
      </c>
      <c r="C4" s="119">
        <v>0</v>
      </c>
      <c r="D4" s="119">
        <v>0</v>
      </c>
      <c r="E4" s="119">
        <v>1000</v>
      </c>
      <c r="F4" s="119">
        <v>0</v>
      </c>
      <c r="G4" s="119">
        <v>0</v>
      </c>
      <c r="H4" s="120">
        <v>80</v>
      </c>
      <c r="I4" s="121"/>
      <c r="J4" s="95"/>
      <c r="K4" s="95"/>
      <c r="M4" s="170"/>
      <c r="N4" s="171"/>
      <c r="O4" s="171"/>
      <c r="P4" s="172"/>
      <c r="R4" s="84" t="s">
        <v>42</v>
      </c>
      <c r="S4" s="83"/>
      <c r="T4" s="82"/>
      <c r="U4" s="82"/>
      <c r="V4" s="82"/>
    </row>
    <row r="5" spans="1:22" ht="17.25" thickBot="1" x14ac:dyDescent="0.35">
      <c r="A5" s="92">
        <v>1</v>
      </c>
      <c r="B5" s="106">
        <v>0</v>
      </c>
      <c r="C5" s="106">
        <v>16</v>
      </c>
      <c r="D5" s="106">
        <v>0</v>
      </c>
      <c r="E5" s="106">
        <v>2560</v>
      </c>
      <c r="F5" s="106">
        <v>0</v>
      </c>
      <c r="G5" s="106">
        <v>0</v>
      </c>
      <c r="H5" s="106">
        <v>64</v>
      </c>
      <c r="I5" s="106">
        <v>2560</v>
      </c>
      <c r="J5" s="165">
        <f t="shared" ref="J5:J10" si="0">T7</f>
        <v>1000</v>
      </c>
      <c r="K5" s="91">
        <f t="shared" ref="K5:K10" si="1">IF($E$15=1,IF(A5=$E$21,$H$16-1,$H$16),$H$16)</f>
        <v>0</v>
      </c>
      <c r="M5" s="173">
        <f>H4+B5-C5-H5</f>
        <v>0</v>
      </c>
      <c r="N5" s="174">
        <f t="shared" ref="N5:N10" si="2">I5-$S$31*H5-D5/$S$27</f>
        <v>0</v>
      </c>
      <c r="O5" s="174">
        <f t="shared" ref="O5:O10" si="3">E4+I5+G5-F4-J5-E5+F5</f>
        <v>0</v>
      </c>
      <c r="P5" s="175">
        <f t="shared" ref="P5:P10" si="4">D5-H5*$S$32</f>
        <v>-640</v>
      </c>
      <c r="R5" s="83" t="s">
        <v>84</v>
      </c>
      <c r="S5" s="83">
        <v>1000</v>
      </c>
      <c r="T5" s="82"/>
      <c r="U5" s="82"/>
      <c r="V5" s="82"/>
    </row>
    <row r="6" spans="1:22" ht="17.25" thickBot="1" x14ac:dyDescent="0.35">
      <c r="A6" s="92">
        <v>2</v>
      </c>
      <c r="B6" s="106">
        <v>0</v>
      </c>
      <c r="C6" s="106">
        <v>0</v>
      </c>
      <c r="D6" s="106">
        <v>0</v>
      </c>
      <c r="E6" s="106">
        <v>2120</v>
      </c>
      <c r="F6" s="106">
        <v>0</v>
      </c>
      <c r="G6" s="106">
        <v>0</v>
      </c>
      <c r="H6" s="106">
        <v>64</v>
      </c>
      <c r="I6" s="106">
        <v>2560</v>
      </c>
      <c r="J6" s="165">
        <f t="shared" si="0"/>
        <v>3000</v>
      </c>
      <c r="K6" s="91">
        <f t="shared" si="1"/>
        <v>0</v>
      </c>
      <c r="M6" s="173">
        <f t="shared" ref="M6:M10" si="5">H5+B6-C6-H6</f>
        <v>0</v>
      </c>
      <c r="N6" s="174">
        <f t="shared" si="2"/>
        <v>0</v>
      </c>
      <c r="O6" s="174">
        <f t="shared" si="3"/>
        <v>0</v>
      </c>
      <c r="P6" s="175">
        <f t="shared" si="4"/>
        <v>-640</v>
      </c>
      <c r="R6" s="108" t="s">
        <v>43</v>
      </c>
      <c r="S6" s="109" t="s">
        <v>46</v>
      </c>
      <c r="T6" s="82" t="s">
        <v>89</v>
      </c>
      <c r="U6" s="82"/>
      <c r="V6" s="82"/>
    </row>
    <row r="7" spans="1:22" x14ac:dyDescent="0.3">
      <c r="A7" s="92">
        <v>3</v>
      </c>
      <c r="B7" s="106">
        <v>0</v>
      </c>
      <c r="C7" s="106">
        <v>0</v>
      </c>
      <c r="D7" s="106">
        <v>0</v>
      </c>
      <c r="E7" s="106">
        <v>880</v>
      </c>
      <c r="F7" s="106">
        <v>0</v>
      </c>
      <c r="G7" s="106">
        <v>0</v>
      </c>
      <c r="H7" s="106">
        <v>64</v>
      </c>
      <c r="I7" s="106">
        <v>2560</v>
      </c>
      <c r="J7" s="165">
        <f t="shared" si="0"/>
        <v>3800</v>
      </c>
      <c r="K7" s="91">
        <f t="shared" si="1"/>
        <v>0</v>
      </c>
      <c r="M7" s="173">
        <f t="shared" si="5"/>
        <v>0</v>
      </c>
      <c r="N7" s="174">
        <f t="shared" si="2"/>
        <v>0</v>
      </c>
      <c r="O7" s="174">
        <f t="shared" si="3"/>
        <v>0</v>
      </c>
      <c r="P7" s="175">
        <f t="shared" si="4"/>
        <v>-640</v>
      </c>
      <c r="R7" s="110" t="s">
        <v>41</v>
      </c>
      <c r="S7" s="111">
        <v>1600</v>
      </c>
      <c r="T7" s="82">
        <v>1000</v>
      </c>
      <c r="U7" s="82"/>
      <c r="V7" s="82"/>
    </row>
    <row r="8" spans="1:22" x14ac:dyDescent="0.3">
      <c r="A8" s="92">
        <v>4</v>
      </c>
      <c r="B8" s="106">
        <v>0</v>
      </c>
      <c r="C8" s="106">
        <v>0</v>
      </c>
      <c r="D8" s="106">
        <v>0</v>
      </c>
      <c r="E8" s="106">
        <v>0</v>
      </c>
      <c r="F8" s="106">
        <v>1220</v>
      </c>
      <c r="G8" s="106">
        <v>140</v>
      </c>
      <c r="H8" s="106">
        <v>64</v>
      </c>
      <c r="I8" s="106">
        <v>2560</v>
      </c>
      <c r="J8" s="165">
        <f t="shared" si="0"/>
        <v>4800</v>
      </c>
      <c r="K8" s="91">
        <f t="shared" si="1"/>
        <v>0</v>
      </c>
      <c r="M8" s="173">
        <f t="shared" si="5"/>
        <v>0</v>
      </c>
      <c r="N8" s="174">
        <f t="shared" si="2"/>
        <v>0</v>
      </c>
      <c r="O8" s="174">
        <f t="shared" si="3"/>
        <v>0</v>
      </c>
      <c r="P8" s="175">
        <f t="shared" si="4"/>
        <v>-640</v>
      </c>
      <c r="R8" s="110" t="s">
        <v>40</v>
      </c>
      <c r="S8" s="111">
        <v>3000</v>
      </c>
      <c r="T8" s="82">
        <v>3000</v>
      </c>
      <c r="U8" s="82"/>
      <c r="V8" s="82"/>
    </row>
    <row r="9" spans="1:22" x14ac:dyDescent="0.3">
      <c r="A9" s="92">
        <v>5</v>
      </c>
      <c r="B9" s="106">
        <v>0</v>
      </c>
      <c r="C9" s="106">
        <v>0</v>
      </c>
      <c r="D9" s="106">
        <v>0</v>
      </c>
      <c r="E9" s="106">
        <v>0</v>
      </c>
      <c r="F9" s="106">
        <v>660</v>
      </c>
      <c r="G9" s="106">
        <v>0</v>
      </c>
      <c r="H9" s="106">
        <v>64</v>
      </c>
      <c r="I9" s="106">
        <v>2560</v>
      </c>
      <c r="J9" s="165">
        <f t="shared" si="0"/>
        <v>2000</v>
      </c>
      <c r="K9" s="91">
        <f t="shared" si="1"/>
        <v>0</v>
      </c>
      <c r="M9" s="173">
        <f t="shared" si="5"/>
        <v>0</v>
      </c>
      <c r="N9" s="174">
        <f t="shared" si="2"/>
        <v>0</v>
      </c>
      <c r="O9" s="174">
        <f t="shared" si="3"/>
        <v>0</v>
      </c>
      <c r="P9" s="175">
        <f t="shared" si="4"/>
        <v>-640</v>
      </c>
      <c r="R9" s="110" t="s">
        <v>39</v>
      </c>
      <c r="S9" s="111">
        <v>3200</v>
      </c>
      <c r="T9" s="82">
        <v>3800</v>
      </c>
      <c r="U9" s="82"/>
      <c r="V9" s="82"/>
    </row>
    <row r="10" spans="1:22" ht="17.25" thickBot="1" x14ac:dyDescent="0.35">
      <c r="A10" s="90">
        <v>6</v>
      </c>
      <c r="B10" s="107">
        <v>0</v>
      </c>
      <c r="C10" s="107">
        <v>0</v>
      </c>
      <c r="D10" s="107">
        <v>0</v>
      </c>
      <c r="E10" s="107">
        <v>500</v>
      </c>
      <c r="F10" s="107">
        <v>0</v>
      </c>
      <c r="G10" s="107">
        <v>0</v>
      </c>
      <c r="H10" s="107">
        <v>64</v>
      </c>
      <c r="I10" s="107">
        <v>2560</v>
      </c>
      <c r="J10" s="165">
        <f t="shared" si="0"/>
        <v>1400</v>
      </c>
      <c r="K10" s="89">
        <f t="shared" si="1"/>
        <v>0</v>
      </c>
      <c r="M10" s="173">
        <f t="shared" si="5"/>
        <v>0</v>
      </c>
      <c r="N10" s="174">
        <f t="shared" si="2"/>
        <v>0</v>
      </c>
      <c r="O10" s="174">
        <f t="shared" si="3"/>
        <v>0</v>
      </c>
      <c r="P10" s="175">
        <f t="shared" si="4"/>
        <v>-640</v>
      </c>
      <c r="R10" s="110" t="s">
        <v>38</v>
      </c>
      <c r="S10" s="111">
        <v>3800</v>
      </c>
      <c r="T10" s="82">
        <v>4800</v>
      </c>
      <c r="U10" s="82"/>
      <c r="V10" s="82"/>
    </row>
    <row r="11" spans="1:22" ht="17.25" thickBot="1" x14ac:dyDescent="0.35">
      <c r="B11" s="86">
        <f t="shared" ref="B11:I11" si="6">SUM(B5:B10)</f>
        <v>0</v>
      </c>
      <c r="C11" s="86">
        <f t="shared" si="6"/>
        <v>16</v>
      </c>
      <c r="D11" s="86">
        <f t="shared" si="6"/>
        <v>0</v>
      </c>
      <c r="E11" s="86">
        <f t="shared" si="6"/>
        <v>6060</v>
      </c>
      <c r="F11" s="86">
        <f t="shared" si="6"/>
        <v>1880</v>
      </c>
      <c r="G11" s="86">
        <f t="shared" si="6"/>
        <v>140</v>
      </c>
      <c r="H11" s="86">
        <f t="shared" si="6"/>
        <v>384</v>
      </c>
      <c r="I11" s="86">
        <f t="shared" si="6"/>
        <v>15360</v>
      </c>
      <c r="M11" s="85" t="s">
        <v>83</v>
      </c>
      <c r="N11" s="85" t="s">
        <v>79</v>
      </c>
      <c r="O11" s="85" t="s">
        <v>83</v>
      </c>
      <c r="P11" s="85" t="s">
        <v>79</v>
      </c>
      <c r="R11" s="110" t="s">
        <v>37</v>
      </c>
      <c r="S11" s="111">
        <v>2200</v>
      </c>
      <c r="T11" s="82">
        <v>2000</v>
      </c>
      <c r="U11" s="82"/>
      <c r="V11" s="82"/>
    </row>
    <row r="12" spans="1:22" s="82" customFormat="1" ht="17.25" thickBot="1" x14ac:dyDescent="0.35">
      <c r="B12" s="122">
        <f>S20</f>
        <v>300</v>
      </c>
      <c r="C12" s="122">
        <f>S21</f>
        <v>500</v>
      </c>
      <c r="D12" s="122">
        <f>S23</f>
        <v>6</v>
      </c>
      <c r="E12" s="122">
        <f>S18</f>
        <v>2</v>
      </c>
      <c r="F12" s="122">
        <f>S19</f>
        <v>5</v>
      </c>
      <c r="G12" s="122">
        <f>S24</f>
        <v>30</v>
      </c>
      <c r="H12" s="122">
        <f>S25</f>
        <v>640</v>
      </c>
      <c r="I12" s="122">
        <f>S32</f>
        <v>10</v>
      </c>
      <c r="J12" s="123">
        <f>SUMPRODUCT(B11:I11,B12:I12)</f>
        <v>433080</v>
      </c>
      <c r="R12" s="112" t="s">
        <v>36</v>
      </c>
      <c r="S12" s="113">
        <v>2200</v>
      </c>
      <c r="T12" s="82">
        <v>1400</v>
      </c>
    </row>
    <row r="13" spans="1:22" s="82" customFormat="1" ht="15" customHeight="1" x14ac:dyDescent="0.3">
      <c r="R13" s="84" t="s">
        <v>82</v>
      </c>
      <c r="S13" s="84">
        <v>500</v>
      </c>
    </row>
    <row r="14" spans="1:22" s="82" customFormat="1" x14ac:dyDescent="0.3">
      <c r="A14" s="162"/>
      <c r="C14" s="161"/>
      <c r="S14" s="82">
        <v>422660</v>
      </c>
      <c r="T14" s="82">
        <v>433080</v>
      </c>
    </row>
    <row r="15" spans="1:22" s="82" customFormat="1" ht="17.25" thickBot="1" x14ac:dyDescent="0.35">
      <c r="A15" s="162"/>
      <c r="C15" s="161"/>
      <c r="R15" s="84" t="s">
        <v>24</v>
      </c>
    </row>
    <row r="16" spans="1:22" s="82" customFormat="1" ht="15" customHeight="1" thickBot="1" x14ac:dyDescent="0.35">
      <c r="A16" s="162"/>
      <c r="C16" s="161"/>
      <c r="R16" s="114" t="s">
        <v>35</v>
      </c>
      <c r="S16" s="115" t="s">
        <v>20</v>
      </c>
    </row>
    <row r="17" spans="1:19" s="82" customFormat="1" x14ac:dyDescent="0.3">
      <c r="A17" s="162"/>
      <c r="C17" s="161"/>
      <c r="R17" s="116" t="s">
        <v>34</v>
      </c>
      <c r="S17" s="139">
        <v>10</v>
      </c>
    </row>
    <row r="18" spans="1:19" s="82" customFormat="1" x14ac:dyDescent="0.3">
      <c r="A18" s="162"/>
      <c r="C18" s="161"/>
      <c r="H18"/>
      <c r="I18"/>
      <c r="J18"/>
      <c r="K18"/>
      <c r="L18"/>
      <c r="M18"/>
      <c r="R18" s="117" t="s">
        <v>33</v>
      </c>
      <c r="S18" s="140">
        <v>2</v>
      </c>
    </row>
    <row r="19" spans="1:19" s="82" customFormat="1" ht="15.75" customHeight="1" x14ac:dyDescent="0.3">
      <c r="A19" s="162"/>
      <c r="C19" s="161"/>
      <c r="H19"/>
      <c r="I19"/>
      <c r="J19"/>
      <c r="K19"/>
      <c r="L19"/>
      <c r="M19"/>
      <c r="R19" s="117" t="s">
        <v>32</v>
      </c>
      <c r="S19" s="140">
        <v>5</v>
      </c>
    </row>
    <row r="20" spans="1:19" s="82" customFormat="1" x14ac:dyDescent="0.3">
      <c r="A20" s="162"/>
      <c r="C20" s="161"/>
      <c r="H20"/>
      <c r="I20"/>
      <c r="J20"/>
      <c r="K20"/>
      <c r="L20"/>
      <c r="M20"/>
      <c r="R20" s="117" t="s">
        <v>31</v>
      </c>
      <c r="S20" s="140">
        <v>300</v>
      </c>
    </row>
    <row r="21" spans="1:19" s="82" customFormat="1" x14ac:dyDescent="0.3">
      <c r="A21" s="162"/>
      <c r="C21" s="161"/>
      <c r="H21"/>
      <c r="I21"/>
      <c r="J21"/>
      <c r="K21"/>
      <c r="L21"/>
      <c r="M21"/>
      <c r="R21" s="117" t="s">
        <v>30</v>
      </c>
      <c r="S21" s="140">
        <v>500</v>
      </c>
    </row>
    <row r="22" spans="1:19" s="82" customFormat="1" x14ac:dyDescent="0.3">
      <c r="H22"/>
      <c r="I22"/>
      <c r="J22"/>
      <c r="K22"/>
      <c r="L22"/>
      <c r="M22"/>
      <c r="R22" s="117" t="s">
        <v>28</v>
      </c>
      <c r="S22" s="140">
        <v>4</v>
      </c>
    </row>
    <row r="23" spans="1:19" s="82" customFormat="1" x14ac:dyDescent="0.3">
      <c r="H23"/>
      <c r="I23"/>
      <c r="J23"/>
      <c r="K23"/>
      <c r="L23"/>
      <c r="M23"/>
      <c r="R23" s="117" t="s">
        <v>27</v>
      </c>
      <c r="S23" s="140">
        <v>6</v>
      </c>
    </row>
    <row r="24" spans="1:19" s="82" customFormat="1" x14ac:dyDescent="0.3">
      <c r="H24"/>
      <c r="I24"/>
      <c r="J24"/>
      <c r="K24"/>
      <c r="L24"/>
      <c r="M24"/>
      <c r="R24" s="117" t="s">
        <v>26</v>
      </c>
      <c r="S24" s="140">
        <v>30</v>
      </c>
    </row>
    <row r="25" spans="1:19" s="82" customFormat="1" ht="17.25" thickBot="1" x14ac:dyDescent="0.35">
      <c r="R25" s="118" t="s">
        <v>81</v>
      </c>
      <c r="S25" s="141">
        <f>S22*S30</f>
        <v>640</v>
      </c>
    </row>
    <row r="26" spans="1:19" s="82" customFormat="1" ht="17.25" thickBot="1" x14ac:dyDescent="0.35"/>
    <row r="27" spans="1:19" s="82" customFormat="1" ht="17.25" thickBot="1" x14ac:dyDescent="0.35">
      <c r="R27" s="124" t="s">
        <v>29</v>
      </c>
      <c r="S27" s="129">
        <v>4</v>
      </c>
    </row>
    <row r="28" spans="1:19" s="82" customFormat="1" x14ac:dyDescent="0.3">
      <c r="R28" s="125" t="s">
        <v>125</v>
      </c>
      <c r="S28" s="130">
        <v>8</v>
      </c>
    </row>
    <row r="29" spans="1:19" s="82" customFormat="1" x14ac:dyDescent="0.3">
      <c r="R29" s="126" t="s">
        <v>126</v>
      </c>
      <c r="S29" s="131">
        <v>20</v>
      </c>
    </row>
    <row r="30" spans="1:19" s="82" customFormat="1" x14ac:dyDescent="0.3">
      <c r="R30" s="126" t="s">
        <v>127</v>
      </c>
      <c r="S30" s="131">
        <f>S28*S29</f>
        <v>160</v>
      </c>
    </row>
    <row r="31" spans="1:19" s="82" customFormat="1" x14ac:dyDescent="0.3">
      <c r="R31" s="127" t="s">
        <v>128</v>
      </c>
      <c r="S31" s="132">
        <f>S30/S27</f>
        <v>40</v>
      </c>
    </row>
    <row r="32" spans="1:19" x14ac:dyDescent="0.3">
      <c r="R32" s="126" t="s">
        <v>129</v>
      </c>
      <c r="S32" s="131">
        <v>10</v>
      </c>
    </row>
    <row r="33" spans="18:19" ht="17.25" thickBot="1" x14ac:dyDescent="0.35">
      <c r="R33" s="128" t="s">
        <v>130</v>
      </c>
      <c r="S33" s="118">
        <f>S32/S27</f>
        <v>2.5</v>
      </c>
    </row>
  </sheetData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4578-3157-40F1-8218-D8482F9C5AA3}">
  <sheetPr codeName="Sheet4">
    <tabColor rgb="FFFFFF00"/>
    <pageSetUpPr fitToPage="1"/>
  </sheetPr>
  <dimension ref="A1:V33"/>
  <sheetViews>
    <sheetView topLeftCell="A4" zoomScale="120" workbookViewId="0">
      <selection activeCell="K40" sqref="K40"/>
    </sheetView>
  </sheetViews>
  <sheetFormatPr defaultColWidth="9.140625" defaultRowHeight="16.5" x14ac:dyDescent="0.3"/>
  <cols>
    <col min="1" max="1" width="8.7109375" style="81" customWidth="1"/>
    <col min="2" max="2" width="8.5703125" style="81" bestFit="1" customWidth="1"/>
    <col min="3" max="3" width="10.5703125" style="81" bestFit="1" customWidth="1"/>
    <col min="4" max="4" width="10.140625" style="81" bestFit="1" customWidth="1"/>
    <col min="5" max="5" width="9.7109375" style="81" bestFit="1" customWidth="1"/>
    <col min="6" max="6" width="10" style="81" customWidth="1"/>
    <col min="7" max="7" width="12.42578125" style="81" bestFit="1" customWidth="1"/>
    <col min="8" max="8" width="12.5703125" style="81" customWidth="1"/>
    <col min="9" max="9" width="11.7109375" style="81" bestFit="1" customWidth="1"/>
    <col min="10" max="10" width="9.28515625" style="81" bestFit="1" customWidth="1"/>
    <col min="11" max="11" width="5.42578125" style="81" customWidth="1"/>
    <col min="12" max="12" width="2.7109375" style="81" customWidth="1"/>
    <col min="13" max="13" width="12" style="81" bestFit="1" customWidth="1"/>
    <col min="14" max="14" width="9.5703125" style="81" bestFit="1" customWidth="1"/>
    <col min="15" max="15" width="10.42578125" style="81" bestFit="1" customWidth="1"/>
    <col min="16" max="16" width="10.140625" style="81" bestFit="1" customWidth="1"/>
    <col min="17" max="17" width="4" style="81" customWidth="1"/>
    <col min="18" max="18" width="42.42578125" style="81" customWidth="1"/>
    <col min="19" max="19" width="9.28515625" style="81" customWidth="1"/>
    <col min="20" max="20" width="12.85546875" style="81" bestFit="1" customWidth="1"/>
    <col min="21" max="16384" width="9.140625" style="81"/>
  </cols>
  <sheetData>
    <row r="1" spans="1:22" ht="17.25" thickBot="1" x14ac:dyDescent="0.35">
      <c r="A1" s="81" t="s">
        <v>131</v>
      </c>
      <c r="C1" s="81" t="s">
        <v>132</v>
      </c>
      <c r="M1" s="81" t="s">
        <v>88</v>
      </c>
    </row>
    <row r="2" spans="1:22" ht="17.25" thickBot="1" x14ac:dyDescent="0.35">
      <c r="A2" s="105"/>
      <c r="B2" s="104" t="s">
        <v>54</v>
      </c>
      <c r="C2" s="104" t="s">
        <v>55</v>
      </c>
      <c r="D2" s="104" t="s">
        <v>57</v>
      </c>
      <c r="E2" s="104" t="s">
        <v>58</v>
      </c>
      <c r="F2" s="104" t="s">
        <v>87</v>
      </c>
      <c r="G2" s="104" t="s">
        <v>86</v>
      </c>
      <c r="H2" s="104" t="s">
        <v>56</v>
      </c>
      <c r="I2" s="103" t="s">
        <v>65</v>
      </c>
    </row>
    <row r="3" spans="1:22" ht="17.25" thickBot="1" x14ac:dyDescent="0.35">
      <c r="A3" s="90" t="s">
        <v>0</v>
      </c>
      <c r="B3" s="102" t="s">
        <v>52</v>
      </c>
      <c r="C3" s="102" t="s">
        <v>51</v>
      </c>
      <c r="D3" s="102" t="s">
        <v>49</v>
      </c>
      <c r="E3" s="102" t="s">
        <v>48</v>
      </c>
      <c r="F3" s="102" t="s">
        <v>47</v>
      </c>
      <c r="G3" s="102" t="s">
        <v>25</v>
      </c>
      <c r="H3" s="102" t="s">
        <v>50</v>
      </c>
      <c r="I3" s="101" t="s">
        <v>19</v>
      </c>
      <c r="J3" s="100" t="s">
        <v>46</v>
      </c>
      <c r="K3" s="99" t="s">
        <v>76</v>
      </c>
      <c r="M3" s="167" t="s">
        <v>74</v>
      </c>
      <c r="N3" s="168" t="s">
        <v>75</v>
      </c>
      <c r="O3" s="168" t="s">
        <v>48</v>
      </c>
      <c r="P3" s="169" t="s">
        <v>49</v>
      </c>
      <c r="R3" s="96" t="s">
        <v>85</v>
      </c>
      <c r="S3" s="82"/>
      <c r="T3" s="82"/>
      <c r="U3" s="82"/>
      <c r="V3" s="82"/>
    </row>
    <row r="4" spans="1:22" x14ac:dyDescent="0.3">
      <c r="A4" s="92">
        <v>0</v>
      </c>
      <c r="B4" s="119">
        <v>0</v>
      </c>
      <c r="C4" s="119">
        <v>0</v>
      </c>
      <c r="D4" s="119">
        <v>0</v>
      </c>
      <c r="E4" s="119">
        <v>1000</v>
      </c>
      <c r="F4" s="119">
        <v>0</v>
      </c>
      <c r="G4" s="119">
        <v>0</v>
      </c>
      <c r="H4" s="120">
        <v>80</v>
      </c>
      <c r="I4" s="121"/>
      <c r="J4" s="95"/>
      <c r="K4" s="95"/>
      <c r="M4" s="170"/>
      <c r="N4" s="171"/>
      <c r="O4" s="171"/>
      <c r="P4" s="172"/>
      <c r="R4" s="84" t="s">
        <v>42</v>
      </c>
      <c r="S4" s="83"/>
      <c r="T4" s="82"/>
      <c r="U4" s="82"/>
      <c r="V4" s="82"/>
    </row>
    <row r="5" spans="1:22" ht="17.25" thickBot="1" x14ac:dyDescent="0.35">
      <c r="A5" s="92">
        <v>1</v>
      </c>
      <c r="B5" s="224">
        <v>0</v>
      </c>
      <c r="C5" s="224">
        <v>35</v>
      </c>
      <c r="D5" s="224">
        <v>0</v>
      </c>
      <c r="E5" s="224">
        <v>1200</v>
      </c>
      <c r="F5" s="224">
        <v>0</v>
      </c>
      <c r="G5" s="224">
        <v>0</v>
      </c>
      <c r="H5" s="224">
        <v>45</v>
      </c>
      <c r="I5" s="224">
        <v>1800</v>
      </c>
      <c r="J5" s="163">
        <v>1600</v>
      </c>
      <c r="K5" s="91">
        <f t="shared" ref="K5:K10" si="0">IF($E$15=1,IF(A5=$E$21,$H$16-1,$H$16),$H$16)</f>
        <v>0</v>
      </c>
      <c r="M5" s="173">
        <f>H4+B5-C5-H5</f>
        <v>0</v>
      </c>
      <c r="N5" s="174">
        <f t="shared" ref="N5:N10" si="1">I5-$S$31*H5-D5/$S$27</f>
        <v>0</v>
      </c>
      <c r="O5" s="174">
        <f t="shared" ref="O5:O10" si="2">E4+I5+G5-F4-J5-E5+F5</f>
        <v>0</v>
      </c>
      <c r="P5" s="175">
        <f t="shared" ref="P5:P10" si="3">D5-H5*$S$32</f>
        <v>-450</v>
      </c>
      <c r="R5" s="83" t="s">
        <v>84</v>
      </c>
      <c r="S5" s="83">
        <v>1000</v>
      </c>
      <c r="T5" s="82"/>
      <c r="U5" s="82"/>
      <c r="V5" s="82"/>
    </row>
    <row r="6" spans="1:22" ht="17.25" thickBot="1" x14ac:dyDescent="0.35">
      <c r="A6" s="92">
        <v>2</v>
      </c>
      <c r="B6" s="224">
        <v>0</v>
      </c>
      <c r="C6" s="224">
        <v>0</v>
      </c>
      <c r="D6" s="224">
        <v>0</v>
      </c>
      <c r="E6" s="224">
        <v>0</v>
      </c>
      <c r="F6" s="224">
        <v>0</v>
      </c>
      <c r="G6" s="224">
        <v>0</v>
      </c>
      <c r="H6" s="224">
        <v>45</v>
      </c>
      <c r="I6" s="224">
        <v>1800</v>
      </c>
      <c r="J6" s="163">
        <v>3000</v>
      </c>
      <c r="K6" s="91">
        <f t="shared" si="0"/>
        <v>0</v>
      </c>
      <c r="M6" s="173">
        <f t="shared" ref="M6:M10" si="4">H5+B6-C6-H6</f>
        <v>0</v>
      </c>
      <c r="N6" s="174">
        <f t="shared" si="1"/>
        <v>0</v>
      </c>
      <c r="O6" s="174">
        <f t="shared" si="2"/>
        <v>0</v>
      </c>
      <c r="P6" s="175">
        <f t="shared" si="3"/>
        <v>-450</v>
      </c>
      <c r="R6" s="108" t="s">
        <v>43</v>
      </c>
      <c r="S6" s="109" t="s">
        <v>46</v>
      </c>
      <c r="T6" s="82"/>
      <c r="U6" s="82"/>
      <c r="V6" s="82"/>
    </row>
    <row r="7" spans="1:22" x14ac:dyDescent="0.3">
      <c r="A7" s="92">
        <v>3</v>
      </c>
      <c r="B7" s="224">
        <v>42</v>
      </c>
      <c r="C7" s="224">
        <v>0</v>
      </c>
      <c r="D7" s="224">
        <v>0</v>
      </c>
      <c r="E7" s="224">
        <v>280</v>
      </c>
      <c r="F7" s="224">
        <v>0</v>
      </c>
      <c r="G7" s="224">
        <v>0</v>
      </c>
      <c r="H7" s="224">
        <v>87</v>
      </c>
      <c r="I7" s="224">
        <v>3480</v>
      </c>
      <c r="J7" s="163">
        <v>3200</v>
      </c>
      <c r="K7" s="91">
        <f t="shared" si="0"/>
        <v>0</v>
      </c>
      <c r="M7" s="173">
        <f t="shared" si="4"/>
        <v>0</v>
      </c>
      <c r="N7" s="174">
        <f t="shared" si="1"/>
        <v>0</v>
      </c>
      <c r="O7" s="174">
        <f t="shared" si="2"/>
        <v>0</v>
      </c>
      <c r="P7" s="175">
        <f t="shared" si="3"/>
        <v>-870</v>
      </c>
      <c r="R7" s="110" t="s">
        <v>41</v>
      </c>
      <c r="S7" s="111">
        <v>1600</v>
      </c>
      <c r="T7" s="82"/>
      <c r="U7" s="82"/>
      <c r="V7" s="82"/>
    </row>
    <row r="8" spans="1:22" x14ac:dyDescent="0.3">
      <c r="A8" s="92">
        <v>4</v>
      </c>
      <c r="B8" s="224">
        <v>1</v>
      </c>
      <c r="C8" s="224">
        <v>0</v>
      </c>
      <c r="D8" s="224">
        <v>0</v>
      </c>
      <c r="E8" s="224">
        <v>0</v>
      </c>
      <c r="F8" s="224">
        <v>0</v>
      </c>
      <c r="G8" s="224">
        <v>0</v>
      </c>
      <c r="H8" s="224">
        <v>88</v>
      </c>
      <c r="I8" s="224">
        <v>3520</v>
      </c>
      <c r="J8" s="163">
        <v>3800</v>
      </c>
      <c r="K8" s="91">
        <f t="shared" si="0"/>
        <v>0</v>
      </c>
      <c r="M8" s="173">
        <f t="shared" si="4"/>
        <v>0</v>
      </c>
      <c r="N8" s="174">
        <f t="shared" si="1"/>
        <v>0</v>
      </c>
      <c r="O8" s="174">
        <f t="shared" si="2"/>
        <v>0</v>
      </c>
      <c r="P8" s="175">
        <f t="shared" si="3"/>
        <v>-880</v>
      </c>
      <c r="R8" s="110" t="s">
        <v>40</v>
      </c>
      <c r="S8" s="111">
        <v>3000</v>
      </c>
      <c r="T8" s="82"/>
      <c r="U8" s="82"/>
      <c r="V8" s="82"/>
    </row>
    <row r="9" spans="1:22" x14ac:dyDescent="0.3">
      <c r="A9" s="92">
        <v>5</v>
      </c>
      <c r="B9" s="224">
        <v>0</v>
      </c>
      <c r="C9" s="224">
        <v>27</v>
      </c>
      <c r="D9" s="224">
        <v>0</v>
      </c>
      <c r="E9" s="224">
        <v>240</v>
      </c>
      <c r="F9" s="224">
        <v>0</v>
      </c>
      <c r="G9" s="224">
        <v>0</v>
      </c>
      <c r="H9" s="224">
        <v>61</v>
      </c>
      <c r="I9" s="224">
        <v>2440</v>
      </c>
      <c r="J9" s="163">
        <v>2200</v>
      </c>
      <c r="K9" s="91">
        <f t="shared" si="0"/>
        <v>0</v>
      </c>
      <c r="M9" s="173">
        <f t="shared" si="4"/>
        <v>0</v>
      </c>
      <c r="N9" s="174">
        <f t="shared" si="1"/>
        <v>0</v>
      </c>
      <c r="O9" s="174">
        <f t="shared" si="2"/>
        <v>0</v>
      </c>
      <c r="P9" s="175">
        <f t="shared" si="3"/>
        <v>-610</v>
      </c>
      <c r="R9" s="110" t="s">
        <v>39</v>
      </c>
      <c r="S9" s="111">
        <v>3200</v>
      </c>
      <c r="T9" s="82"/>
      <c r="U9" s="82"/>
      <c r="V9" s="82"/>
    </row>
    <row r="10" spans="1:22" ht="17.25" thickBot="1" x14ac:dyDescent="0.35">
      <c r="A10" s="90">
        <v>6</v>
      </c>
      <c r="B10" s="225">
        <v>0</v>
      </c>
      <c r="C10" s="225">
        <v>0</v>
      </c>
      <c r="D10" s="225">
        <v>0</v>
      </c>
      <c r="E10" s="225">
        <v>500</v>
      </c>
      <c r="F10" s="225">
        <v>0</v>
      </c>
      <c r="G10" s="225">
        <v>20</v>
      </c>
      <c r="H10" s="225">
        <v>61</v>
      </c>
      <c r="I10" s="225">
        <v>2440</v>
      </c>
      <c r="J10" s="164">
        <v>2200</v>
      </c>
      <c r="K10" s="89">
        <f t="shared" si="0"/>
        <v>0</v>
      </c>
      <c r="M10" s="176">
        <f t="shared" si="4"/>
        <v>0</v>
      </c>
      <c r="N10" s="177">
        <f t="shared" si="1"/>
        <v>0</v>
      </c>
      <c r="O10" s="177">
        <f t="shared" si="2"/>
        <v>0</v>
      </c>
      <c r="P10" s="178">
        <f t="shared" si="3"/>
        <v>-610</v>
      </c>
      <c r="R10" s="110" t="s">
        <v>38</v>
      </c>
      <c r="S10" s="111">
        <v>3800</v>
      </c>
      <c r="T10" s="82"/>
      <c r="U10" s="82"/>
      <c r="V10" s="82"/>
    </row>
    <row r="11" spans="1:22" ht="17.25" thickBot="1" x14ac:dyDescent="0.35">
      <c r="B11" s="86">
        <f t="shared" ref="B11:I11" si="5">SUM(B5:B10)</f>
        <v>43</v>
      </c>
      <c r="C11" s="86">
        <f t="shared" si="5"/>
        <v>62</v>
      </c>
      <c r="D11" s="86">
        <f t="shared" si="5"/>
        <v>0</v>
      </c>
      <c r="E11" s="86">
        <f t="shared" si="5"/>
        <v>2220</v>
      </c>
      <c r="F11" s="86">
        <f t="shared" si="5"/>
        <v>0</v>
      </c>
      <c r="G11" s="86">
        <f t="shared" si="5"/>
        <v>20</v>
      </c>
      <c r="H11" s="86">
        <f t="shared" si="5"/>
        <v>387</v>
      </c>
      <c r="I11" s="86">
        <f t="shared" si="5"/>
        <v>15480</v>
      </c>
      <c r="M11" s="85" t="s">
        <v>83</v>
      </c>
      <c r="N11" s="85" t="s">
        <v>79</v>
      </c>
      <c r="O11" s="85" t="s">
        <v>83</v>
      </c>
      <c r="P11" s="85" t="s">
        <v>79</v>
      </c>
      <c r="R11" s="110" t="s">
        <v>37</v>
      </c>
      <c r="S11" s="111">
        <v>2200</v>
      </c>
      <c r="T11" s="82"/>
      <c r="U11" s="82"/>
      <c r="V11" s="82"/>
    </row>
    <row r="12" spans="1:22" s="82" customFormat="1" ht="17.25" thickBot="1" x14ac:dyDescent="0.35">
      <c r="B12" s="166">
        <f>S20</f>
        <v>50</v>
      </c>
      <c r="C12" s="166">
        <f>S21</f>
        <v>50</v>
      </c>
      <c r="D12" s="122">
        <f>S23</f>
        <v>6</v>
      </c>
      <c r="E12" s="122">
        <f>S18</f>
        <v>2</v>
      </c>
      <c r="F12" s="122">
        <f>S19</f>
        <v>5</v>
      </c>
      <c r="G12" s="122">
        <f>S24</f>
        <v>30</v>
      </c>
      <c r="H12" s="122">
        <f>S25</f>
        <v>640</v>
      </c>
      <c r="I12" s="122">
        <f>S32</f>
        <v>10</v>
      </c>
      <c r="J12" s="123">
        <f>SUMPRODUCT(B11:I11,B12:I12)</f>
        <v>412770</v>
      </c>
      <c r="R12" s="112" t="s">
        <v>36</v>
      </c>
      <c r="S12" s="113">
        <v>2200</v>
      </c>
    </row>
    <row r="13" spans="1:22" s="82" customFormat="1" ht="15" customHeight="1" x14ac:dyDescent="0.3">
      <c r="R13" s="84" t="s">
        <v>82</v>
      </c>
      <c r="S13" s="84">
        <v>500</v>
      </c>
    </row>
    <row r="14" spans="1:22" s="82" customFormat="1" x14ac:dyDescent="0.3">
      <c r="A14"/>
      <c r="B14"/>
      <c r="C14"/>
      <c r="D14"/>
      <c r="E14"/>
      <c r="F14"/>
      <c r="G14"/>
      <c r="S14" s="82">
        <v>422660</v>
      </c>
      <c r="T14" s="82" t="s">
        <v>93</v>
      </c>
      <c r="U14" s="82" t="s">
        <v>90</v>
      </c>
    </row>
    <row r="15" spans="1:22" s="82" customFormat="1" ht="17.25" thickBot="1" x14ac:dyDescent="0.35">
      <c r="A15"/>
      <c r="B15"/>
      <c r="C15"/>
      <c r="D15"/>
      <c r="E15"/>
      <c r="F15"/>
      <c r="G15"/>
      <c r="R15" s="84" t="s">
        <v>24</v>
      </c>
    </row>
    <row r="16" spans="1:22" s="82" customFormat="1" ht="15" customHeight="1" thickBot="1" x14ac:dyDescent="0.35">
      <c r="A16"/>
      <c r="B16"/>
      <c r="C16"/>
      <c r="D16"/>
      <c r="E16"/>
      <c r="F16"/>
      <c r="G16"/>
      <c r="R16" s="114" t="s">
        <v>35</v>
      </c>
      <c r="S16" s="115" t="s">
        <v>20</v>
      </c>
    </row>
    <row r="17" spans="1:19" s="82" customFormat="1" x14ac:dyDescent="0.3">
      <c r="A17"/>
      <c r="B17"/>
      <c r="C17"/>
      <c r="D17"/>
      <c r="E17"/>
      <c r="F17"/>
      <c r="G17"/>
      <c r="R17" s="116" t="s">
        <v>34</v>
      </c>
      <c r="S17" s="139">
        <v>10</v>
      </c>
    </row>
    <row r="18" spans="1:19" s="82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R18" s="117" t="s">
        <v>33</v>
      </c>
      <c r="S18" s="140">
        <v>2</v>
      </c>
    </row>
    <row r="19" spans="1:19" s="82" customFormat="1" ht="15.7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R19" s="117" t="s">
        <v>32</v>
      </c>
      <c r="S19" s="140">
        <v>5</v>
      </c>
    </row>
    <row r="20" spans="1:19" s="82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R20" s="117" t="s">
        <v>31</v>
      </c>
      <c r="S20" s="140">
        <v>50</v>
      </c>
    </row>
    <row r="21" spans="1:19" s="82" customForma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R21" s="117" t="s">
        <v>30</v>
      </c>
      <c r="S21" s="140">
        <v>50</v>
      </c>
    </row>
    <row r="22" spans="1:19" s="82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R22" s="117" t="s">
        <v>28</v>
      </c>
      <c r="S22" s="140">
        <v>4</v>
      </c>
    </row>
    <row r="23" spans="1:19" s="82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R23" s="117" t="s">
        <v>27</v>
      </c>
      <c r="S23" s="140">
        <v>6</v>
      </c>
    </row>
    <row r="24" spans="1:19" s="82" customFormat="1" x14ac:dyDescent="0.3">
      <c r="H24"/>
      <c r="I24"/>
      <c r="J24"/>
      <c r="K24"/>
      <c r="L24"/>
      <c r="M24"/>
      <c r="R24" s="117" t="s">
        <v>26</v>
      </c>
      <c r="S24" s="140">
        <v>30</v>
      </c>
    </row>
    <row r="25" spans="1:19" s="82" customFormat="1" ht="17.25" thickBot="1" x14ac:dyDescent="0.35">
      <c r="R25" s="118" t="s">
        <v>81</v>
      </c>
      <c r="S25" s="141">
        <f>S22*S30</f>
        <v>640</v>
      </c>
    </row>
    <row r="26" spans="1:19" s="82" customFormat="1" ht="17.25" thickBot="1" x14ac:dyDescent="0.35"/>
    <row r="27" spans="1:19" s="82" customFormat="1" ht="17.25" thickBot="1" x14ac:dyDescent="0.35">
      <c r="R27" s="124" t="s">
        <v>29</v>
      </c>
      <c r="S27" s="129">
        <v>4</v>
      </c>
    </row>
    <row r="28" spans="1:19" s="82" customFormat="1" x14ac:dyDescent="0.3">
      <c r="R28" s="125" t="s">
        <v>125</v>
      </c>
      <c r="S28" s="130">
        <v>8</v>
      </c>
    </row>
    <row r="29" spans="1:19" s="82" customFormat="1" x14ac:dyDescent="0.3">
      <c r="R29" s="126" t="s">
        <v>126</v>
      </c>
      <c r="S29" s="131">
        <v>20</v>
      </c>
    </row>
    <row r="30" spans="1:19" s="82" customFormat="1" x14ac:dyDescent="0.3">
      <c r="R30" s="126" t="s">
        <v>127</v>
      </c>
      <c r="S30" s="131">
        <f>S28*S29</f>
        <v>160</v>
      </c>
    </row>
    <row r="31" spans="1:19" s="82" customFormat="1" x14ac:dyDescent="0.3">
      <c r="R31" s="127" t="s">
        <v>128</v>
      </c>
      <c r="S31" s="132">
        <f>S30/S27</f>
        <v>40</v>
      </c>
    </row>
    <row r="32" spans="1:19" x14ac:dyDescent="0.3">
      <c r="R32" s="126" t="s">
        <v>129</v>
      </c>
      <c r="S32" s="131">
        <v>10</v>
      </c>
    </row>
    <row r="33" spans="18:19" ht="17.25" thickBot="1" x14ac:dyDescent="0.35">
      <c r="R33" s="128" t="s">
        <v>130</v>
      </c>
      <c r="S33" s="118">
        <f>S32/S27</f>
        <v>2.5</v>
      </c>
    </row>
  </sheetData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9DDB-0DD0-4364-9775-6715444230DB}">
  <sheetPr codeName="Sheet5">
    <tabColor rgb="FFFFFF00"/>
  </sheetPr>
  <dimension ref="A1:S45"/>
  <sheetViews>
    <sheetView workbookViewId="0">
      <selection activeCell="O6" sqref="O6:O11"/>
    </sheetView>
  </sheetViews>
  <sheetFormatPr defaultColWidth="9.140625" defaultRowHeight="16.5" x14ac:dyDescent="0.3"/>
  <cols>
    <col min="1" max="1" width="16.5703125" style="182" bestFit="1" customWidth="1"/>
    <col min="2" max="7" width="8.28515625" style="182" customWidth="1"/>
    <col min="8" max="8" width="7.85546875" style="182" customWidth="1"/>
    <col min="9" max="9" width="10.140625" style="182" customWidth="1"/>
    <col min="10" max="17" width="9.140625" style="182"/>
    <col min="18" max="18" width="40.7109375" style="182" bestFit="1" customWidth="1"/>
    <col min="19" max="19" width="9.85546875" style="182" bestFit="1" customWidth="1"/>
    <col min="20" max="16384" width="9.140625" style="182"/>
  </cols>
  <sheetData>
    <row r="1" spans="1:19" x14ac:dyDescent="0.3">
      <c r="A1" s="182" t="s">
        <v>92</v>
      </c>
    </row>
    <row r="3" spans="1:19" ht="17.25" thickBot="1" x14ac:dyDescent="0.35">
      <c r="A3" s="182" t="s">
        <v>0</v>
      </c>
      <c r="B3" s="182">
        <v>1</v>
      </c>
      <c r="C3" s="182">
        <v>2</v>
      </c>
      <c r="D3" s="182">
        <v>3</v>
      </c>
      <c r="E3" s="182">
        <v>4</v>
      </c>
      <c r="F3" s="182">
        <v>5</v>
      </c>
      <c r="G3" s="182">
        <v>6</v>
      </c>
      <c r="H3" s="183" t="s">
        <v>91</v>
      </c>
      <c r="I3" s="183" t="s">
        <v>75</v>
      </c>
      <c r="J3" s="183"/>
      <c r="R3" s="96"/>
      <c r="S3" s="82"/>
    </row>
    <row r="4" spans="1:19" ht="17.25" thickBot="1" x14ac:dyDescent="0.35">
      <c r="A4" s="182" t="s">
        <v>1</v>
      </c>
      <c r="B4" s="184">
        <v>600</v>
      </c>
      <c r="C4" s="184">
        <v>439.99999999999989</v>
      </c>
      <c r="D4" s="184">
        <v>1520.0000000000002</v>
      </c>
      <c r="E4" s="184">
        <v>0</v>
      </c>
      <c r="F4" s="184">
        <v>0</v>
      </c>
      <c r="G4" s="185">
        <v>0</v>
      </c>
      <c r="H4" s="186">
        <f>SUM(B4:G4)</f>
        <v>2560</v>
      </c>
      <c r="I4" s="186">
        <f>40*VLOOKUP(VALUE(LEFT(A4,1)),$K$6:$L$11,2,0)</f>
        <v>2560</v>
      </c>
      <c r="J4" s="187"/>
      <c r="L4" s="188" t="s">
        <v>21</v>
      </c>
      <c r="M4" s="188" t="s">
        <v>22</v>
      </c>
      <c r="N4" s="188" t="s">
        <v>23</v>
      </c>
      <c r="R4" s="84" t="s">
        <v>42</v>
      </c>
      <c r="S4" s="83"/>
    </row>
    <row r="5" spans="1:19" ht="17.25" thickBot="1" x14ac:dyDescent="0.35">
      <c r="A5" s="182" t="s">
        <v>2</v>
      </c>
      <c r="B5" s="184">
        <v>0</v>
      </c>
      <c r="C5" s="184">
        <v>0</v>
      </c>
      <c r="D5" s="184">
        <v>0</v>
      </c>
      <c r="E5" s="184">
        <v>0</v>
      </c>
      <c r="F5" s="184">
        <v>0</v>
      </c>
      <c r="G5" s="185">
        <v>0</v>
      </c>
      <c r="H5" s="186">
        <f t="shared" ref="H5:H21" si="0">SUM(B5:G5)</f>
        <v>0</v>
      </c>
      <c r="I5" s="186">
        <f>2.5*VLOOKUP(VALUE(LEFT(A5,1)),$K$6:$L$11,2,0)</f>
        <v>160</v>
      </c>
      <c r="J5" s="187"/>
      <c r="L5" s="189">
        <v>64</v>
      </c>
      <c r="M5" s="189">
        <v>0</v>
      </c>
      <c r="N5" s="189">
        <v>0</v>
      </c>
      <c r="R5" s="83" t="s">
        <v>84</v>
      </c>
      <c r="S5" s="83">
        <v>1000</v>
      </c>
    </row>
    <row r="6" spans="1:19" ht="17.25" thickBot="1" x14ac:dyDescent="0.35">
      <c r="A6" s="182" t="s">
        <v>3</v>
      </c>
      <c r="B6" s="184">
        <v>0</v>
      </c>
      <c r="C6" s="184">
        <v>0</v>
      </c>
      <c r="D6" s="184">
        <v>0</v>
      </c>
      <c r="E6" s="184">
        <v>0</v>
      </c>
      <c r="F6" s="184">
        <v>0</v>
      </c>
      <c r="G6" s="185">
        <v>0</v>
      </c>
      <c r="H6" s="186">
        <f t="shared" si="0"/>
        <v>0</v>
      </c>
      <c r="I6" s="186">
        <v>2000</v>
      </c>
      <c r="J6" s="187"/>
      <c r="K6" s="182">
        <v>1</v>
      </c>
      <c r="L6" s="190">
        <v>64</v>
      </c>
      <c r="M6" s="191">
        <v>0</v>
      </c>
      <c r="N6" s="192">
        <v>0</v>
      </c>
      <c r="O6" s="182">
        <f>L5+M6-N6-L6</f>
        <v>0</v>
      </c>
      <c r="R6" s="108" t="s">
        <v>43</v>
      </c>
      <c r="S6" s="109" t="s">
        <v>46</v>
      </c>
    </row>
    <row r="7" spans="1:19" ht="17.25" thickBot="1" x14ac:dyDescent="0.35">
      <c r="A7" s="182" t="s">
        <v>4</v>
      </c>
      <c r="B7" s="184">
        <v>0</v>
      </c>
      <c r="C7" s="184">
        <v>2560.0000000000005</v>
      </c>
      <c r="D7" s="184">
        <v>0</v>
      </c>
      <c r="E7" s="184">
        <v>0</v>
      </c>
      <c r="F7" s="184">
        <v>0</v>
      </c>
      <c r="G7" s="185">
        <v>0</v>
      </c>
      <c r="H7" s="186">
        <f t="shared" si="0"/>
        <v>2560.0000000000005</v>
      </c>
      <c r="I7" s="186">
        <f>40*VLOOKUP(VALUE(LEFT(A7,1)),$K$6:$L$11,2,0)</f>
        <v>2560</v>
      </c>
      <c r="J7" s="187"/>
      <c r="K7" s="182">
        <v>2</v>
      </c>
      <c r="L7" s="193">
        <v>64</v>
      </c>
      <c r="M7" s="194">
        <v>0</v>
      </c>
      <c r="N7" s="195">
        <v>0</v>
      </c>
      <c r="O7" s="182">
        <f t="shared" ref="O7:O11" si="1">L6+M7-N7-L7</f>
        <v>0</v>
      </c>
      <c r="R7" s="110" t="s">
        <v>41</v>
      </c>
      <c r="S7" s="111">
        <v>1600</v>
      </c>
    </row>
    <row r="8" spans="1:19" ht="17.25" thickBot="1" x14ac:dyDescent="0.35">
      <c r="A8" s="182" t="s">
        <v>5</v>
      </c>
      <c r="B8" s="184">
        <v>0</v>
      </c>
      <c r="C8" s="184">
        <v>0</v>
      </c>
      <c r="D8" s="184">
        <v>0</v>
      </c>
      <c r="E8" s="184">
        <v>0</v>
      </c>
      <c r="F8" s="184">
        <v>0</v>
      </c>
      <c r="G8" s="185">
        <v>0</v>
      </c>
      <c r="H8" s="186">
        <f t="shared" si="0"/>
        <v>0</v>
      </c>
      <c r="I8" s="186">
        <f>2.5*VLOOKUP(VALUE(LEFT(A8,1)),$K$6:$L$11,2,0)</f>
        <v>160</v>
      </c>
      <c r="J8" s="187"/>
      <c r="K8" s="182">
        <v>3</v>
      </c>
      <c r="L8" s="193">
        <v>64</v>
      </c>
      <c r="M8" s="194">
        <v>0</v>
      </c>
      <c r="N8" s="195">
        <v>0</v>
      </c>
      <c r="O8" s="182">
        <f t="shared" si="1"/>
        <v>0</v>
      </c>
      <c r="R8" s="110" t="s">
        <v>40</v>
      </c>
      <c r="S8" s="111">
        <v>3000</v>
      </c>
    </row>
    <row r="9" spans="1:19" ht="17.25" thickBot="1" x14ac:dyDescent="0.35">
      <c r="A9" s="182" t="s">
        <v>6</v>
      </c>
      <c r="B9" s="184">
        <v>0</v>
      </c>
      <c r="C9" s="184">
        <v>0</v>
      </c>
      <c r="D9" s="184">
        <v>0</v>
      </c>
      <c r="E9" s="184">
        <v>0</v>
      </c>
      <c r="F9" s="184">
        <v>0</v>
      </c>
      <c r="G9" s="185">
        <v>0</v>
      </c>
      <c r="H9" s="186">
        <f t="shared" si="0"/>
        <v>0</v>
      </c>
      <c r="I9" s="186">
        <v>2000</v>
      </c>
      <c r="J9" s="187"/>
      <c r="K9" s="182">
        <v>4</v>
      </c>
      <c r="L9" s="193">
        <v>64</v>
      </c>
      <c r="M9" s="194">
        <v>0</v>
      </c>
      <c r="N9" s="195">
        <v>0</v>
      </c>
      <c r="O9" s="182">
        <f t="shared" si="1"/>
        <v>0</v>
      </c>
      <c r="R9" s="110" t="s">
        <v>39</v>
      </c>
      <c r="S9" s="111">
        <v>3200</v>
      </c>
    </row>
    <row r="10" spans="1:19" ht="17.25" thickBot="1" x14ac:dyDescent="0.35">
      <c r="A10" s="182" t="s">
        <v>7</v>
      </c>
      <c r="B10" s="184">
        <v>0</v>
      </c>
      <c r="C10" s="184">
        <v>0</v>
      </c>
      <c r="D10" s="184">
        <v>1679.9999999999998</v>
      </c>
      <c r="E10" s="184">
        <v>880.00000000000045</v>
      </c>
      <c r="F10" s="184">
        <v>0</v>
      </c>
      <c r="G10" s="185">
        <v>0</v>
      </c>
      <c r="H10" s="186">
        <f t="shared" si="0"/>
        <v>2560</v>
      </c>
      <c r="I10" s="186">
        <f>40*VLOOKUP(VALUE(LEFT(A10,1)),$K$6:$L$11,2,0)</f>
        <v>2560</v>
      </c>
      <c r="J10" s="187"/>
      <c r="K10" s="182">
        <v>5</v>
      </c>
      <c r="L10" s="193">
        <v>64</v>
      </c>
      <c r="M10" s="194">
        <v>0</v>
      </c>
      <c r="N10" s="195">
        <v>0</v>
      </c>
      <c r="O10" s="182">
        <f t="shared" si="1"/>
        <v>0</v>
      </c>
      <c r="P10" s="183"/>
      <c r="R10" s="110" t="s">
        <v>38</v>
      </c>
      <c r="S10" s="111">
        <v>3800</v>
      </c>
    </row>
    <row r="11" spans="1:19" ht="17.25" thickBot="1" x14ac:dyDescent="0.35">
      <c r="A11" s="182" t="s">
        <v>8</v>
      </c>
      <c r="B11" s="184">
        <v>0</v>
      </c>
      <c r="C11" s="184">
        <v>0</v>
      </c>
      <c r="D11" s="184">
        <v>0</v>
      </c>
      <c r="E11" s="184">
        <v>0</v>
      </c>
      <c r="F11" s="184">
        <v>0</v>
      </c>
      <c r="G11" s="185">
        <v>0</v>
      </c>
      <c r="H11" s="186">
        <f t="shared" si="0"/>
        <v>0</v>
      </c>
      <c r="I11" s="186">
        <f>2.5*VLOOKUP(VALUE(LEFT(A11,1)),$K$6:$L$11,2,0)</f>
        <v>160</v>
      </c>
      <c r="J11" s="187"/>
      <c r="K11" s="182">
        <v>6</v>
      </c>
      <c r="L11" s="196">
        <v>64</v>
      </c>
      <c r="M11" s="197">
        <v>0</v>
      </c>
      <c r="N11" s="198">
        <v>0</v>
      </c>
      <c r="O11" s="182">
        <f t="shared" si="1"/>
        <v>0</v>
      </c>
      <c r="R11" s="110" t="s">
        <v>37</v>
      </c>
      <c r="S11" s="111">
        <v>2200</v>
      </c>
    </row>
    <row r="12" spans="1:19" ht="17.25" thickBot="1" x14ac:dyDescent="0.35">
      <c r="A12" s="182" t="s">
        <v>9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5">
        <v>0</v>
      </c>
      <c r="H12" s="186">
        <f t="shared" si="0"/>
        <v>0</v>
      </c>
      <c r="I12" s="186">
        <v>2000</v>
      </c>
      <c r="J12" s="187"/>
      <c r="L12" s="199">
        <f>SUM(L6:L11)</f>
        <v>384</v>
      </c>
      <c r="M12" s="200">
        <f>SUM(M6:M11)</f>
        <v>0</v>
      </c>
      <c r="N12" s="201">
        <f t="shared" ref="N12" si="2">SUM(N6:N11)</f>
        <v>0</v>
      </c>
      <c r="R12" s="112" t="s">
        <v>36</v>
      </c>
      <c r="S12" s="113">
        <v>2200</v>
      </c>
    </row>
    <row r="13" spans="1:19" ht="17.25" thickBot="1" x14ac:dyDescent="0.35">
      <c r="A13" s="182" t="s">
        <v>10</v>
      </c>
      <c r="B13" s="184">
        <v>0</v>
      </c>
      <c r="C13" s="184">
        <v>0</v>
      </c>
      <c r="D13" s="184">
        <v>0</v>
      </c>
      <c r="E13" s="184">
        <v>2560.0000000000005</v>
      </c>
      <c r="F13" s="184">
        <v>0</v>
      </c>
      <c r="G13" s="185">
        <v>0</v>
      </c>
      <c r="H13" s="186">
        <f t="shared" si="0"/>
        <v>2560.0000000000005</v>
      </c>
      <c r="I13" s="186">
        <f>40*VLOOKUP(VALUE(LEFT(A13,1)),$K$6:$L$11,2,0)</f>
        <v>2560</v>
      </c>
      <c r="J13" s="187"/>
      <c r="L13" s="202">
        <f>S25</f>
        <v>640</v>
      </c>
      <c r="M13" s="203">
        <f>S20</f>
        <v>300</v>
      </c>
      <c r="N13" s="204">
        <f>S21</f>
        <v>500</v>
      </c>
      <c r="R13" s="84" t="s">
        <v>82</v>
      </c>
      <c r="S13" s="84">
        <v>500</v>
      </c>
    </row>
    <row r="14" spans="1:19" ht="17.25" thickBot="1" x14ac:dyDescent="0.35">
      <c r="A14" s="182" t="s">
        <v>11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5">
        <v>0</v>
      </c>
      <c r="H14" s="186">
        <f t="shared" si="0"/>
        <v>0</v>
      </c>
      <c r="I14" s="186">
        <f>2.5*VLOOKUP(VALUE(LEFT(A14,1)),$K$6:$L$11,2,0)</f>
        <v>160</v>
      </c>
      <c r="J14" s="187"/>
      <c r="N14" s="182">
        <f>SUMPRODUCT(L12:N12,L13:N13)</f>
        <v>245760</v>
      </c>
      <c r="R14" s="82"/>
      <c r="S14" s="82"/>
    </row>
    <row r="15" spans="1:19" ht="17.25" thickBot="1" x14ac:dyDescent="0.35">
      <c r="A15" s="182" t="s">
        <v>12</v>
      </c>
      <c r="B15" s="184">
        <v>0</v>
      </c>
      <c r="C15" s="184">
        <v>0</v>
      </c>
      <c r="D15" s="184">
        <v>0</v>
      </c>
      <c r="E15" s="184">
        <v>139.99999999999892</v>
      </c>
      <c r="F15" s="184">
        <v>0</v>
      </c>
      <c r="G15" s="185">
        <v>0</v>
      </c>
      <c r="H15" s="186">
        <f t="shared" si="0"/>
        <v>139.99999999999892</v>
      </c>
      <c r="I15" s="186">
        <v>2000</v>
      </c>
      <c r="J15" s="187"/>
      <c r="N15" s="182">
        <f>$S$18*G25</f>
        <v>1000</v>
      </c>
      <c r="R15" s="84" t="s">
        <v>24</v>
      </c>
      <c r="S15" s="82"/>
    </row>
    <row r="16" spans="1:19" ht="17.25" thickBot="1" x14ac:dyDescent="0.35">
      <c r="A16" s="182" t="s">
        <v>13</v>
      </c>
      <c r="B16" s="184">
        <v>0</v>
      </c>
      <c r="C16" s="184">
        <v>0</v>
      </c>
      <c r="D16" s="184">
        <v>0</v>
      </c>
      <c r="E16" s="184">
        <v>220.00000000000037</v>
      </c>
      <c r="F16" s="184">
        <v>2200</v>
      </c>
      <c r="G16" s="185">
        <v>139.9999999999998</v>
      </c>
      <c r="H16" s="186">
        <f t="shared" si="0"/>
        <v>2560.0000000000005</v>
      </c>
      <c r="I16" s="186">
        <f>40*VLOOKUP(VALUE(LEFT(A16,1)),$K$6:$L$11,2,0)</f>
        <v>2560</v>
      </c>
      <c r="J16" s="187"/>
      <c r="N16" s="182">
        <f>SUMPRODUCT(B4:G21,B28:G45)</f>
        <v>167899.99999999997</v>
      </c>
      <c r="R16" s="114" t="s">
        <v>35</v>
      </c>
      <c r="S16" s="115" t="s">
        <v>20</v>
      </c>
    </row>
    <row r="17" spans="1:19" ht="17.25" thickBot="1" x14ac:dyDescent="0.35">
      <c r="A17" s="182" t="s">
        <v>14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5">
        <v>0</v>
      </c>
      <c r="H17" s="186">
        <f t="shared" si="0"/>
        <v>0</v>
      </c>
      <c r="I17" s="186">
        <f>2.5*VLOOKUP(VALUE(LEFT(A17,1)),$K$6:$L$11,2,0)</f>
        <v>160</v>
      </c>
      <c r="J17" s="187"/>
      <c r="N17" s="182">
        <f>SUM(N14:N16)</f>
        <v>414660</v>
      </c>
      <c r="R17" s="116" t="s">
        <v>34</v>
      </c>
      <c r="S17" s="179">
        <v>10</v>
      </c>
    </row>
    <row r="18" spans="1:19" ht="17.25" thickBot="1" x14ac:dyDescent="0.35">
      <c r="A18" s="182" t="s">
        <v>15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5">
        <v>0</v>
      </c>
      <c r="H18" s="186">
        <f t="shared" si="0"/>
        <v>0</v>
      </c>
      <c r="I18" s="186">
        <v>2000</v>
      </c>
      <c r="J18" s="187"/>
      <c r="R18" s="117" t="s">
        <v>33</v>
      </c>
      <c r="S18" s="180">
        <v>2</v>
      </c>
    </row>
    <row r="19" spans="1:19" ht="17.25" thickBot="1" x14ac:dyDescent="0.35">
      <c r="A19" s="182" t="s">
        <v>16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5">
        <v>2560.0000000000005</v>
      </c>
      <c r="H19" s="186">
        <f t="shared" si="0"/>
        <v>2560.0000000000005</v>
      </c>
      <c r="I19" s="186">
        <f>40*VLOOKUP(VALUE(LEFT(A19,1)),$K$6:$L$11,2,0)</f>
        <v>2560</v>
      </c>
      <c r="J19" s="187"/>
      <c r="R19" s="117" t="s">
        <v>32</v>
      </c>
      <c r="S19" s="180">
        <v>5</v>
      </c>
    </row>
    <row r="20" spans="1:19" ht="17.25" thickBot="1" x14ac:dyDescent="0.35">
      <c r="A20" s="182" t="s">
        <v>17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5">
        <v>0</v>
      </c>
      <c r="H20" s="186">
        <f t="shared" si="0"/>
        <v>0</v>
      </c>
      <c r="I20" s="186">
        <f>2.5*VLOOKUP(VALUE(LEFT(A20,1)),$K$6:$L$11,2,0)</f>
        <v>160</v>
      </c>
      <c r="J20" s="187"/>
      <c r="R20" s="117" t="s">
        <v>31</v>
      </c>
      <c r="S20" s="180">
        <v>300</v>
      </c>
    </row>
    <row r="21" spans="1:19" ht="17.25" thickBot="1" x14ac:dyDescent="0.35">
      <c r="A21" s="182" t="s">
        <v>18</v>
      </c>
      <c r="B21" s="205">
        <v>0</v>
      </c>
      <c r="C21" s="205">
        <v>0</v>
      </c>
      <c r="D21" s="205">
        <v>0</v>
      </c>
      <c r="E21" s="205">
        <v>0</v>
      </c>
      <c r="F21" s="205">
        <v>0</v>
      </c>
      <c r="G21" s="206">
        <v>0</v>
      </c>
      <c r="H21" s="186">
        <f t="shared" si="0"/>
        <v>0</v>
      </c>
      <c r="I21" s="186">
        <v>2000</v>
      </c>
      <c r="J21" s="187"/>
      <c r="R21" s="117" t="s">
        <v>30</v>
      </c>
      <c r="S21" s="180">
        <v>500</v>
      </c>
    </row>
    <row r="22" spans="1:19" x14ac:dyDescent="0.3">
      <c r="A22" s="182" t="s">
        <v>134</v>
      </c>
      <c r="B22" s="186">
        <f>SUM(B4:B21)</f>
        <v>600</v>
      </c>
      <c r="C22" s="186">
        <f t="shared" ref="C22:G22" si="3">SUM(C4:C21)</f>
        <v>3000.0000000000005</v>
      </c>
      <c r="D22" s="186">
        <f t="shared" si="3"/>
        <v>3200</v>
      </c>
      <c r="E22" s="186">
        <f t="shared" si="3"/>
        <v>3800.0000000000005</v>
      </c>
      <c r="F22" s="186">
        <f t="shared" si="3"/>
        <v>2200</v>
      </c>
      <c r="G22" s="186">
        <f t="shared" si="3"/>
        <v>2700.0000000000005</v>
      </c>
      <c r="J22" s="187"/>
      <c r="R22" s="117" t="s">
        <v>28</v>
      </c>
      <c r="S22" s="180">
        <v>4</v>
      </c>
    </row>
    <row r="23" spans="1:19" x14ac:dyDescent="0.3">
      <c r="A23" s="182" t="s">
        <v>133</v>
      </c>
      <c r="B23" s="182">
        <f t="shared" ref="B23:G23" si="4">B24+B25</f>
        <v>600</v>
      </c>
      <c r="C23" s="182">
        <f t="shared" si="4"/>
        <v>3000</v>
      </c>
      <c r="D23" s="182">
        <f t="shared" si="4"/>
        <v>3200</v>
      </c>
      <c r="E23" s="182">
        <f t="shared" si="4"/>
        <v>3800</v>
      </c>
      <c r="F23" s="182">
        <f t="shared" si="4"/>
        <v>2200</v>
      </c>
      <c r="G23" s="182">
        <f t="shared" si="4"/>
        <v>2700</v>
      </c>
      <c r="I23" s="207">
        <f>SUM(H4:H21)</f>
        <v>15499.999999999998</v>
      </c>
      <c r="R23" s="117" t="s">
        <v>27</v>
      </c>
      <c r="S23" s="180">
        <v>6</v>
      </c>
    </row>
    <row r="24" spans="1:19" x14ac:dyDescent="0.3">
      <c r="A24" s="182" t="s">
        <v>46</v>
      </c>
      <c r="B24" s="182" cm="1">
        <f t="array" ref="B24">INDEX($S$7:$S$12,COLUMNS($B24:B24))</f>
        <v>1600</v>
      </c>
      <c r="C24" s="182" cm="1">
        <f t="array" ref="C24">INDEX($S$7:$S$12,COLUMNS($B24:C24))</f>
        <v>3000</v>
      </c>
      <c r="D24" s="182" cm="1">
        <f t="array" ref="D24">INDEX($S$7:$S$12,COLUMNS($B24:D24))</f>
        <v>3200</v>
      </c>
      <c r="E24" s="182" cm="1">
        <f t="array" ref="E24">INDEX($S$7:$S$12,COLUMNS($B24:E24))</f>
        <v>3800</v>
      </c>
      <c r="F24" s="182" cm="1">
        <f t="array" ref="F24">INDEX($S$7:$S$12,COLUMNS($B24:F24))</f>
        <v>2200</v>
      </c>
      <c r="G24" s="182" cm="1">
        <f t="array" ref="G24">INDEX($S$7:$S$12,COLUMNS($B24:G24))</f>
        <v>2200</v>
      </c>
      <c r="I24" s="182">
        <f>SUM(B23:G23)</f>
        <v>15500</v>
      </c>
      <c r="R24" s="117" t="s">
        <v>26</v>
      </c>
      <c r="S24" s="180">
        <v>30</v>
      </c>
    </row>
    <row r="25" spans="1:19" ht="17.25" thickBot="1" x14ac:dyDescent="0.35">
      <c r="B25" s="208">
        <f>-S5</f>
        <v>-1000</v>
      </c>
      <c r="G25" s="208">
        <f>S13</f>
        <v>500</v>
      </c>
      <c r="R25" s="118" t="s">
        <v>81</v>
      </c>
      <c r="S25" s="181">
        <f>S22*S31</f>
        <v>640</v>
      </c>
    </row>
    <row r="26" spans="1:19" x14ac:dyDescent="0.3">
      <c r="B26" s="208"/>
      <c r="G26" s="208"/>
    </row>
    <row r="27" spans="1:19" ht="17.25" thickBot="1" x14ac:dyDescent="0.35">
      <c r="A27" s="182" t="s">
        <v>0</v>
      </c>
      <c r="B27" s="189">
        <v>1</v>
      </c>
      <c r="C27" s="189">
        <v>2</v>
      </c>
      <c r="D27" s="189">
        <v>3</v>
      </c>
      <c r="E27" s="189">
        <v>4</v>
      </c>
      <c r="F27" s="189">
        <v>5</v>
      </c>
      <c r="G27" s="189">
        <v>6</v>
      </c>
      <c r="R27" s="182" t="s">
        <v>135</v>
      </c>
    </row>
    <row r="28" spans="1:19" ht="17.25" thickBot="1" x14ac:dyDescent="0.35">
      <c r="A28" s="182" t="s">
        <v>1</v>
      </c>
      <c r="B28" s="209">
        <f>$S$17</f>
        <v>10</v>
      </c>
      <c r="C28" s="210">
        <f t="shared" ref="C28:G30" si="5">B28+$S$18</f>
        <v>12</v>
      </c>
      <c r="D28" s="210">
        <f t="shared" si="5"/>
        <v>14</v>
      </c>
      <c r="E28" s="210">
        <f t="shared" si="5"/>
        <v>16</v>
      </c>
      <c r="F28" s="210">
        <f t="shared" si="5"/>
        <v>18</v>
      </c>
      <c r="G28" s="211">
        <f t="shared" si="5"/>
        <v>20</v>
      </c>
      <c r="R28" s="124" t="s">
        <v>29</v>
      </c>
      <c r="S28" s="129">
        <v>4</v>
      </c>
    </row>
    <row r="29" spans="1:19" x14ac:dyDescent="0.3">
      <c r="A29" s="182" t="s">
        <v>2</v>
      </c>
      <c r="B29" s="212">
        <f>$S$28*$S$23+$S$17</f>
        <v>34</v>
      </c>
      <c r="C29" s="213">
        <f t="shared" si="5"/>
        <v>36</v>
      </c>
      <c r="D29" s="213">
        <f t="shared" si="5"/>
        <v>38</v>
      </c>
      <c r="E29" s="213">
        <f t="shared" si="5"/>
        <v>40</v>
      </c>
      <c r="F29" s="213">
        <f t="shared" si="5"/>
        <v>42</v>
      </c>
      <c r="G29" s="214">
        <f t="shared" si="5"/>
        <v>44</v>
      </c>
      <c r="R29" s="125" t="s">
        <v>125</v>
      </c>
      <c r="S29" s="130">
        <v>8</v>
      </c>
    </row>
    <row r="30" spans="1:19" ht="17.25" thickBot="1" x14ac:dyDescent="0.35">
      <c r="A30" s="182" t="s">
        <v>3</v>
      </c>
      <c r="B30" s="215">
        <f>$S$24</f>
        <v>30</v>
      </c>
      <c r="C30" s="213">
        <f t="shared" si="5"/>
        <v>32</v>
      </c>
      <c r="D30" s="213">
        <f t="shared" si="5"/>
        <v>34</v>
      </c>
      <c r="E30" s="213">
        <f t="shared" si="5"/>
        <v>36</v>
      </c>
      <c r="F30" s="213">
        <f t="shared" si="5"/>
        <v>38</v>
      </c>
      <c r="G30" s="214">
        <f t="shared" si="5"/>
        <v>40</v>
      </c>
      <c r="R30" s="126" t="s">
        <v>126</v>
      </c>
      <c r="S30" s="131">
        <v>20</v>
      </c>
    </row>
    <row r="31" spans="1:19" x14ac:dyDescent="0.3">
      <c r="A31" s="182" t="s">
        <v>4</v>
      </c>
      <c r="B31" s="216">
        <f t="shared" ref="B31:B45" si="6">C31+$S$19</f>
        <v>15</v>
      </c>
      <c r="C31" s="209">
        <f>$S$17</f>
        <v>10</v>
      </c>
      <c r="D31" s="213">
        <f t="shared" ref="D31:G33" si="7">C31+$S$18</f>
        <v>12</v>
      </c>
      <c r="E31" s="213">
        <f t="shared" si="7"/>
        <v>14</v>
      </c>
      <c r="F31" s="213">
        <f t="shared" si="7"/>
        <v>16</v>
      </c>
      <c r="G31" s="214">
        <f t="shared" si="7"/>
        <v>18</v>
      </c>
      <c r="R31" s="126" t="s">
        <v>127</v>
      </c>
      <c r="S31" s="131">
        <f>S29*S30</f>
        <v>160</v>
      </c>
    </row>
    <row r="32" spans="1:19" x14ac:dyDescent="0.3">
      <c r="A32" s="182" t="s">
        <v>5</v>
      </c>
      <c r="B32" s="216">
        <f t="shared" si="6"/>
        <v>39</v>
      </c>
      <c r="C32" s="212">
        <f>$S$28*$S$23+$S$17</f>
        <v>34</v>
      </c>
      <c r="D32" s="213">
        <f t="shared" si="7"/>
        <v>36</v>
      </c>
      <c r="E32" s="213">
        <f t="shared" si="7"/>
        <v>38</v>
      </c>
      <c r="F32" s="213">
        <f t="shared" si="7"/>
        <v>40</v>
      </c>
      <c r="G32" s="214">
        <f t="shared" si="7"/>
        <v>42</v>
      </c>
      <c r="R32" s="127" t="s">
        <v>128</v>
      </c>
      <c r="S32" s="132">
        <f>S31/S28</f>
        <v>40</v>
      </c>
    </row>
    <row r="33" spans="1:19" ht="17.25" thickBot="1" x14ac:dyDescent="0.35">
      <c r="A33" s="182" t="s">
        <v>6</v>
      </c>
      <c r="B33" s="216">
        <f t="shared" si="6"/>
        <v>35</v>
      </c>
      <c r="C33" s="215">
        <f>$S$24</f>
        <v>30</v>
      </c>
      <c r="D33" s="213">
        <f t="shared" si="7"/>
        <v>32</v>
      </c>
      <c r="E33" s="213">
        <f t="shared" si="7"/>
        <v>34</v>
      </c>
      <c r="F33" s="213">
        <f t="shared" si="7"/>
        <v>36</v>
      </c>
      <c r="G33" s="214">
        <f t="shared" si="7"/>
        <v>38</v>
      </c>
      <c r="R33" s="126" t="s">
        <v>129</v>
      </c>
      <c r="S33" s="131">
        <v>10</v>
      </c>
    </row>
    <row r="34" spans="1:19" ht="17.25" thickBot="1" x14ac:dyDescent="0.35">
      <c r="A34" s="182" t="s">
        <v>7</v>
      </c>
      <c r="B34" s="216">
        <f t="shared" si="6"/>
        <v>20</v>
      </c>
      <c r="C34" s="213">
        <f t="shared" ref="C34:C45" si="8">D34+$S$19</f>
        <v>15</v>
      </c>
      <c r="D34" s="209">
        <f>$S$17</f>
        <v>10</v>
      </c>
      <c r="E34" s="213">
        <f t="shared" ref="E34:G36" si="9">D34+$S$18</f>
        <v>12</v>
      </c>
      <c r="F34" s="213">
        <f t="shared" si="9"/>
        <v>14</v>
      </c>
      <c r="G34" s="214">
        <f t="shared" si="9"/>
        <v>16</v>
      </c>
      <c r="R34" s="128" t="s">
        <v>130</v>
      </c>
      <c r="S34" s="118">
        <f>S33/S28</f>
        <v>2.5</v>
      </c>
    </row>
    <row r="35" spans="1:19" x14ac:dyDescent="0.3">
      <c r="A35" s="182" t="s">
        <v>8</v>
      </c>
      <c r="B35" s="216">
        <f t="shared" si="6"/>
        <v>44</v>
      </c>
      <c r="C35" s="213">
        <f t="shared" si="8"/>
        <v>39</v>
      </c>
      <c r="D35" s="212">
        <f>$S$28*$S$23+$S$17</f>
        <v>34</v>
      </c>
      <c r="E35" s="213">
        <f t="shared" si="9"/>
        <v>36</v>
      </c>
      <c r="F35" s="213">
        <f t="shared" si="9"/>
        <v>38</v>
      </c>
      <c r="G35" s="214">
        <f t="shared" si="9"/>
        <v>40</v>
      </c>
    </row>
    <row r="36" spans="1:19" ht="17.25" thickBot="1" x14ac:dyDescent="0.35">
      <c r="A36" s="182" t="s">
        <v>9</v>
      </c>
      <c r="B36" s="216">
        <f t="shared" si="6"/>
        <v>40</v>
      </c>
      <c r="C36" s="213">
        <f t="shared" si="8"/>
        <v>35</v>
      </c>
      <c r="D36" s="215">
        <f>$S$24</f>
        <v>30</v>
      </c>
      <c r="E36" s="213">
        <f t="shared" si="9"/>
        <v>32</v>
      </c>
      <c r="F36" s="213">
        <f t="shared" si="9"/>
        <v>34</v>
      </c>
      <c r="G36" s="214">
        <f t="shared" si="9"/>
        <v>36</v>
      </c>
    </row>
    <row r="37" spans="1:19" x14ac:dyDescent="0.3">
      <c r="A37" s="182" t="s">
        <v>10</v>
      </c>
      <c r="B37" s="216">
        <f t="shared" si="6"/>
        <v>25</v>
      </c>
      <c r="C37" s="213">
        <f t="shared" si="8"/>
        <v>20</v>
      </c>
      <c r="D37" s="213">
        <f t="shared" ref="D37:D45" si="10">E37+$S$19</f>
        <v>15</v>
      </c>
      <c r="E37" s="209">
        <f>$S$17</f>
        <v>10</v>
      </c>
      <c r="F37" s="213">
        <f t="shared" ref="F37:G39" si="11">E37+$S$18</f>
        <v>12</v>
      </c>
      <c r="G37" s="214">
        <f t="shared" si="11"/>
        <v>14</v>
      </c>
    </row>
    <row r="38" spans="1:19" x14ac:dyDescent="0.3">
      <c r="A38" s="182" t="s">
        <v>11</v>
      </c>
      <c r="B38" s="216">
        <f t="shared" si="6"/>
        <v>49</v>
      </c>
      <c r="C38" s="213">
        <f t="shared" si="8"/>
        <v>44</v>
      </c>
      <c r="D38" s="213">
        <f t="shared" si="10"/>
        <v>39</v>
      </c>
      <c r="E38" s="212">
        <f>$S$28*$S$23+$S$17</f>
        <v>34</v>
      </c>
      <c r="F38" s="213">
        <f t="shared" si="11"/>
        <v>36</v>
      </c>
      <c r="G38" s="214">
        <f t="shared" si="11"/>
        <v>38</v>
      </c>
    </row>
    <row r="39" spans="1:19" ht="17.25" thickBot="1" x14ac:dyDescent="0.35">
      <c r="A39" s="182" t="s">
        <v>12</v>
      </c>
      <c r="B39" s="216">
        <f t="shared" si="6"/>
        <v>45</v>
      </c>
      <c r="C39" s="213">
        <f t="shared" si="8"/>
        <v>40</v>
      </c>
      <c r="D39" s="213">
        <f t="shared" si="10"/>
        <v>35</v>
      </c>
      <c r="E39" s="215">
        <f>$S$24</f>
        <v>30</v>
      </c>
      <c r="F39" s="213">
        <f t="shared" si="11"/>
        <v>32</v>
      </c>
      <c r="G39" s="214">
        <f t="shared" si="11"/>
        <v>34</v>
      </c>
    </row>
    <row r="40" spans="1:19" x14ac:dyDescent="0.3">
      <c r="A40" s="182" t="s">
        <v>13</v>
      </c>
      <c r="B40" s="216">
        <f t="shared" si="6"/>
        <v>30</v>
      </c>
      <c r="C40" s="213">
        <f t="shared" si="8"/>
        <v>25</v>
      </c>
      <c r="D40" s="213">
        <f t="shared" si="10"/>
        <v>20</v>
      </c>
      <c r="E40" s="213">
        <f t="shared" ref="E40:E45" si="12">F40+$S$19</f>
        <v>15</v>
      </c>
      <c r="F40" s="209">
        <f>$S$17</f>
        <v>10</v>
      </c>
      <c r="G40" s="214">
        <f>F40+$S$18</f>
        <v>12</v>
      </c>
    </row>
    <row r="41" spans="1:19" x14ac:dyDescent="0.3">
      <c r="A41" s="182" t="s">
        <v>14</v>
      </c>
      <c r="B41" s="216">
        <f t="shared" si="6"/>
        <v>54</v>
      </c>
      <c r="C41" s="213">
        <f t="shared" si="8"/>
        <v>49</v>
      </c>
      <c r="D41" s="213">
        <f t="shared" si="10"/>
        <v>44</v>
      </c>
      <c r="E41" s="213">
        <f t="shared" si="12"/>
        <v>39</v>
      </c>
      <c r="F41" s="212">
        <f>$S$28*$S$23+$S$17</f>
        <v>34</v>
      </c>
      <c r="G41" s="214">
        <f>F41+$S$18</f>
        <v>36</v>
      </c>
    </row>
    <row r="42" spans="1:19" ht="17.25" thickBot="1" x14ac:dyDescent="0.35">
      <c r="A42" s="182" t="s">
        <v>15</v>
      </c>
      <c r="B42" s="216">
        <f t="shared" si="6"/>
        <v>50</v>
      </c>
      <c r="C42" s="213">
        <f t="shared" si="8"/>
        <v>45</v>
      </c>
      <c r="D42" s="213">
        <f t="shared" si="10"/>
        <v>40</v>
      </c>
      <c r="E42" s="213">
        <f t="shared" si="12"/>
        <v>35</v>
      </c>
      <c r="F42" s="215">
        <f>$S$24</f>
        <v>30</v>
      </c>
      <c r="G42" s="214">
        <f>F42+$S$18</f>
        <v>32</v>
      </c>
      <c r="L42" s="217"/>
    </row>
    <row r="43" spans="1:19" x14ac:dyDescent="0.3">
      <c r="A43" s="182" t="s">
        <v>16</v>
      </c>
      <c r="B43" s="216">
        <f t="shared" si="6"/>
        <v>35</v>
      </c>
      <c r="C43" s="213">
        <f t="shared" si="8"/>
        <v>30</v>
      </c>
      <c r="D43" s="213">
        <f t="shared" si="10"/>
        <v>25</v>
      </c>
      <c r="E43" s="213">
        <f t="shared" si="12"/>
        <v>20</v>
      </c>
      <c r="F43" s="213">
        <f>G43+$S$19</f>
        <v>15</v>
      </c>
      <c r="G43" s="209">
        <f>$S$17</f>
        <v>10</v>
      </c>
      <c r="L43" s="217"/>
    </row>
    <row r="44" spans="1:19" x14ac:dyDescent="0.3">
      <c r="A44" s="182" t="s">
        <v>17</v>
      </c>
      <c r="B44" s="216">
        <f t="shared" si="6"/>
        <v>59</v>
      </c>
      <c r="C44" s="213">
        <f t="shared" si="8"/>
        <v>54</v>
      </c>
      <c r="D44" s="213">
        <f t="shared" si="10"/>
        <v>49</v>
      </c>
      <c r="E44" s="213">
        <f t="shared" si="12"/>
        <v>44</v>
      </c>
      <c r="F44" s="213">
        <f>G44+$S$19</f>
        <v>39</v>
      </c>
      <c r="G44" s="212">
        <f>$S$28*$S$23+$S$17</f>
        <v>34</v>
      </c>
      <c r="L44" s="217"/>
    </row>
    <row r="45" spans="1:19" ht="17.25" thickBot="1" x14ac:dyDescent="0.35">
      <c r="A45" s="182" t="s">
        <v>18</v>
      </c>
      <c r="B45" s="218">
        <f t="shared" si="6"/>
        <v>55</v>
      </c>
      <c r="C45" s="219">
        <f t="shared" si="8"/>
        <v>50</v>
      </c>
      <c r="D45" s="219">
        <f t="shared" si="10"/>
        <v>45</v>
      </c>
      <c r="E45" s="219">
        <f t="shared" si="12"/>
        <v>40</v>
      </c>
      <c r="F45" s="219">
        <f>G45+$S$19</f>
        <v>35</v>
      </c>
      <c r="G45" s="215">
        <f>$S$24</f>
        <v>30</v>
      </c>
    </row>
  </sheetData>
  <conditionalFormatting sqref="B4:G21">
    <cfRule type="cellIs" dxfId="5" priority="2" operator="greaterThan">
      <formula>0</formula>
    </cfRule>
  </conditionalFormatting>
  <conditionalFormatting sqref="H4:H21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6C0D-1B74-4367-B5C1-63E6955FDF13}">
  <sheetPr codeName="Sheet6">
    <tabColor rgb="FFFFFF00"/>
  </sheetPr>
  <dimension ref="A1:S45"/>
  <sheetViews>
    <sheetView workbookViewId="0">
      <selection activeCell="O6" sqref="O6:O11"/>
    </sheetView>
  </sheetViews>
  <sheetFormatPr defaultColWidth="9.140625" defaultRowHeight="16.5" x14ac:dyDescent="0.3"/>
  <cols>
    <col min="1" max="1" width="16.5703125" style="182" bestFit="1" customWidth="1"/>
    <col min="2" max="7" width="8.28515625" style="182" customWidth="1"/>
    <col min="8" max="8" width="7.85546875" style="182" customWidth="1"/>
    <col min="9" max="9" width="10.140625" style="182" customWidth="1"/>
    <col min="10" max="17" width="9.140625" style="182"/>
    <col min="18" max="18" width="40.7109375" style="182" bestFit="1" customWidth="1"/>
    <col min="19" max="19" width="9.85546875" style="182" bestFit="1" customWidth="1"/>
    <col min="20" max="16384" width="9.140625" style="182"/>
  </cols>
  <sheetData>
    <row r="1" spans="1:19" x14ac:dyDescent="0.3">
      <c r="A1" s="182" t="s">
        <v>92</v>
      </c>
    </row>
    <row r="3" spans="1:19" ht="17.25" thickBot="1" x14ac:dyDescent="0.35">
      <c r="A3" s="182" t="s">
        <v>0</v>
      </c>
      <c r="B3" s="182">
        <v>1</v>
      </c>
      <c r="C3" s="182">
        <v>2</v>
      </c>
      <c r="D3" s="182">
        <v>3</v>
      </c>
      <c r="E3" s="182">
        <v>4</v>
      </c>
      <c r="F3" s="182">
        <v>5</v>
      </c>
      <c r="G3" s="182">
        <v>6</v>
      </c>
      <c r="H3" s="183" t="s">
        <v>91</v>
      </c>
      <c r="I3" s="183" t="s">
        <v>75</v>
      </c>
      <c r="J3" s="183"/>
      <c r="R3" s="96"/>
      <c r="S3" s="82"/>
    </row>
    <row r="4" spans="1:19" ht="17.25" thickBot="1" x14ac:dyDescent="0.35">
      <c r="A4" s="182" t="s">
        <v>1</v>
      </c>
      <c r="B4" s="184">
        <v>0</v>
      </c>
      <c r="C4" s="184">
        <v>2560</v>
      </c>
      <c r="D4" s="184">
        <v>0</v>
      </c>
      <c r="E4" s="184">
        <v>0</v>
      </c>
      <c r="F4" s="184">
        <v>0</v>
      </c>
      <c r="G4" s="185">
        <v>0</v>
      </c>
      <c r="H4" s="186">
        <f>SUM(B4:G4)</f>
        <v>2560</v>
      </c>
      <c r="I4" s="186">
        <f>40*VLOOKUP(VALUE(LEFT(A4,1)),$K$6:$L$11,2,0)</f>
        <v>2560</v>
      </c>
      <c r="J4" s="187"/>
      <c r="L4" s="188" t="s">
        <v>21</v>
      </c>
      <c r="M4" s="188" t="s">
        <v>22</v>
      </c>
      <c r="N4" s="188" t="s">
        <v>23</v>
      </c>
      <c r="R4" s="84" t="s">
        <v>42</v>
      </c>
      <c r="S4" s="83"/>
    </row>
    <row r="5" spans="1:19" ht="17.25" thickBot="1" x14ac:dyDescent="0.35">
      <c r="A5" s="182" t="s">
        <v>2</v>
      </c>
      <c r="B5" s="184">
        <v>0</v>
      </c>
      <c r="C5" s="184">
        <v>0</v>
      </c>
      <c r="D5" s="184">
        <v>0</v>
      </c>
      <c r="E5" s="184">
        <v>0</v>
      </c>
      <c r="F5" s="184">
        <v>0</v>
      </c>
      <c r="G5" s="185">
        <v>0</v>
      </c>
      <c r="H5" s="186">
        <f t="shared" ref="H5:H21" si="0">SUM(B5:G5)</f>
        <v>0</v>
      </c>
      <c r="I5" s="186">
        <f>2.5*VLOOKUP(VALUE(LEFT(A5,1)),$K$6:$L$11,2,0)</f>
        <v>160</v>
      </c>
      <c r="J5" s="187"/>
      <c r="L5" s="189">
        <v>80</v>
      </c>
      <c r="M5" s="189">
        <v>0</v>
      </c>
      <c r="N5" s="189">
        <v>0</v>
      </c>
      <c r="R5" s="83" t="s">
        <v>84</v>
      </c>
      <c r="S5" s="83">
        <v>1000</v>
      </c>
    </row>
    <row r="6" spans="1:19" ht="17.25" thickBot="1" x14ac:dyDescent="0.35">
      <c r="A6" s="182" t="s">
        <v>3</v>
      </c>
      <c r="B6" s="184">
        <v>0</v>
      </c>
      <c r="C6" s="184">
        <v>0</v>
      </c>
      <c r="D6" s="184">
        <v>0</v>
      </c>
      <c r="E6" s="184">
        <v>0</v>
      </c>
      <c r="F6" s="184">
        <v>0</v>
      </c>
      <c r="G6" s="185">
        <v>0</v>
      </c>
      <c r="H6" s="186">
        <f t="shared" si="0"/>
        <v>0</v>
      </c>
      <c r="I6" s="186">
        <v>2000</v>
      </c>
      <c r="J6" s="187"/>
      <c r="K6" s="182">
        <v>1</v>
      </c>
      <c r="L6" s="190">
        <v>64</v>
      </c>
      <c r="M6" s="191">
        <v>0</v>
      </c>
      <c r="N6" s="192">
        <v>16</v>
      </c>
      <c r="O6" s="182">
        <f>L5+M6-N6-L6</f>
        <v>0</v>
      </c>
      <c r="R6" s="108" t="s">
        <v>43</v>
      </c>
      <c r="S6" s="109" t="s">
        <v>46</v>
      </c>
    </row>
    <row r="7" spans="1:19" ht="17.25" thickBot="1" x14ac:dyDescent="0.35">
      <c r="A7" s="182" t="s">
        <v>4</v>
      </c>
      <c r="B7" s="184">
        <v>0</v>
      </c>
      <c r="C7" s="184">
        <v>440.00000000000028</v>
      </c>
      <c r="D7" s="184">
        <v>1240.0000000000002</v>
      </c>
      <c r="E7" s="184">
        <v>879.99999999999909</v>
      </c>
      <c r="F7" s="184">
        <v>0</v>
      </c>
      <c r="G7" s="185">
        <v>0</v>
      </c>
      <c r="H7" s="186">
        <f t="shared" si="0"/>
        <v>2559.9999999999995</v>
      </c>
      <c r="I7" s="186">
        <f>40*VLOOKUP(VALUE(LEFT(A7,1)),$K$6:$L$11,2,0)</f>
        <v>2560</v>
      </c>
      <c r="J7" s="187"/>
      <c r="K7" s="182">
        <v>2</v>
      </c>
      <c r="L7" s="193">
        <v>64</v>
      </c>
      <c r="M7" s="194">
        <v>0</v>
      </c>
      <c r="N7" s="195">
        <v>0</v>
      </c>
      <c r="O7" s="182">
        <f t="shared" ref="O7:O11" si="1">L6+M7-N7-L7</f>
        <v>0</v>
      </c>
      <c r="R7" s="110" t="s">
        <v>41</v>
      </c>
      <c r="S7" s="165">
        <v>1000</v>
      </c>
    </row>
    <row r="8" spans="1:19" ht="17.25" thickBot="1" x14ac:dyDescent="0.35">
      <c r="A8" s="182" t="s">
        <v>5</v>
      </c>
      <c r="B8" s="184">
        <v>0</v>
      </c>
      <c r="C8" s="184">
        <v>0</v>
      </c>
      <c r="D8" s="184">
        <v>0</v>
      </c>
      <c r="E8" s="184">
        <v>0</v>
      </c>
      <c r="F8" s="184">
        <v>0</v>
      </c>
      <c r="G8" s="185">
        <v>0</v>
      </c>
      <c r="H8" s="186">
        <f t="shared" si="0"/>
        <v>0</v>
      </c>
      <c r="I8" s="186">
        <f>2.5*VLOOKUP(VALUE(LEFT(A8,1)),$K$6:$L$11,2,0)</f>
        <v>160</v>
      </c>
      <c r="J8" s="187"/>
      <c r="K8" s="182">
        <v>3</v>
      </c>
      <c r="L8" s="193">
        <v>64</v>
      </c>
      <c r="M8" s="194">
        <v>0</v>
      </c>
      <c r="N8" s="195">
        <v>0</v>
      </c>
      <c r="O8" s="182">
        <f t="shared" si="1"/>
        <v>0</v>
      </c>
      <c r="R8" s="110" t="s">
        <v>40</v>
      </c>
      <c r="S8" s="165">
        <v>3000</v>
      </c>
    </row>
    <row r="9" spans="1:19" ht="17.25" thickBot="1" x14ac:dyDescent="0.35">
      <c r="A9" s="182" t="s">
        <v>6</v>
      </c>
      <c r="B9" s="184">
        <v>0</v>
      </c>
      <c r="C9" s="184">
        <v>0</v>
      </c>
      <c r="D9" s="184">
        <v>0</v>
      </c>
      <c r="E9" s="184">
        <v>0</v>
      </c>
      <c r="F9" s="184">
        <v>0</v>
      </c>
      <c r="G9" s="185">
        <v>0</v>
      </c>
      <c r="H9" s="186">
        <f t="shared" si="0"/>
        <v>0</v>
      </c>
      <c r="I9" s="186">
        <v>2000</v>
      </c>
      <c r="J9" s="187"/>
      <c r="K9" s="182">
        <v>4</v>
      </c>
      <c r="L9" s="193">
        <v>64</v>
      </c>
      <c r="M9" s="194">
        <v>0</v>
      </c>
      <c r="N9" s="195">
        <v>0</v>
      </c>
      <c r="O9" s="182">
        <f t="shared" si="1"/>
        <v>0</v>
      </c>
      <c r="R9" s="110" t="s">
        <v>39</v>
      </c>
      <c r="S9" s="165">
        <v>3800</v>
      </c>
    </row>
    <row r="10" spans="1:19" ht="17.25" thickBot="1" x14ac:dyDescent="0.35">
      <c r="A10" s="182" t="s">
        <v>7</v>
      </c>
      <c r="B10" s="184">
        <v>0</v>
      </c>
      <c r="C10" s="184">
        <v>0</v>
      </c>
      <c r="D10" s="184">
        <v>2559.9999999999995</v>
      </c>
      <c r="E10" s="184">
        <v>0</v>
      </c>
      <c r="F10" s="184">
        <v>0</v>
      </c>
      <c r="G10" s="185">
        <v>0</v>
      </c>
      <c r="H10" s="186">
        <f t="shared" si="0"/>
        <v>2559.9999999999995</v>
      </c>
      <c r="I10" s="186">
        <f>40*VLOOKUP(VALUE(LEFT(A10,1)),$K$6:$L$11,2,0)</f>
        <v>2560</v>
      </c>
      <c r="J10" s="187"/>
      <c r="K10" s="182">
        <v>5</v>
      </c>
      <c r="L10" s="193">
        <v>64</v>
      </c>
      <c r="M10" s="194">
        <v>0</v>
      </c>
      <c r="N10" s="195">
        <v>0</v>
      </c>
      <c r="O10" s="182">
        <f t="shared" si="1"/>
        <v>0</v>
      </c>
      <c r="P10" s="183"/>
      <c r="R10" s="110" t="s">
        <v>38</v>
      </c>
      <c r="S10" s="165">
        <v>4800</v>
      </c>
    </row>
    <row r="11" spans="1:19" ht="17.25" thickBot="1" x14ac:dyDescent="0.35">
      <c r="A11" s="182" t="s">
        <v>8</v>
      </c>
      <c r="B11" s="184">
        <v>0</v>
      </c>
      <c r="C11" s="184">
        <v>0</v>
      </c>
      <c r="D11" s="184">
        <v>0</v>
      </c>
      <c r="E11" s="184">
        <v>0</v>
      </c>
      <c r="F11" s="184">
        <v>0</v>
      </c>
      <c r="G11" s="185">
        <v>0</v>
      </c>
      <c r="H11" s="186">
        <f t="shared" si="0"/>
        <v>0</v>
      </c>
      <c r="I11" s="186">
        <f>2.5*VLOOKUP(VALUE(LEFT(A11,1)),$K$6:$L$11,2,0)</f>
        <v>160</v>
      </c>
      <c r="J11" s="187"/>
      <c r="K11" s="182">
        <v>6</v>
      </c>
      <c r="L11" s="196">
        <v>64</v>
      </c>
      <c r="M11" s="197">
        <v>0</v>
      </c>
      <c r="N11" s="198">
        <v>0</v>
      </c>
      <c r="O11" s="182">
        <f t="shared" si="1"/>
        <v>0</v>
      </c>
      <c r="R11" s="110" t="s">
        <v>37</v>
      </c>
      <c r="S11" s="165">
        <v>2000</v>
      </c>
    </row>
    <row r="12" spans="1:19" ht="17.25" thickBot="1" x14ac:dyDescent="0.35">
      <c r="A12" s="182" t="s">
        <v>9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5">
        <v>0</v>
      </c>
      <c r="H12" s="186">
        <f t="shared" si="0"/>
        <v>0</v>
      </c>
      <c r="I12" s="186">
        <v>2000</v>
      </c>
      <c r="J12" s="187"/>
      <c r="L12" s="199">
        <f>SUM(L6:L11)</f>
        <v>384</v>
      </c>
      <c r="M12" s="200">
        <f>SUM(M6:M11)</f>
        <v>0</v>
      </c>
      <c r="N12" s="201">
        <f t="shared" ref="N12" si="2">SUM(N6:N11)</f>
        <v>16</v>
      </c>
      <c r="R12" s="112" t="s">
        <v>36</v>
      </c>
      <c r="S12" s="165">
        <v>1400</v>
      </c>
    </row>
    <row r="13" spans="1:19" ht="17.25" thickBot="1" x14ac:dyDescent="0.35">
      <c r="A13" s="182" t="s">
        <v>10</v>
      </c>
      <c r="B13" s="184">
        <v>0</v>
      </c>
      <c r="C13" s="184">
        <v>0</v>
      </c>
      <c r="D13" s="184">
        <v>0</v>
      </c>
      <c r="E13" s="184">
        <v>2559.9999999999991</v>
      </c>
      <c r="F13" s="184">
        <v>0</v>
      </c>
      <c r="G13" s="185">
        <v>0</v>
      </c>
      <c r="H13" s="186">
        <f t="shared" si="0"/>
        <v>2559.9999999999991</v>
      </c>
      <c r="I13" s="186">
        <f>40*VLOOKUP(VALUE(LEFT(A13,1)),$K$6:$L$11,2,0)</f>
        <v>2560</v>
      </c>
      <c r="J13" s="187"/>
      <c r="L13" s="202">
        <f>S25</f>
        <v>640</v>
      </c>
      <c r="M13" s="203">
        <f>S20</f>
        <v>300</v>
      </c>
      <c r="N13" s="204">
        <f>S21</f>
        <v>500</v>
      </c>
      <c r="R13" s="84" t="s">
        <v>82</v>
      </c>
      <c r="S13" s="84">
        <v>500</v>
      </c>
    </row>
    <row r="14" spans="1:19" ht="17.25" thickBot="1" x14ac:dyDescent="0.35">
      <c r="A14" s="182" t="s">
        <v>11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5">
        <v>0</v>
      </c>
      <c r="H14" s="186">
        <f t="shared" si="0"/>
        <v>0</v>
      </c>
      <c r="I14" s="186">
        <f>2.5*VLOOKUP(VALUE(LEFT(A14,1)),$K$6:$L$11,2,0)</f>
        <v>160</v>
      </c>
      <c r="J14" s="187"/>
      <c r="N14" s="182">
        <f>SUMPRODUCT(L12:N12,L13:N13)</f>
        <v>253760</v>
      </c>
      <c r="R14" s="82"/>
      <c r="S14" s="82"/>
    </row>
    <row r="15" spans="1:19" ht="17.25" thickBot="1" x14ac:dyDescent="0.35">
      <c r="A15" s="182" t="s">
        <v>12</v>
      </c>
      <c r="B15" s="184">
        <v>0</v>
      </c>
      <c r="C15" s="184">
        <v>0</v>
      </c>
      <c r="D15" s="184">
        <v>0</v>
      </c>
      <c r="E15" s="184">
        <v>140.0000000000023</v>
      </c>
      <c r="F15" s="184">
        <v>0</v>
      </c>
      <c r="G15" s="185">
        <v>0</v>
      </c>
      <c r="H15" s="186">
        <f t="shared" si="0"/>
        <v>140.0000000000023</v>
      </c>
      <c r="I15" s="186">
        <v>2000</v>
      </c>
      <c r="J15" s="187"/>
      <c r="N15" s="182">
        <f>$S$18*G25</f>
        <v>1000</v>
      </c>
      <c r="R15" s="84" t="s">
        <v>24</v>
      </c>
      <c r="S15" s="82"/>
    </row>
    <row r="16" spans="1:19" ht="17.25" thickBot="1" x14ac:dyDescent="0.35">
      <c r="A16" s="182" t="s">
        <v>13</v>
      </c>
      <c r="B16" s="184">
        <v>0</v>
      </c>
      <c r="C16" s="184">
        <v>0</v>
      </c>
      <c r="D16" s="184">
        <v>0</v>
      </c>
      <c r="E16" s="184">
        <v>559.99999999999955</v>
      </c>
      <c r="F16" s="184">
        <v>2000</v>
      </c>
      <c r="G16" s="185">
        <v>0</v>
      </c>
      <c r="H16" s="186">
        <f t="shared" si="0"/>
        <v>2559.9999999999995</v>
      </c>
      <c r="I16" s="186">
        <f>40*VLOOKUP(VALUE(LEFT(A16,1)),$K$6:$L$11,2,0)</f>
        <v>2560</v>
      </c>
      <c r="J16" s="187"/>
      <c r="N16" s="182">
        <f>SUMPRODUCT(B4:G21,B28:G45)</f>
        <v>178320.00000000003</v>
      </c>
      <c r="R16" s="114" t="s">
        <v>35</v>
      </c>
      <c r="S16" s="115" t="s">
        <v>20</v>
      </c>
    </row>
    <row r="17" spans="1:19" ht="17.25" thickBot="1" x14ac:dyDescent="0.35">
      <c r="A17" s="182" t="s">
        <v>14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5">
        <v>0</v>
      </c>
      <c r="H17" s="186">
        <f t="shared" si="0"/>
        <v>0</v>
      </c>
      <c r="I17" s="186">
        <f>2.5*VLOOKUP(VALUE(LEFT(A17,1)),$K$6:$L$11,2,0)</f>
        <v>160</v>
      </c>
      <c r="J17" s="187"/>
      <c r="N17" s="182">
        <f>SUM(N14:N16)</f>
        <v>433080</v>
      </c>
      <c r="R17" s="116" t="s">
        <v>34</v>
      </c>
      <c r="S17" s="179">
        <v>10</v>
      </c>
    </row>
    <row r="18" spans="1:19" ht="17.25" thickBot="1" x14ac:dyDescent="0.35">
      <c r="A18" s="182" t="s">
        <v>15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5">
        <v>0</v>
      </c>
      <c r="H18" s="186">
        <f t="shared" si="0"/>
        <v>0</v>
      </c>
      <c r="I18" s="186">
        <v>2000</v>
      </c>
      <c r="J18" s="187"/>
      <c r="R18" s="117" t="s">
        <v>33</v>
      </c>
      <c r="S18" s="180">
        <v>2</v>
      </c>
    </row>
    <row r="19" spans="1:19" ht="17.25" thickBot="1" x14ac:dyDescent="0.35">
      <c r="A19" s="182" t="s">
        <v>16</v>
      </c>
      <c r="B19" s="184">
        <v>0</v>
      </c>
      <c r="C19" s="184">
        <v>0</v>
      </c>
      <c r="D19" s="184">
        <v>0</v>
      </c>
      <c r="E19" s="184">
        <v>659.99999999999955</v>
      </c>
      <c r="F19" s="184">
        <v>0</v>
      </c>
      <c r="G19" s="185">
        <v>1900</v>
      </c>
      <c r="H19" s="186">
        <f t="shared" si="0"/>
        <v>2559.9999999999995</v>
      </c>
      <c r="I19" s="186">
        <f>40*VLOOKUP(VALUE(LEFT(A19,1)),$K$6:$L$11,2,0)</f>
        <v>2560</v>
      </c>
      <c r="J19" s="187"/>
      <c r="R19" s="117" t="s">
        <v>32</v>
      </c>
      <c r="S19" s="180">
        <v>5</v>
      </c>
    </row>
    <row r="20" spans="1:19" ht="17.25" thickBot="1" x14ac:dyDescent="0.35">
      <c r="A20" s="182" t="s">
        <v>17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5">
        <v>0</v>
      </c>
      <c r="H20" s="186">
        <f t="shared" si="0"/>
        <v>0</v>
      </c>
      <c r="I20" s="186">
        <f>2.5*VLOOKUP(VALUE(LEFT(A20,1)),$K$6:$L$11,2,0)</f>
        <v>160</v>
      </c>
      <c r="J20" s="187"/>
      <c r="R20" s="117" t="s">
        <v>31</v>
      </c>
      <c r="S20" s="180">
        <v>300</v>
      </c>
    </row>
    <row r="21" spans="1:19" ht="17.25" thickBot="1" x14ac:dyDescent="0.35">
      <c r="A21" s="182" t="s">
        <v>18</v>
      </c>
      <c r="B21" s="205">
        <v>0</v>
      </c>
      <c r="C21" s="205">
        <v>0</v>
      </c>
      <c r="D21" s="205">
        <v>0</v>
      </c>
      <c r="E21" s="205">
        <v>0</v>
      </c>
      <c r="F21" s="205">
        <v>0</v>
      </c>
      <c r="G21" s="206">
        <v>0</v>
      </c>
      <c r="H21" s="186">
        <f t="shared" si="0"/>
        <v>0</v>
      </c>
      <c r="I21" s="186">
        <v>2000</v>
      </c>
      <c r="J21" s="187"/>
      <c r="R21" s="117" t="s">
        <v>30</v>
      </c>
      <c r="S21" s="180">
        <v>500</v>
      </c>
    </row>
    <row r="22" spans="1:19" x14ac:dyDescent="0.3">
      <c r="A22" s="182" t="s">
        <v>134</v>
      </c>
      <c r="B22" s="186">
        <f>SUM(B4:B21)</f>
        <v>0</v>
      </c>
      <c r="C22" s="186">
        <f t="shared" ref="C22:G22" si="3">SUM(C4:C21)</f>
        <v>3000.0000000000005</v>
      </c>
      <c r="D22" s="186">
        <f t="shared" si="3"/>
        <v>3800</v>
      </c>
      <c r="E22" s="186">
        <f t="shared" si="3"/>
        <v>4800</v>
      </c>
      <c r="F22" s="186">
        <f t="shared" si="3"/>
        <v>2000</v>
      </c>
      <c r="G22" s="186">
        <f t="shared" si="3"/>
        <v>1900</v>
      </c>
      <c r="J22" s="187"/>
      <c r="R22" s="117" t="s">
        <v>28</v>
      </c>
      <c r="S22" s="180">
        <v>4</v>
      </c>
    </row>
    <row r="23" spans="1:19" x14ac:dyDescent="0.3">
      <c r="A23" s="182" t="s">
        <v>133</v>
      </c>
      <c r="B23" s="182">
        <f t="shared" ref="B23:G23" si="4">B24+B25</f>
        <v>0</v>
      </c>
      <c r="C23" s="182">
        <f t="shared" si="4"/>
        <v>3000</v>
      </c>
      <c r="D23" s="182">
        <f t="shared" si="4"/>
        <v>3800</v>
      </c>
      <c r="E23" s="182">
        <f t="shared" si="4"/>
        <v>4800</v>
      </c>
      <c r="F23" s="182">
        <f t="shared" si="4"/>
        <v>2000</v>
      </c>
      <c r="G23" s="182">
        <f t="shared" si="4"/>
        <v>1900</v>
      </c>
      <c r="I23" s="207">
        <f>SUM(H4:H21)</f>
        <v>15500.000000000002</v>
      </c>
      <c r="R23" s="117" t="s">
        <v>27</v>
      </c>
      <c r="S23" s="180">
        <v>6</v>
      </c>
    </row>
    <row r="24" spans="1:19" x14ac:dyDescent="0.3">
      <c r="A24" s="182" t="s">
        <v>46</v>
      </c>
      <c r="B24" s="182" cm="1">
        <f t="array" ref="B24">INDEX($S$7:$S$12,COLUMNS($B24:B24))</f>
        <v>1000</v>
      </c>
      <c r="C24" s="182" cm="1">
        <f t="array" ref="C24">INDEX($S$7:$S$12,COLUMNS($B24:C24))</f>
        <v>3000</v>
      </c>
      <c r="D24" s="182" cm="1">
        <f t="array" ref="D24">INDEX($S$7:$S$12,COLUMNS($B24:D24))</f>
        <v>3800</v>
      </c>
      <c r="E24" s="182" cm="1">
        <f t="array" ref="E24">INDEX($S$7:$S$12,COLUMNS($B24:E24))</f>
        <v>4800</v>
      </c>
      <c r="F24" s="182" cm="1">
        <f t="array" ref="F24">INDEX($S$7:$S$12,COLUMNS($B24:F24))</f>
        <v>2000</v>
      </c>
      <c r="G24" s="182" cm="1">
        <f t="array" ref="G24">INDEX($S$7:$S$12,COLUMNS($B24:G24))</f>
        <v>1400</v>
      </c>
      <c r="I24" s="182">
        <f>SUM(B23:G23)</f>
        <v>15500</v>
      </c>
      <c r="R24" s="117" t="s">
        <v>26</v>
      </c>
      <c r="S24" s="180">
        <v>30</v>
      </c>
    </row>
    <row r="25" spans="1:19" ht="17.25" thickBot="1" x14ac:dyDescent="0.35">
      <c r="B25" s="208">
        <f>-S5</f>
        <v>-1000</v>
      </c>
      <c r="G25" s="208">
        <f>S13</f>
        <v>500</v>
      </c>
      <c r="R25" s="118" t="s">
        <v>81</v>
      </c>
      <c r="S25" s="181">
        <f>S22*S31</f>
        <v>640</v>
      </c>
    </row>
    <row r="26" spans="1:19" x14ac:dyDescent="0.3">
      <c r="B26" s="208"/>
      <c r="G26" s="208"/>
    </row>
    <row r="27" spans="1:19" ht="17.25" thickBot="1" x14ac:dyDescent="0.35">
      <c r="A27" s="182" t="s">
        <v>0</v>
      </c>
      <c r="B27" s="189">
        <v>1</v>
      </c>
      <c r="C27" s="189">
        <v>2</v>
      </c>
      <c r="D27" s="189">
        <v>3</v>
      </c>
      <c r="E27" s="189">
        <v>4</v>
      </c>
      <c r="F27" s="189">
        <v>5</v>
      </c>
      <c r="G27" s="189">
        <v>6</v>
      </c>
      <c r="R27" s="182" t="s">
        <v>135</v>
      </c>
    </row>
    <row r="28" spans="1:19" ht="17.25" thickBot="1" x14ac:dyDescent="0.35">
      <c r="A28" s="182" t="s">
        <v>1</v>
      </c>
      <c r="B28" s="220">
        <f>$S$17</f>
        <v>10</v>
      </c>
      <c r="C28" s="221">
        <f t="shared" ref="C28:G30" si="5">B28+$S$18</f>
        <v>12</v>
      </c>
      <c r="D28" s="221">
        <f t="shared" si="5"/>
        <v>14</v>
      </c>
      <c r="E28" s="221">
        <f t="shared" si="5"/>
        <v>16</v>
      </c>
      <c r="F28" s="221">
        <f t="shared" si="5"/>
        <v>18</v>
      </c>
      <c r="G28" s="221">
        <f t="shared" si="5"/>
        <v>20</v>
      </c>
      <c r="R28" s="124" t="s">
        <v>29</v>
      </c>
      <c r="S28" s="129">
        <v>4</v>
      </c>
    </row>
    <row r="29" spans="1:19" x14ac:dyDescent="0.3">
      <c r="A29" s="182" t="s">
        <v>2</v>
      </c>
      <c r="B29" s="222">
        <f>$S$28*$S$23+S17</f>
        <v>34</v>
      </c>
      <c r="C29" s="221">
        <f t="shared" si="5"/>
        <v>36</v>
      </c>
      <c r="D29" s="221">
        <f t="shared" si="5"/>
        <v>38</v>
      </c>
      <c r="E29" s="221">
        <f t="shared" si="5"/>
        <v>40</v>
      </c>
      <c r="F29" s="221">
        <f t="shared" si="5"/>
        <v>42</v>
      </c>
      <c r="G29" s="221">
        <f t="shared" si="5"/>
        <v>44</v>
      </c>
      <c r="R29" s="125" t="s">
        <v>125</v>
      </c>
      <c r="S29" s="130">
        <v>8</v>
      </c>
    </row>
    <row r="30" spans="1:19" ht="17.25" thickBot="1" x14ac:dyDescent="0.35">
      <c r="A30" s="182" t="s">
        <v>3</v>
      </c>
      <c r="B30" s="223">
        <f>$S$24</f>
        <v>30</v>
      </c>
      <c r="C30" s="221">
        <f t="shared" si="5"/>
        <v>32</v>
      </c>
      <c r="D30" s="221">
        <f t="shared" si="5"/>
        <v>34</v>
      </c>
      <c r="E30" s="221">
        <f t="shared" si="5"/>
        <v>36</v>
      </c>
      <c r="F30" s="221">
        <f t="shared" si="5"/>
        <v>38</v>
      </c>
      <c r="G30" s="221">
        <f t="shared" si="5"/>
        <v>40</v>
      </c>
      <c r="R30" s="126" t="s">
        <v>126</v>
      </c>
      <c r="S30" s="131">
        <v>20</v>
      </c>
    </row>
    <row r="31" spans="1:19" x14ac:dyDescent="0.3">
      <c r="A31" s="182" t="s">
        <v>4</v>
      </c>
      <c r="B31" s="221">
        <f t="shared" ref="B31:B45" si="6">C31+$S$19</f>
        <v>15</v>
      </c>
      <c r="C31" s="213">
        <f>B28</f>
        <v>10</v>
      </c>
      <c r="D31" s="221">
        <f t="shared" ref="D31:G33" si="7">C31+$S$18</f>
        <v>12</v>
      </c>
      <c r="E31" s="221">
        <f t="shared" si="7"/>
        <v>14</v>
      </c>
      <c r="F31" s="221">
        <f t="shared" si="7"/>
        <v>16</v>
      </c>
      <c r="G31" s="221">
        <f t="shared" si="7"/>
        <v>18</v>
      </c>
      <c r="R31" s="126" t="s">
        <v>127</v>
      </c>
      <c r="S31" s="131">
        <f>S29*S30</f>
        <v>160</v>
      </c>
    </row>
    <row r="32" spans="1:19" x14ac:dyDescent="0.3">
      <c r="A32" s="182" t="s">
        <v>5</v>
      </c>
      <c r="B32" s="221">
        <f t="shared" si="6"/>
        <v>39</v>
      </c>
      <c r="C32" s="213">
        <f t="shared" ref="C32:D36" si="8">B29</f>
        <v>34</v>
      </c>
      <c r="D32" s="221">
        <f t="shared" si="7"/>
        <v>36</v>
      </c>
      <c r="E32" s="221">
        <f t="shared" si="7"/>
        <v>38</v>
      </c>
      <c r="F32" s="221">
        <f t="shared" si="7"/>
        <v>40</v>
      </c>
      <c r="G32" s="221">
        <f t="shared" si="7"/>
        <v>42</v>
      </c>
      <c r="R32" s="127" t="s">
        <v>128</v>
      </c>
      <c r="S32" s="132">
        <f>S31/S28</f>
        <v>40</v>
      </c>
    </row>
    <row r="33" spans="1:19" x14ac:dyDescent="0.3">
      <c r="A33" s="182" t="s">
        <v>6</v>
      </c>
      <c r="B33" s="221">
        <f t="shared" si="6"/>
        <v>35</v>
      </c>
      <c r="C33" s="213">
        <f t="shared" si="8"/>
        <v>30</v>
      </c>
      <c r="D33" s="221">
        <f t="shared" si="7"/>
        <v>32</v>
      </c>
      <c r="E33" s="221">
        <f t="shared" si="7"/>
        <v>34</v>
      </c>
      <c r="F33" s="221">
        <f t="shared" si="7"/>
        <v>36</v>
      </c>
      <c r="G33" s="221">
        <f t="shared" si="7"/>
        <v>38</v>
      </c>
      <c r="R33" s="126" t="s">
        <v>129</v>
      </c>
      <c r="S33" s="131">
        <v>10</v>
      </c>
    </row>
    <row r="34" spans="1:19" ht="17.25" thickBot="1" x14ac:dyDescent="0.35">
      <c r="A34" s="182" t="s">
        <v>7</v>
      </c>
      <c r="B34" s="221">
        <f t="shared" si="6"/>
        <v>20</v>
      </c>
      <c r="C34" s="221">
        <f t="shared" ref="C34:C45" si="9">D34+$S$19</f>
        <v>15</v>
      </c>
      <c r="D34" s="213">
        <f>C31</f>
        <v>10</v>
      </c>
      <c r="E34" s="221">
        <f t="shared" ref="E34:G36" si="10">D34+$S$18</f>
        <v>12</v>
      </c>
      <c r="F34" s="221">
        <f t="shared" si="10"/>
        <v>14</v>
      </c>
      <c r="G34" s="221">
        <f t="shared" si="10"/>
        <v>16</v>
      </c>
      <c r="R34" s="128" t="s">
        <v>130</v>
      </c>
      <c r="S34" s="118">
        <f>S33/S28</f>
        <v>2.5</v>
      </c>
    </row>
    <row r="35" spans="1:19" x14ac:dyDescent="0.3">
      <c r="A35" s="182" t="s">
        <v>8</v>
      </c>
      <c r="B35" s="221">
        <f t="shared" si="6"/>
        <v>44</v>
      </c>
      <c r="C35" s="221">
        <f t="shared" si="9"/>
        <v>39</v>
      </c>
      <c r="D35" s="213">
        <f t="shared" si="8"/>
        <v>34</v>
      </c>
      <c r="E35" s="221">
        <f t="shared" si="10"/>
        <v>36</v>
      </c>
      <c r="F35" s="221">
        <f t="shared" si="10"/>
        <v>38</v>
      </c>
      <c r="G35" s="221">
        <f t="shared" si="10"/>
        <v>40</v>
      </c>
    </row>
    <row r="36" spans="1:19" x14ac:dyDescent="0.3">
      <c r="A36" s="182" t="s">
        <v>9</v>
      </c>
      <c r="B36" s="221">
        <f t="shared" si="6"/>
        <v>40</v>
      </c>
      <c r="C36" s="221">
        <f t="shared" si="9"/>
        <v>35</v>
      </c>
      <c r="D36" s="213">
        <f t="shared" si="8"/>
        <v>30</v>
      </c>
      <c r="E36" s="221">
        <f t="shared" si="10"/>
        <v>32</v>
      </c>
      <c r="F36" s="221">
        <f t="shared" si="10"/>
        <v>34</v>
      </c>
      <c r="G36" s="221">
        <f t="shared" si="10"/>
        <v>36</v>
      </c>
    </row>
    <row r="37" spans="1:19" x14ac:dyDescent="0.3">
      <c r="A37" s="182" t="s">
        <v>10</v>
      </c>
      <c r="B37" s="221">
        <f t="shared" si="6"/>
        <v>25</v>
      </c>
      <c r="C37" s="221">
        <f t="shared" si="9"/>
        <v>20</v>
      </c>
      <c r="D37" s="221">
        <f t="shared" ref="D37:D45" si="11">E37+$S$19</f>
        <v>15</v>
      </c>
      <c r="E37" s="213">
        <f>D34</f>
        <v>10</v>
      </c>
      <c r="F37" s="221">
        <f t="shared" ref="F37:G39" si="12">E37+$S$18</f>
        <v>12</v>
      </c>
      <c r="G37" s="221">
        <f t="shared" si="12"/>
        <v>14</v>
      </c>
    </row>
    <row r="38" spans="1:19" x14ac:dyDescent="0.3">
      <c r="A38" s="182" t="s">
        <v>11</v>
      </c>
      <c r="B38" s="221">
        <f t="shared" si="6"/>
        <v>49</v>
      </c>
      <c r="C38" s="221">
        <f t="shared" si="9"/>
        <v>44</v>
      </c>
      <c r="D38" s="221">
        <f t="shared" si="11"/>
        <v>39</v>
      </c>
      <c r="E38" s="213">
        <f t="shared" ref="E38:E39" si="13">D35</f>
        <v>34</v>
      </c>
      <c r="F38" s="221">
        <f t="shared" si="12"/>
        <v>36</v>
      </c>
      <c r="G38" s="221">
        <f t="shared" si="12"/>
        <v>38</v>
      </c>
    </row>
    <row r="39" spans="1:19" x14ac:dyDescent="0.3">
      <c r="A39" s="182" t="s">
        <v>12</v>
      </c>
      <c r="B39" s="221">
        <f t="shared" si="6"/>
        <v>45</v>
      </c>
      <c r="C39" s="221">
        <f t="shared" si="9"/>
        <v>40</v>
      </c>
      <c r="D39" s="221">
        <f t="shared" si="11"/>
        <v>35</v>
      </c>
      <c r="E39" s="213">
        <f t="shared" si="13"/>
        <v>30</v>
      </c>
      <c r="F39" s="221">
        <f t="shared" si="12"/>
        <v>32</v>
      </c>
      <c r="G39" s="221">
        <f t="shared" si="12"/>
        <v>34</v>
      </c>
    </row>
    <row r="40" spans="1:19" x14ac:dyDescent="0.3">
      <c r="A40" s="182" t="s">
        <v>13</v>
      </c>
      <c r="B40" s="221">
        <f t="shared" si="6"/>
        <v>30</v>
      </c>
      <c r="C40" s="221">
        <f t="shared" si="9"/>
        <v>25</v>
      </c>
      <c r="D40" s="221">
        <f t="shared" si="11"/>
        <v>20</v>
      </c>
      <c r="E40" s="221">
        <f t="shared" ref="E40:E45" si="14">F40+$S$19</f>
        <v>15</v>
      </c>
      <c r="F40" s="213">
        <f>E37</f>
        <v>10</v>
      </c>
      <c r="G40" s="221">
        <f>F40+$S$18</f>
        <v>12</v>
      </c>
    </row>
    <row r="41" spans="1:19" x14ac:dyDescent="0.3">
      <c r="A41" s="182" t="s">
        <v>14</v>
      </c>
      <c r="B41" s="221">
        <f t="shared" si="6"/>
        <v>54</v>
      </c>
      <c r="C41" s="221">
        <f t="shared" si="9"/>
        <v>49</v>
      </c>
      <c r="D41" s="221">
        <f t="shared" si="11"/>
        <v>44</v>
      </c>
      <c r="E41" s="221">
        <f t="shared" si="14"/>
        <v>39</v>
      </c>
      <c r="F41" s="213">
        <f t="shared" ref="F41:F42" si="15">E38</f>
        <v>34</v>
      </c>
      <c r="G41" s="221">
        <f>F41+$S$18</f>
        <v>36</v>
      </c>
    </row>
    <row r="42" spans="1:19" x14ac:dyDescent="0.3">
      <c r="A42" s="182" t="s">
        <v>15</v>
      </c>
      <c r="B42" s="221">
        <f t="shared" si="6"/>
        <v>50</v>
      </c>
      <c r="C42" s="221">
        <f t="shared" si="9"/>
        <v>45</v>
      </c>
      <c r="D42" s="221">
        <f t="shared" si="11"/>
        <v>40</v>
      </c>
      <c r="E42" s="221">
        <f t="shared" si="14"/>
        <v>35</v>
      </c>
      <c r="F42" s="213">
        <f t="shared" si="15"/>
        <v>30</v>
      </c>
      <c r="G42" s="221">
        <f>F42+$S$18</f>
        <v>32</v>
      </c>
    </row>
    <row r="43" spans="1:19" x14ac:dyDescent="0.3">
      <c r="A43" s="182" t="s">
        <v>16</v>
      </c>
      <c r="B43" s="221">
        <f t="shared" si="6"/>
        <v>35</v>
      </c>
      <c r="C43" s="221">
        <f t="shared" si="9"/>
        <v>30</v>
      </c>
      <c r="D43" s="221">
        <f t="shared" si="11"/>
        <v>25</v>
      </c>
      <c r="E43" s="221">
        <f t="shared" si="14"/>
        <v>20</v>
      </c>
      <c r="F43" s="221">
        <f>G43+$S$19</f>
        <v>15</v>
      </c>
      <c r="G43" s="213">
        <f>F40</f>
        <v>10</v>
      </c>
    </row>
    <row r="44" spans="1:19" x14ac:dyDescent="0.3">
      <c r="A44" s="182" t="s">
        <v>17</v>
      </c>
      <c r="B44" s="221">
        <f t="shared" si="6"/>
        <v>59</v>
      </c>
      <c r="C44" s="221">
        <f t="shared" si="9"/>
        <v>54</v>
      </c>
      <c r="D44" s="221">
        <f t="shared" si="11"/>
        <v>49</v>
      </c>
      <c r="E44" s="221">
        <f t="shared" si="14"/>
        <v>44</v>
      </c>
      <c r="F44" s="221">
        <f>G44+$S$19</f>
        <v>39</v>
      </c>
      <c r="G44" s="213">
        <f t="shared" ref="G44:G45" si="16">F41</f>
        <v>34</v>
      </c>
    </row>
    <row r="45" spans="1:19" x14ac:dyDescent="0.3">
      <c r="A45" s="182" t="s">
        <v>18</v>
      </c>
      <c r="B45" s="221">
        <f t="shared" si="6"/>
        <v>55</v>
      </c>
      <c r="C45" s="221">
        <f t="shared" si="9"/>
        <v>50</v>
      </c>
      <c r="D45" s="221">
        <f t="shared" si="11"/>
        <v>45</v>
      </c>
      <c r="E45" s="221">
        <f t="shared" si="14"/>
        <v>40</v>
      </c>
      <c r="F45" s="221">
        <f>G45+$S$19</f>
        <v>35</v>
      </c>
      <c r="G45" s="213">
        <f t="shared" si="16"/>
        <v>30</v>
      </c>
    </row>
  </sheetData>
  <conditionalFormatting sqref="B4:G21">
    <cfRule type="cellIs" dxfId="3" priority="2" operator="greaterThan">
      <formula>0</formula>
    </cfRule>
  </conditionalFormatting>
  <conditionalFormatting sqref="H4:H21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EB52-6D0B-49BC-9DD4-798A6B4E4D8B}">
  <sheetPr codeName="Sheet9">
    <tabColor rgb="FFFFFF00"/>
  </sheetPr>
  <dimension ref="A1:S46"/>
  <sheetViews>
    <sheetView topLeftCell="B1" workbookViewId="0">
      <selection activeCell="O21" sqref="O21"/>
    </sheetView>
  </sheetViews>
  <sheetFormatPr defaultColWidth="9.140625" defaultRowHeight="16.5" x14ac:dyDescent="0.3"/>
  <cols>
    <col min="1" max="1" width="16.5703125" style="182" bestFit="1" customWidth="1"/>
    <col min="2" max="7" width="8.28515625" style="182" customWidth="1"/>
    <col min="8" max="8" width="7.85546875" style="182" customWidth="1"/>
    <col min="9" max="9" width="10.140625" style="182" customWidth="1"/>
    <col min="10" max="17" width="9.140625" style="182"/>
    <col min="18" max="18" width="40.7109375" style="182" bestFit="1" customWidth="1"/>
    <col min="19" max="19" width="9.85546875" style="182" bestFit="1" customWidth="1"/>
    <col min="20" max="16384" width="9.140625" style="182"/>
  </cols>
  <sheetData>
    <row r="1" spans="1:19" x14ac:dyDescent="0.3">
      <c r="A1" s="182" t="s">
        <v>92</v>
      </c>
    </row>
    <row r="3" spans="1:19" ht="17.25" thickBot="1" x14ac:dyDescent="0.35">
      <c r="A3" s="182" t="s">
        <v>0</v>
      </c>
      <c r="B3" s="182">
        <v>1</v>
      </c>
      <c r="C3" s="182">
        <v>2</v>
      </c>
      <c r="D3" s="182">
        <v>3</v>
      </c>
      <c r="E3" s="182">
        <v>4</v>
      </c>
      <c r="F3" s="182">
        <v>5</v>
      </c>
      <c r="G3" s="182">
        <v>6</v>
      </c>
      <c r="H3" s="183" t="s">
        <v>91</v>
      </c>
      <c r="I3" s="183" t="s">
        <v>75</v>
      </c>
      <c r="J3" s="183"/>
      <c r="R3" s="96"/>
      <c r="S3" s="82"/>
    </row>
    <row r="4" spans="1:19" ht="17.25" thickBot="1" x14ac:dyDescent="0.35">
      <c r="A4" s="182" t="s">
        <v>1</v>
      </c>
      <c r="B4" s="184">
        <v>600</v>
      </c>
      <c r="C4" s="184">
        <v>1200</v>
      </c>
      <c r="D4" s="184">
        <v>0</v>
      </c>
      <c r="E4" s="184">
        <v>0</v>
      </c>
      <c r="F4" s="184">
        <v>0</v>
      </c>
      <c r="G4" s="185">
        <v>0</v>
      </c>
      <c r="H4" s="186">
        <f>SUM(B4:G4)</f>
        <v>1800</v>
      </c>
      <c r="I4" s="186">
        <f>40*VLOOKUP(VALUE(LEFT(A4,1)),$K$6:$L$11,2,0)</f>
        <v>1800</v>
      </c>
      <c r="J4" s="187"/>
      <c r="L4" s="188" t="s">
        <v>21</v>
      </c>
      <c r="M4" s="188" t="s">
        <v>22</v>
      </c>
      <c r="N4" s="188" t="s">
        <v>23</v>
      </c>
      <c r="R4" s="84" t="s">
        <v>42</v>
      </c>
      <c r="S4" s="83"/>
    </row>
    <row r="5" spans="1:19" ht="17.25" thickBot="1" x14ac:dyDescent="0.35">
      <c r="A5" s="182" t="s">
        <v>2</v>
      </c>
      <c r="B5" s="184">
        <v>0</v>
      </c>
      <c r="C5" s="184">
        <v>0</v>
      </c>
      <c r="D5" s="184">
        <v>0</v>
      </c>
      <c r="E5" s="184">
        <v>0</v>
      </c>
      <c r="F5" s="184">
        <v>0</v>
      </c>
      <c r="G5" s="185">
        <v>0</v>
      </c>
      <c r="H5" s="186">
        <f t="shared" ref="H5:H21" si="0">SUM(B5:G5)</f>
        <v>0</v>
      </c>
      <c r="I5" s="186">
        <f>2.5*VLOOKUP(VALUE(LEFT(A5,1)),$K$6:$L$11,2,0)</f>
        <v>112.5</v>
      </c>
      <c r="J5" s="187"/>
      <c r="L5" s="189">
        <v>80</v>
      </c>
      <c r="M5" s="189">
        <v>0</v>
      </c>
      <c r="N5" s="189">
        <v>0</v>
      </c>
      <c r="R5" s="83" t="s">
        <v>84</v>
      </c>
      <c r="S5" s="83">
        <v>1000</v>
      </c>
    </row>
    <row r="6" spans="1:19" ht="17.25" thickBot="1" x14ac:dyDescent="0.35">
      <c r="A6" s="182" t="s">
        <v>3</v>
      </c>
      <c r="B6" s="184">
        <v>0</v>
      </c>
      <c r="C6" s="184">
        <v>0</v>
      </c>
      <c r="D6" s="184">
        <v>0</v>
      </c>
      <c r="E6" s="184">
        <v>0</v>
      </c>
      <c r="F6" s="184">
        <v>0</v>
      </c>
      <c r="G6" s="185">
        <v>0</v>
      </c>
      <c r="H6" s="186">
        <f t="shared" si="0"/>
        <v>0</v>
      </c>
      <c r="I6" s="186">
        <v>2000</v>
      </c>
      <c r="J6" s="187"/>
      <c r="K6" s="182">
        <v>1</v>
      </c>
      <c r="L6" s="190">
        <v>45</v>
      </c>
      <c r="M6" s="191">
        <v>0</v>
      </c>
      <c r="N6" s="192">
        <v>35</v>
      </c>
      <c r="O6" s="182">
        <f>L5+M6-N6-L6</f>
        <v>0</v>
      </c>
      <c r="R6" s="108" t="s">
        <v>43</v>
      </c>
      <c r="S6" s="109" t="s">
        <v>46</v>
      </c>
    </row>
    <row r="7" spans="1:19" ht="17.25" thickBot="1" x14ac:dyDescent="0.35">
      <c r="A7" s="182" t="s">
        <v>4</v>
      </c>
      <c r="B7" s="184">
        <v>0</v>
      </c>
      <c r="C7" s="184">
        <v>1800</v>
      </c>
      <c r="D7" s="184">
        <v>0</v>
      </c>
      <c r="E7" s="184">
        <v>0</v>
      </c>
      <c r="F7" s="184">
        <v>0</v>
      </c>
      <c r="G7" s="185">
        <v>0</v>
      </c>
      <c r="H7" s="186">
        <f t="shared" si="0"/>
        <v>1800</v>
      </c>
      <c r="I7" s="186">
        <f>40*VLOOKUP(VALUE(LEFT(A7,1)),$K$6:$L$11,2,0)</f>
        <v>1800</v>
      </c>
      <c r="J7" s="187"/>
      <c r="K7" s="182">
        <v>2</v>
      </c>
      <c r="L7" s="193">
        <v>45</v>
      </c>
      <c r="M7" s="194">
        <v>0</v>
      </c>
      <c r="N7" s="195">
        <v>0</v>
      </c>
      <c r="O7" s="182">
        <f t="shared" ref="O7:O11" si="1">L6+M7-N7-L7</f>
        <v>0</v>
      </c>
      <c r="R7" s="110" t="s">
        <v>41</v>
      </c>
      <c r="S7" s="111">
        <v>1600</v>
      </c>
    </row>
    <row r="8" spans="1:19" ht="17.25" thickBot="1" x14ac:dyDescent="0.35">
      <c r="A8" s="182" t="s">
        <v>5</v>
      </c>
      <c r="B8" s="184">
        <v>0</v>
      </c>
      <c r="C8" s="184">
        <v>0</v>
      </c>
      <c r="D8" s="184">
        <v>0</v>
      </c>
      <c r="E8" s="184">
        <v>0</v>
      </c>
      <c r="F8" s="184">
        <v>0</v>
      </c>
      <c r="G8" s="185">
        <v>0</v>
      </c>
      <c r="H8" s="186">
        <f t="shared" si="0"/>
        <v>0</v>
      </c>
      <c r="I8" s="186">
        <f>2.5*VLOOKUP(VALUE(LEFT(A8,1)),$K$6:$L$11,2,0)</f>
        <v>112.5</v>
      </c>
      <c r="J8" s="187"/>
      <c r="K8" s="182">
        <v>3</v>
      </c>
      <c r="L8" s="193">
        <v>87</v>
      </c>
      <c r="M8" s="194">
        <v>42</v>
      </c>
      <c r="N8" s="195">
        <v>0</v>
      </c>
      <c r="O8" s="182">
        <f t="shared" si="1"/>
        <v>0</v>
      </c>
      <c r="R8" s="110" t="s">
        <v>40</v>
      </c>
      <c r="S8" s="111">
        <v>3000</v>
      </c>
    </row>
    <row r="9" spans="1:19" ht="17.25" thickBot="1" x14ac:dyDescent="0.35">
      <c r="A9" s="182" t="s">
        <v>6</v>
      </c>
      <c r="B9" s="184">
        <v>0</v>
      </c>
      <c r="C9" s="184">
        <v>0</v>
      </c>
      <c r="D9" s="184">
        <v>0</v>
      </c>
      <c r="E9" s="184">
        <v>0</v>
      </c>
      <c r="F9" s="184">
        <v>0</v>
      </c>
      <c r="G9" s="185">
        <v>0</v>
      </c>
      <c r="H9" s="186">
        <f t="shared" si="0"/>
        <v>0</v>
      </c>
      <c r="I9" s="186">
        <v>2000</v>
      </c>
      <c r="J9" s="187"/>
      <c r="K9" s="182">
        <v>4</v>
      </c>
      <c r="L9" s="193">
        <v>88</v>
      </c>
      <c r="M9" s="194">
        <v>1</v>
      </c>
      <c r="N9" s="195">
        <v>0</v>
      </c>
      <c r="O9" s="182">
        <f t="shared" si="1"/>
        <v>0</v>
      </c>
      <c r="R9" s="110" t="s">
        <v>39</v>
      </c>
      <c r="S9" s="111">
        <v>3200</v>
      </c>
    </row>
    <row r="10" spans="1:19" ht="17.25" thickBot="1" x14ac:dyDescent="0.35">
      <c r="A10" s="182" t="s">
        <v>7</v>
      </c>
      <c r="B10" s="184">
        <v>0</v>
      </c>
      <c r="C10" s="184">
        <v>0</v>
      </c>
      <c r="D10" s="184">
        <v>3200</v>
      </c>
      <c r="E10" s="184">
        <v>280</v>
      </c>
      <c r="F10" s="184">
        <v>0</v>
      </c>
      <c r="G10" s="185">
        <v>0</v>
      </c>
      <c r="H10" s="186">
        <f t="shared" si="0"/>
        <v>3480</v>
      </c>
      <c r="I10" s="186">
        <f>40*VLOOKUP(VALUE(LEFT(A10,1)),$K$6:$L$11,2,0)</f>
        <v>3480</v>
      </c>
      <c r="J10" s="187"/>
      <c r="K10" s="182">
        <v>5</v>
      </c>
      <c r="L10" s="193">
        <v>61</v>
      </c>
      <c r="M10" s="194">
        <v>0</v>
      </c>
      <c r="N10" s="195">
        <v>27</v>
      </c>
      <c r="O10" s="182">
        <f t="shared" si="1"/>
        <v>0</v>
      </c>
      <c r="P10" s="183"/>
      <c r="R10" s="110" t="s">
        <v>38</v>
      </c>
      <c r="S10" s="111">
        <v>3800</v>
      </c>
    </row>
    <row r="11" spans="1:19" ht="17.25" thickBot="1" x14ac:dyDescent="0.35">
      <c r="A11" s="182" t="s">
        <v>8</v>
      </c>
      <c r="B11" s="184">
        <v>0</v>
      </c>
      <c r="C11" s="184">
        <v>0</v>
      </c>
      <c r="D11" s="184">
        <v>0</v>
      </c>
      <c r="E11" s="184">
        <v>0</v>
      </c>
      <c r="F11" s="184">
        <v>0</v>
      </c>
      <c r="G11" s="185">
        <v>0</v>
      </c>
      <c r="H11" s="186">
        <f t="shared" si="0"/>
        <v>0</v>
      </c>
      <c r="I11" s="186">
        <f>2.5*VLOOKUP(VALUE(LEFT(A11,1)),$K$6:$L$11,2,0)</f>
        <v>217.5</v>
      </c>
      <c r="J11" s="187"/>
      <c r="K11" s="182">
        <v>6</v>
      </c>
      <c r="L11" s="196">
        <v>61</v>
      </c>
      <c r="M11" s="197">
        <v>0</v>
      </c>
      <c r="N11" s="198">
        <v>0</v>
      </c>
      <c r="O11" s="182">
        <f t="shared" si="1"/>
        <v>0</v>
      </c>
      <c r="R11" s="110" t="s">
        <v>37</v>
      </c>
      <c r="S11" s="111">
        <v>2200</v>
      </c>
    </row>
    <row r="12" spans="1:19" ht="17.25" thickBot="1" x14ac:dyDescent="0.35">
      <c r="A12" s="182" t="s">
        <v>9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5">
        <v>0</v>
      </c>
      <c r="H12" s="186">
        <f t="shared" si="0"/>
        <v>0</v>
      </c>
      <c r="I12" s="186">
        <v>2000</v>
      </c>
      <c r="J12" s="187"/>
      <c r="L12" s="199">
        <f>SUM(L6:L11)</f>
        <v>387</v>
      </c>
      <c r="M12" s="200">
        <f>SUM(M6:M11)</f>
        <v>43</v>
      </c>
      <c r="N12" s="201">
        <f t="shared" ref="N12" si="2">SUM(N6:N11)</f>
        <v>62</v>
      </c>
      <c r="R12" s="112" t="s">
        <v>36</v>
      </c>
      <c r="S12" s="113">
        <v>2200</v>
      </c>
    </row>
    <row r="13" spans="1:19" ht="17.25" thickBot="1" x14ac:dyDescent="0.35">
      <c r="A13" s="182" t="s">
        <v>10</v>
      </c>
      <c r="B13" s="184">
        <v>0</v>
      </c>
      <c r="C13" s="184">
        <v>0</v>
      </c>
      <c r="D13" s="184">
        <v>0</v>
      </c>
      <c r="E13" s="184">
        <v>3520</v>
      </c>
      <c r="F13" s="184">
        <v>0</v>
      </c>
      <c r="G13" s="185">
        <v>0</v>
      </c>
      <c r="H13" s="186">
        <f t="shared" si="0"/>
        <v>3520</v>
      </c>
      <c r="I13" s="186">
        <f>40*VLOOKUP(VALUE(LEFT(A13,1)),$K$6:$L$11,2,0)</f>
        <v>3520</v>
      </c>
      <c r="J13" s="187"/>
      <c r="L13" s="202">
        <f>S25</f>
        <v>640</v>
      </c>
      <c r="M13" s="203">
        <f>S20</f>
        <v>50</v>
      </c>
      <c r="N13" s="204">
        <f>S21</f>
        <v>50</v>
      </c>
      <c r="R13" s="84" t="s">
        <v>82</v>
      </c>
      <c r="S13" s="84">
        <v>500</v>
      </c>
    </row>
    <row r="14" spans="1:19" ht="17.25" thickBot="1" x14ac:dyDescent="0.35">
      <c r="A14" s="182" t="s">
        <v>11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5">
        <v>0</v>
      </c>
      <c r="H14" s="186">
        <f t="shared" si="0"/>
        <v>0</v>
      </c>
      <c r="I14" s="186">
        <f>2.5*VLOOKUP(VALUE(LEFT(A14,1)),$K$6:$L$11,2,0)</f>
        <v>220</v>
      </c>
      <c r="J14" s="187"/>
      <c r="N14" s="182">
        <f>SUMPRODUCT(L12:N12,L13:N13)</f>
        <v>252930</v>
      </c>
      <c r="R14" s="82"/>
      <c r="S14" s="82"/>
    </row>
    <row r="15" spans="1:19" ht="17.25" thickBot="1" x14ac:dyDescent="0.35">
      <c r="A15" s="182" t="s">
        <v>12</v>
      </c>
      <c r="B15" s="184">
        <v>0</v>
      </c>
      <c r="C15" s="184">
        <v>0</v>
      </c>
      <c r="D15" s="184">
        <v>0</v>
      </c>
      <c r="E15" s="184">
        <v>0</v>
      </c>
      <c r="F15" s="184">
        <v>0</v>
      </c>
      <c r="G15" s="185">
        <v>0</v>
      </c>
      <c r="H15" s="186">
        <f t="shared" si="0"/>
        <v>0</v>
      </c>
      <c r="I15" s="186">
        <v>2000</v>
      </c>
      <c r="J15" s="187"/>
      <c r="N15" s="182">
        <f>$S$18*G25</f>
        <v>1000</v>
      </c>
      <c r="R15" s="84" t="s">
        <v>24</v>
      </c>
      <c r="S15" s="82"/>
    </row>
    <row r="16" spans="1:19" ht="17.25" thickBot="1" x14ac:dyDescent="0.35">
      <c r="A16" s="182" t="s">
        <v>13</v>
      </c>
      <c r="B16" s="184">
        <v>0</v>
      </c>
      <c r="C16" s="184">
        <v>0</v>
      </c>
      <c r="D16" s="184">
        <v>0</v>
      </c>
      <c r="E16" s="184">
        <v>0</v>
      </c>
      <c r="F16" s="184">
        <v>2200</v>
      </c>
      <c r="G16" s="185">
        <v>240</v>
      </c>
      <c r="H16" s="186">
        <f t="shared" si="0"/>
        <v>2440</v>
      </c>
      <c r="I16" s="186">
        <f>40*VLOOKUP(VALUE(LEFT(A16,1)),$K$6:$L$11,2,0)</f>
        <v>2440</v>
      </c>
      <c r="J16" s="187"/>
      <c r="N16" s="182">
        <f>SUMPRODUCT(B4:G21,B28:G45)</f>
        <v>158840</v>
      </c>
      <c r="R16" s="114" t="s">
        <v>35</v>
      </c>
      <c r="S16" s="115" t="s">
        <v>20</v>
      </c>
    </row>
    <row r="17" spans="1:19" ht="17.25" thickBot="1" x14ac:dyDescent="0.35">
      <c r="A17" s="182" t="s">
        <v>14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5">
        <v>0</v>
      </c>
      <c r="H17" s="186">
        <f t="shared" si="0"/>
        <v>0</v>
      </c>
      <c r="I17" s="186">
        <f>2.5*VLOOKUP(VALUE(LEFT(A17,1)),$K$6:$L$11,2,0)</f>
        <v>152.5</v>
      </c>
      <c r="J17" s="187"/>
      <c r="N17" s="182">
        <f>SUM(N14:N16)</f>
        <v>412770</v>
      </c>
      <c r="R17" s="116" t="s">
        <v>34</v>
      </c>
      <c r="S17" s="139">
        <v>10</v>
      </c>
    </row>
    <row r="18" spans="1:19" ht="17.25" thickBot="1" x14ac:dyDescent="0.35">
      <c r="A18" s="182" t="s">
        <v>15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5">
        <v>0</v>
      </c>
      <c r="H18" s="186">
        <f t="shared" si="0"/>
        <v>0</v>
      </c>
      <c r="I18" s="186">
        <v>2000</v>
      </c>
      <c r="J18" s="187"/>
      <c r="R18" s="117" t="s">
        <v>33</v>
      </c>
      <c r="S18" s="140">
        <v>2</v>
      </c>
    </row>
    <row r="19" spans="1:19" ht="17.25" thickBot="1" x14ac:dyDescent="0.35">
      <c r="A19" s="182" t="s">
        <v>16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5">
        <v>2440</v>
      </c>
      <c r="H19" s="186">
        <f t="shared" si="0"/>
        <v>2440</v>
      </c>
      <c r="I19" s="186">
        <f>40*VLOOKUP(VALUE(LEFT(A19,1)),$K$6:$L$11,2,0)</f>
        <v>2440</v>
      </c>
      <c r="J19" s="187"/>
      <c r="R19" s="117" t="s">
        <v>32</v>
      </c>
      <c r="S19" s="140">
        <v>5</v>
      </c>
    </row>
    <row r="20" spans="1:19" ht="17.25" thickBot="1" x14ac:dyDescent="0.35">
      <c r="A20" s="182" t="s">
        <v>17</v>
      </c>
      <c r="B20" s="184">
        <v>0</v>
      </c>
      <c r="C20" s="184">
        <v>0</v>
      </c>
      <c r="D20" s="184">
        <v>0</v>
      </c>
      <c r="E20" s="184">
        <v>0</v>
      </c>
      <c r="F20" s="184">
        <v>0</v>
      </c>
      <c r="G20" s="185">
        <v>0</v>
      </c>
      <c r="H20" s="186">
        <f t="shared" si="0"/>
        <v>0</v>
      </c>
      <c r="I20" s="186">
        <f>2.5*VLOOKUP(VALUE(LEFT(A20,1)),$K$6:$L$11,2,0)</f>
        <v>152.5</v>
      </c>
      <c r="J20" s="187"/>
      <c r="R20" s="117" t="s">
        <v>31</v>
      </c>
      <c r="S20" s="140">
        <v>50</v>
      </c>
    </row>
    <row r="21" spans="1:19" ht="17.25" thickBot="1" x14ac:dyDescent="0.35">
      <c r="A21" s="182" t="s">
        <v>18</v>
      </c>
      <c r="B21" s="205">
        <v>0</v>
      </c>
      <c r="C21" s="205">
        <v>0</v>
      </c>
      <c r="D21" s="205">
        <v>0</v>
      </c>
      <c r="E21" s="205">
        <v>0</v>
      </c>
      <c r="F21" s="205">
        <v>0</v>
      </c>
      <c r="G21" s="206">
        <v>20</v>
      </c>
      <c r="H21" s="186">
        <f t="shared" si="0"/>
        <v>20</v>
      </c>
      <c r="I21" s="186">
        <v>2000</v>
      </c>
      <c r="J21" s="187"/>
      <c r="R21" s="117" t="s">
        <v>30</v>
      </c>
      <c r="S21" s="140">
        <v>50</v>
      </c>
    </row>
    <row r="22" spans="1:19" x14ac:dyDescent="0.3">
      <c r="A22" s="182" t="s">
        <v>134</v>
      </c>
      <c r="B22" s="186">
        <f>SUM(B4:B21)</f>
        <v>600</v>
      </c>
      <c r="C22" s="186">
        <f t="shared" ref="C22:G22" si="3">SUM(C4:C21)</f>
        <v>3000</v>
      </c>
      <c r="D22" s="186">
        <f t="shared" si="3"/>
        <v>3200</v>
      </c>
      <c r="E22" s="186">
        <f t="shared" si="3"/>
        <v>3800</v>
      </c>
      <c r="F22" s="186">
        <f t="shared" si="3"/>
        <v>2200</v>
      </c>
      <c r="G22" s="186">
        <f t="shared" si="3"/>
        <v>2700</v>
      </c>
      <c r="J22" s="187"/>
      <c r="R22" s="117" t="s">
        <v>28</v>
      </c>
      <c r="S22" s="140">
        <v>4</v>
      </c>
    </row>
    <row r="23" spans="1:19" x14ac:dyDescent="0.3">
      <c r="A23" s="182" t="s">
        <v>133</v>
      </c>
      <c r="B23" s="182">
        <f t="shared" ref="B23:G23" si="4">B24+B25</f>
        <v>600</v>
      </c>
      <c r="C23" s="182">
        <f t="shared" si="4"/>
        <v>3000</v>
      </c>
      <c r="D23" s="182">
        <f t="shared" si="4"/>
        <v>3200</v>
      </c>
      <c r="E23" s="182">
        <f t="shared" si="4"/>
        <v>3800</v>
      </c>
      <c r="F23" s="182">
        <f t="shared" si="4"/>
        <v>2200</v>
      </c>
      <c r="G23" s="182">
        <f t="shared" si="4"/>
        <v>2700</v>
      </c>
      <c r="I23" s="207">
        <f>SUM(H4:H21)</f>
        <v>15500</v>
      </c>
      <c r="R23" s="117" t="s">
        <v>27</v>
      </c>
      <c r="S23" s="140">
        <v>6</v>
      </c>
    </row>
    <row r="24" spans="1:19" x14ac:dyDescent="0.3">
      <c r="A24" s="182" t="s">
        <v>46</v>
      </c>
      <c r="B24" s="182" cm="1">
        <f t="array" ref="B24">INDEX($S$7:$S$12,COLUMNS($B24:B24))</f>
        <v>1600</v>
      </c>
      <c r="C24" s="182" cm="1">
        <f t="array" ref="C24">INDEX($S$7:$S$12,COLUMNS($B24:C24))</f>
        <v>3000</v>
      </c>
      <c r="D24" s="182" cm="1">
        <f t="array" ref="D24">INDEX($S$7:$S$12,COLUMNS($B24:D24))</f>
        <v>3200</v>
      </c>
      <c r="E24" s="182" cm="1">
        <f t="array" ref="E24">INDEX($S$7:$S$12,COLUMNS($B24:E24))</f>
        <v>3800</v>
      </c>
      <c r="F24" s="182" cm="1">
        <f t="array" ref="F24">INDEX($S$7:$S$12,COLUMNS($B24:F24))</f>
        <v>2200</v>
      </c>
      <c r="G24" s="182" cm="1">
        <f t="array" ref="G24">INDEX($S$7:$S$12,COLUMNS($B24:G24))</f>
        <v>2200</v>
      </c>
      <c r="I24" s="182">
        <f>SUM(B23:G23)</f>
        <v>15500</v>
      </c>
      <c r="R24" s="117" t="s">
        <v>26</v>
      </c>
      <c r="S24" s="140">
        <v>30</v>
      </c>
    </row>
    <row r="25" spans="1:19" ht="17.25" thickBot="1" x14ac:dyDescent="0.35">
      <c r="B25" s="208">
        <f>-S5</f>
        <v>-1000</v>
      </c>
      <c r="G25" s="208">
        <f>S13</f>
        <v>500</v>
      </c>
      <c r="R25" s="118" t="s">
        <v>81</v>
      </c>
      <c r="S25" s="141">
        <f>S22*S30</f>
        <v>640</v>
      </c>
    </row>
    <row r="26" spans="1:19" ht="17.25" thickBot="1" x14ac:dyDescent="0.35">
      <c r="B26" s="208"/>
      <c r="G26" s="208"/>
      <c r="R26" s="182" t="s">
        <v>135</v>
      </c>
      <c r="S26" s="82"/>
    </row>
    <row r="27" spans="1:19" ht="17.25" thickBot="1" x14ac:dyDescent="0.35">
      <c r="A27" s="182" t="s">
        <v>0</v>
      </c>
      <c r="B27" s="189">
        <v>1</v>
      </c>
      <c r="C27" s="189">
        <v>2</v>
      </c>
      <c r="D27" s="189">
        <v>3</v>
      </c>
      <c r="E27" s="189">
        <v>4</v>
      </c>
      <c r="F27" s="189">
        <v>5</v>
      </c>
      <c r="G27" s="189">
        <v>6</v>
      </c>
      <c r="I27"/>
      <c r="J27"/>
      <c r="K27"/>
      <c r="L27"/>
      <c r="M27"/>
      <c r="N27"/>
      <c r="O27"/>
      <c r="R27" s="124" t="s">
        <v>29</v>
      </c>
      <c r="S27" s="129">
        <v>4</v>
      </c>
    </row>
    <row r="28" spans="1:19" x14ac:dyDescent="0.3">
      <c r="A28" s="182" t="s">
        <v>1</v>
      </c>
      <c r="B28" s="209">
        <f>$S$17</f>
        <v>10</v>
      </c>
      <c r="C28" s="210">
        <f t="shared" ref="C28:G39" si="5">B28+$S$18</f>
        <v>12</v>
      </c>
      <c r="D28" s="210">
        <f t="shared" si="5"/>
        <v>14</v>
      </c>
      <c r="E28" s="210">
        <f t="shared" si="5"/>
        <v>16</v>
      </c>
      <c r="F28" s="210">
        <f t="shared" si="5"/>
        <v>18</v>
      </c>
      <c r="G28" s="211">
        <f t="shared" si="5"/>
        <v>20</v>
      </c>
      <c r="I28"/>
      <c r="J28"/>
      <c r="K28"/>
      <c r="L28"/>
      <c r="M28"/>
      <c r="N28"/>
      <c r="O28"/>
      <c r="P28" s="207"/>
      <c r="R28" s="125" t="s">
        <v>125</v>
      </c>
      <c r="S28" s="130">
        <v>8</v>
      </c>
    </row>
    <row r="29" spans="1:19" x14ac:dyDescent="0.3">
      <c r="A29" s="182" t="s">
        <v>2</v>
      </c>
      <c r="B29" s="212">
        <f>$S$27*$S$23+$S$17</f>
        <v>34</v>
      </c>
      <c r="C29" s="213">
        <f t="shared" si="5"/>
        <v>36</v>
      </c>
      <c r="D29" s="213">
        <f t="shared" si="5"/>
        <v>38</v>
      </c>
      <c r="E29" s="213">
        <f t="shared" si="5"/>
        <v>40</v>
      </c>
      <c r="F29" s="213">
        <f t="shared" si="5"/>
        <v>42</v>
      </c>
      <c r="G29" s="214">
        <f t="shared" si="5"/>
        <v>44</v>
      </c>
      <c r="I29"/>
      <c r="J29"/>
      <c r="K29"/>
      <c r="L29"/>
      <c r="M29"/>
      <c r="N29"/>
      <c r="O29"/>
      <c r="R29" s="126" t="s">
        <v>126</v>
      </c>
      <c r="S29" s="131">
        <v>20</v>
      </c>
    </row>
    <row r="30" spans="1:19" ht="17.25" thickBot="1" x14ac:dyDescent="0.35">
      <c r="A30" s="182" t="s">
        <v>3</v>
      </c>
      <c r="B30" s="215">
        <f>$S$24</f>
        <v>30</v>
      </c>
      <c r="C30" s="213">
        <f t="shared" si="5"/>
        <v>32</v>
      </c>
      <c r="D30" s="213">
        <f t="shared" si="5"/>
        <v>34</v>
      </c>
      <c r="E30" s="213">
        <f t="shared" si="5"/>
        <v>36</v>
      </c>
      <c r="F30" s="213">
        <f t="shared" si="5"/>
        <v>38</v>
      </c>
      <c r="G30" s="214">
        <f t="shared" si="5"/>
        <v>40</v>
      </c>
      <c r="I30"/>
      <c r="J30"/>
      <c r="K30"/>
      <c r="L30"/>
      <c r="M30"/>
      <c r="N30"/>
      <c r="O30"/>
      <c r="R30" s="126" t="s">
        <v>127</v>
      </c>
      <c r="S30" s="131">
        <f>S28*S29</f>
        <v>160</v>
      </c>
    </row>
    <row r="31" spans="1:19" x14ac:dyDescent="0.3">
      <c r="A31" s="182" t="s">
        <v>4</v>
      </c>
      <c r="B31" s="216">
        <f t="shared" ref="B31:E45" si="6">C31+$S$19</f>
        <v>15</v>
      </c>
      <c r="C31" s="209">
        <f>$S$17</f>
        <v>10</v>
      </c>
      <c r="D31" s="213">
        <f t="shared" si="5"/>
        <v>12</v>
      </c>
      <c r="E31" s="213">
        <f t="shared" si="5"/>
        <v>14</v>
      </c>
      <c r="F31" s="213">
        <f t="shared" si="5"/>
        <v>16</v>
      </c>
      <c r="G31" s="214">
        <f t="shared" si="5"/>
        <v>18</v>
      </c>
      <c r="I31"/>
      <c r="J31"/>
      <c r="K31"/>
      <c r="L31"/>
      <c r="M31"/>
      <c r="N31"/>
      <c r="O31"/>
      <c r="R31" s="127" t="s">
        <v>128</v>
      </c>
      <c r="S31" s="132">
        <f>S30/S27</f>
        <v>40</v>
      </c>
    </row>
    <row r="32" spans="1:19" x14ac:dyDescent="0.3">
      <c r="A32" s="182" t="s">
        <v>5</v>
      </c>
      <c r="B32" s="216">
        <f t="shared" si="6"/>
        <v>39</v>
      </c>
      <c r="C32" s="212">
        <f>$S$27*$S$23+$S$17</f>
        <v>34</v>
      </c>
      <c r="D32" s="213">
        <f t="shared" si="5"/>
        <v>36</v>
      </c>
      <c r="E32" s="213">
        <f t="shared" si="5"/>
        <v>38</v>
      </c>
      <c r="F32" s="213">
        <f t="shared" si="5"/>
        <v>40</v>
      </c>
      <c r="G32" s="214">
        <f t="shared" si="5"/>
        <v>42</v>
      </c>
      <c r="I32"/>
      <c r="J32"/>
      <c r="K32"/>
      <c r="L32"/>
      <c r="M32"/>
      <c r="N32"/>
      <c r="O32"/>
      <c r="R32" s="126" t="s">
        <v>129</v>
      </c>
      <c r="S32" s="131">
        <v>10</v>
      </c>
    </row>
    <row r="33" spans="1:19" ht="17.25" thickBot="1" x14ac:dyDescent="0.35">
      <c r="A33" s="182" t="s">
        <v>6</v>
      </c>
      <c r="B33" s="216">
        <f t="shared" si="6"/>
        <v>35</v>
      </c>
      <c r="C33" s="215">
        <f>$S$24</f>
        <v>30</v>
      </c>
      <c r="D33" s="213">
        <f t="shared" si="5"/>
        <v>32</v>
      </c>
      <c r="E33" s="213">
        <f t="shared" si="5"/>
        <v>34</v>
      </c>
      <c r="F33" s="213">
        <f t="shared" si="5"/>
        <v>36</v>
      </c>
      <c r="G33" s="214">
        <f t="shared" si="5"/>
        <v>38</v>
      </c>
      <c r="I33"/>
      <c r="J33"/>
      <c r="K33"/>
      <c r="L33"/>
      <c r="M33"/>
      <c r="N33"/>
      <c r="O33"/>
      <c r="R33" s="128" t="s">
        <v>130</v>
      </c>
      <c r="S33" s="118">
        <f>S32/S27</f>
        <v>2.5</v>
      </c>
    </row>
    <row r="34" spans="1:19" x14ac:dyDescent="0.3">
      <c r="A34" s="182" t="s">
        <v>7</v>
      </c>
      <c r="B34" s="216">
        <f t="shared" si="6"/>
        <v>20</v>
      </c>
      <c r="C34" s="213">
        <f t="shared" si="6"/>
        <v>15</v>
      </c>
      <c r="D34" s="209">
        <f>$S$17</f>
        <v>10</v>
      </c>
      <c r="E34" s="213">
        <f t="shared" si="5"/>
        <v>12</v>
      </c>
      <c r="F34" s="213">
        <f t="shared" si="5"/>
        <v>14</v>
      </c>
      <c r="G34" s="214">
        <f t="shared" si="5"/>
        <v>16</v>
      </c>
      <c r="I34"/>
      <c r="J34"/>
      <c r="K34"/>
      <c r="L34"/>
      <c r="M34"/>
      <c r="N34"/>
      <c r="O34"/>
    </row>
    <row r="35" spans="1:19" x14ac:dyDescent="0.3">
      <c r="A35" s="182" t="s">
        <v>8</v>
      </c>
      <c r="B35" s="216">
        <f t="shared" si="6"/>
        <v>44</v>
      </c>
      <c r="C35" s="213">
        <f t="shared" si="6"/>
        <v>39</v>
      </c>
      <c r="D35" s="212">
        <f>$S$27*$S$23+$S$17</f>
        <v>34</v>
      </c>
      <c r="E35" s="213">
        <f t="shared" si="5"/>
        <v>36</v>
      </c>
      <c r="F35" s="213">
        <f t="shared" si="5"/>
        <v>38</v>
      </c>
      <c r="G35" s="214">
        <f t="shared" si="5"/>
        <v>40</v>
      </c>
      <c r="I35"/>
      <c r="J35"/>
      <c r="K35"/>
      <c r="L35"/>
      <c r="M35"/>
      <c r="N35"/>
      <c r="O35"/>
    </row>
    <row r="36" spans="1:19" ht="17.25" thickBot="1" x14ac:dyDescent="0.35">
      <c r="A36" s="182" t="s">
        <v>9</v>
      </c>
      <c r="B36" s="216">
        <f t="shared" si="6"/>
        <v>40</v>
      </c>
      <c r="C36" s="213">
        <f t="shared" si="6"/>
        <v>35</v>
      </c>
      <c r="D36" s="215">
        <f>$S$24</f>
        <v>30</v>
      </c>
      <c r="E36" s="213">
        <f t="shared" si="5"/>
        <v>32</v>
      </c>
      <c r="F36" s="213">
        <f t="shared" si="5"/>
        <v>34</v>
      </c>
      <c r="G36" s="214">
        <f t="shared" si="5"/>
        <v>36</v>
      </c>
      <c r="I36"/>
      <c r="J36"/>
      <c r="K36"/>
      <c r="L36"/>
      <c r="M36"/>
      <c r="N36"/>
      <c r="O36"/>
    </row>
    <row r="37" spans="1:19" x14ac:dyDescent="0.3">
      <c r="A37" s="182" t="s">
        <v>10</v>
      </c>
      <c r="B37" s="216">
        <f t="shared" si="6"/>
        <v>25</v>
      </c>
      <c r="C37" s="213">
        <f t="shared" si="6"/>
        <v>20</v>
      </c>
      <c r="D37" s="213">
        <f t="shared" si="6"/>
        <v>15</v>
      </c>
      <c r="E37" s="209">
        <f>$S$17</f>
        <v>10</v>
      </c>
      <c r="F37" s="213">
        <f t="shared" si="5"/>
        <v>12</v>
      </c>
      <c r="G37" s="214">
        <f t="shared" si="5"/>
        <v>14</v>
      </c>
      <c r="I37"/>
      <c r="J37"/>
      <c r="K37"/>
      <c r="L37"/>
      <c r="M37"/>
      <c r="N37"/>
      <c r="O37"/>
    </row>
    <row r="38" spans="1:19" x14ac:dyDescent="0.3">
      <c r="A38" s="182" t="s">
        <v>11</v>
      </c>
      <c r="B38" s="216">
        <f t="shared" si="6"/>
        <v>49</v>
      </c>
      <c r="C38" s="213">
        <f t="shared" si="6"/>
        <v>44</v>
      </c>
      <c r="D38" s="213">
        <f t="shared" si="6"/>
        <v>39</v>
      </c>
      <c r="E38" s="212">
        <f>$S$27*$S$23+$S$17</f>
        <v>34</v>
      </c>
      <c r="F38" s="213">
        <f t="shared" si="5"/>
        <v>36</v>
      </c>
      <c r="G38" s="214">
        <f t="shared" si="5"/>
        <v>38</v>
      </c>
      <c r="I38"/>
      <c r="J38"/>
      <c r="K38"/>
      <c r="L38"/>
      <c r="M38"/>
      <c r="N38"/>
      <c r="O38"/>
    </row>
    <row r="39" spans="1:19" ht="17.25" thickBot="1" x14ac:dyDescent="0.35">
      <c r="A39" s="182" t="s">
        <v>12</v>
      </c>
      <c r="B39" s="216">
        <f t="shared" si="6"/>
        <v>45</v>
      </c>
      <c r="C39" s="213">
        <f t="shared" si="6"/>
        <v>40</v>
      </c>
      <c r="D39" s="213">
        <f t="shared" si="6"/>
        <v>35</v>
      </c>
      <c r="E39" s="215">
        <f>$S$24</f>
        <v>30</v>
      </c>
      <c r="F39" s="213">
        <f t="shared" si="5"/>
        <v>32</v>
      </c>
      <c r="G39" s="214">
        <f t="shared" si="5"/>
        <v>34</v>
      </c>
      <c r="I39"/>
      <c r="J39"/>
      <c r="K39"/>
      <c r="L39"/>
      <c r="M39"/>
      <c r="N39"/>
      <c r="O39"/>
    </row>
    <row r="40" spans="1:19" x14ac:dyDescent="0.3">
      <c r="A40" s="182" t="s">
        <v>13</v>
      </c>
      <c r="B40" s="216">
        <f t="shared" si="6"/>
        <v>30</v>
      </c>
      <c r="C40" s="213">
        <f t="shared" si="6"/>
        <v>25</v>
      </c>
      <c r="D40" s="213">
        <f t="shared" si="6"/>
        <v>20</v>
      </c>
      <c r="E40" s="213">
        <f t="shared" si="6"/>
        <v>15</v>
      </c>
      <c r="F40" s="209">
        <f>$S$17</f>
        <v>10</v>
      </c>
      <c r="G40" s="214">
        <f>F40+$S$18</f>
        <v>12</v>
      </c>
      <c r="I40"/>
      <c r="J40"/>
      <c r="K40"/>
      <c r="L40"/>
      <c r="M40"/>
      <c r="N40"/>
      <c r="O40"/>
    </row>
    <row r="41" spans="1:19" x14ac:dyDescent="0.3">
      <c r="A41" s="182" t="s">
        <v>14</v>
      </c>
      <c r="B41" s="216">
        <f t="shared" si="6"/>
        <v>54</v>
      </c>
      <c r="C41" s="213">
        <f t="shared" si="6"/>
        <v>49</v>
      </c>
      <c r="D41" s="213">
        <f t="shared" si="6"/>
        <v>44</v>
      </c>
      <c r="E41" s="213">
        <f t="shared" si="6"/>
        <v>39</v>
      </c>
      <c r="F41" s="212">
        <f>$S$27*$S$23+$S$17</f>
        <v>34</v>
      </c>
      <c r="G41" s="214">
        <f>F41+$S$18</f>
        <v>36</v>
      </c>
      <c r="I41"/>
      <c r="J41"/>
      <c r="K41"/>
      <c r="L41"/>
      <c r="M41"/>
      <c r="N41"/>
      <c r="O41"/>
    </row>
    <row r="42" spans="1:19" ht="17.25" thickBot="1" x14ac:dyDescent="0.35">
      <c r="A42" s="182" t="s">
        <v>15</v>
      </c>
      <c r="B42" s="216">
        <f t="shared" si="6"/>
        <v>50</v>
      </c>
      <c r="C42" s="213">
        <f t="shared" si="6"/>
        <v>45</v>
      </c>
      <c r="D42" s="213">
        <f t="shared" si="6"/>
        <v>40</v>
      </c>
      <c r="E42" s="213">
        <f t="shared" si="6"/>
        <v>35</v>
      </c>
      <c r="F42" s="215">
        <f>$S$24</f>
        <v>30</v>
      </c>
      <c r="G42" s="214">
        <f>F42+$S$18</f>
        <v>32</v>
      </c>
      <c r="I42"/>
      <c r="J42"/>
      <c r="K42"/>
      <c r="L42"/>
      <c r="M42"/>
      <c r="N42"/>
      <c r="O42"/>
    </row>
    <row r="43" spans="1:19" x14ac:dyDescent="0.3">
      <c r="A43" s="182" t="s">
        <v>16</v>
      </c>
      <c r="B43" s="216">
        <f t="shared" si="6"/>
        <v>35</v>
      </c>
      <c r="C43" s="213">
        <f t="shared" si="6"/>
        <v>30</v>
      </c>
      <c r="D43" s="213">
        <f t="shared" si="6"/>
        <v>25</v>
      </c>
      <c r="E43" s="213">
        <f t="shared" si="6"/>
        <v>20</v>
      </c>
      <c r="F43" s="213">
        <f>G43+$S$19</f>
        <v>15</v>
      </c>
      <c r="G43" s="209">
        <f>$S$17</f>
        <v>10</v>
      </c>
      <c r="I43"/>
      <c r="J43"/>
      <c r="K43"/>
      <c r="L43"/>
      <c r="M43"/>
      <c r="N43"/>
      <c r="O43"/>
    </row>
    <row r="44" spans="1:19" x14ac:dyDescent="0.3">
      <c r="A44" s="182" t="s">
        <v>17</v>
      </c>
      <c r="B44" s="216">
        <f t="shared" si="6"/>
        <v>59</v>
      </c>
      <c r="C44" s="213">
        <f t="shared" si="6"/>
        <v>54</v>
      </c>
      <c r="D44" s="213">
        <f t="shared" si="6"/>
        <v>49</v>
      </c>
      <c r="E44" s="213">
        <f t="shared" si="6"/>
        <v>44</v>
      </c>
      <c r="F44" s="213">
        <f>G44+$S$19</f>
        <v>39</v>
      </c>
      <c r="G44" s="212">
        <f>$S$27*$S$23+$S$17</f>
        <v>34</v>
      </c>
      <c r="I44"/>
      <c r="J44"/>
      <c r="K44"/>
      <c r="L44"/>
      <c r="M44"/>
      <c r="N44"/>
      <c r="O44"/>
    </row>
    <row r="45" spans="1:19" ht="17.25" thickBot="1" x14ac:dyDescent="0.35">
      <c r="A45" s="182" t="s">
        <v>18</v>
      </c>
      <c r="B45" s="218">
        <f t="shared" si="6"/>
        <v>55</v>
      </c>
      <c r="C45" s="219">
        <f t="shared" si="6"/>
        <v>50</v>
      </c>
      <c r="D45" s="219">
        <f t="shared" si="6"/>
        <v>45</v>
      </c>
      <c r="E45" s="219">
        <f t="shared" si="6"/>
        <v>40</v>
      </c>
      <c r="F45" s="219">
        <f>G45+$S$19</f>
        <v>35</v>
      </c>
      <c r="G45" s="215">
        <f>$S$24</f>
        <v>30</v>
      </c>
      <c r="I45"/>
      <c r="J45"/>
      <c r="K45"/>
      <c r="L45"/>
      <c r="M45"/>
      <c r="N45"/>
      <c r="O45"/>
    </row>
    <row r="46" spans="1:19" x14ac:dyDescent="0.3">
      <c r="I46"/>
      <c r="J46"/>
      <c r="K46"/>
      <c r="L46"/>
      <c r="M46"/>
      <c r="N46"/>
      <c r="O46"/>
    </row>
  </sheetData>
  <conditionalFormatting sqref="B4:G21">
    <cfRule type="cellIs" dxfId="1" priority="2" operator="greaterThan">
      <formula>0</formula>
    </cfRule>
  </conditionalFormatting>
  <conditionalFormatting sqref="H4:H21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D160-500A-4877-80AA-A873FEC5F8F6}">
  <sheetPr codeName="Sheet7">
    <pageSetUpPr fitToPage="1"/>
  </sheetPr>
  <dimension ref="A1:P27"/>
  <sheetViews>
    <sheetView zoomScale="120" workbookViewId="0">
      <selection activeCell="E19" sqref="E19"/>
    </sheetView>
  </sheetViews>
  <sheetFormatPr defaultRowHeight="12.75" x14ac:dyDescent="0.2"/>
  <cols>
    <col min="1" max="1" width="9.28515625" bestFit="1" customWidth="1"/>
    <col min="2" max="2" width="8" bestFit="1" customWidth="1"/>
    <col min="3" max="3" width="13.7109375" customWidth="1"/>
    <col min="4" max="4" width="14.42578125" bestFit="1" customWidth="1"/>
    <col min="5" max="5" width="13" bestFit="1" customWidth="1"/>
    <col min="6" max="7" width="12.7109375" bestFit="1" customWidth="1"/>
    <col min="8" max="8" width="11.7109375" bestFit="1" customWidth="1"/>
    <col min="9" max="9" width="12.42578125" bestFit="1" customWidth="1"/>
    <col min="10" max="10" width="9.28515625" bestFit="1" customWidth="1"/>
    <col min="11" max="12" width="9.28515625" customWidth="1"/>
    <col min="13" max="13" width="10" customWidth="1"/>
    <col min="14" max="16" width="13.5703125" customWidth="1"/>
  </cols>
  <sheetData>
    <row r="1" spans="1:16" ht="13.5" thickBot="1" x14ac:dyDescent="0.25">
      <c r="A1" s="29" t="s">
        <v>53</v>
      </c>
      <c r="B1" s="3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</row>
    <row r="2" spans="1:16" ht="18.75" customHeight="1" x14ac:dyDescent="0.25">
      <c r="A2" s="232" t="s">
        <v>0</v>
      </c>
      <c r="B2" s="33" t="s">
        <v>54</v>
      </c>
      <c r="C2" s="27" t="s">
        <v>55</v>
      </c>
      <c r="D2" s="27" t="s">
        <v>65</v>
      </c>
      <c r="E2" s="27" t="s">
        <v>57</v>
      </c>
      <c r="F2" s="27" t="s">
        <v>60</v>
      </c>
      <c r="G2" s="27" t="s">
        <v>56</v>
      </c>
      <c r="H2" s="27" t="s">
        <v>58</v>
      </c>
      <c r="I2" s="27" t="s">
        <v>59</v>
      </c>
      <c r="J2" s="232" t="s">
        <v>46</v>
      </c>
      <c r="K2" s="77" t="s">
        <v>80</v>
      </c>
      <c r="L2" s="77" t="s">
        <v>77</v>
      </c>
      <c r="M2" s="230" t="s">
        <v>61</v>
      </c>
      <c r="N2" s="230" t="s">
        <v>62</v>
      </c>
      <c r="O2" s="230" t="s">
        <v>63</v>
      </c>
      <c r="P2" s="5"/>
    </row>
    <row r="3" spans="1:16" ht="13.5" thickBot="1" x14ac:dyDescent="0.25">
      <c r="A3" s="233"/>
      <c r="B3" s="34" t="s">
        <v>52</v>
      </c>
      <c r="C3" s="26" t="s">
        <v>51</v>
      </c>
      <c r="D3" s="26" t="s">
        <v>64</v>
      </c>
      <c r="E3" s="26" t="s">
        <v>49</v>
      </c>
      <c r="F3" s="26" t="s">
        <v>25</v>
      </c>
      <c r="G3" s="26" t="s">
        <v>50</v>
      </c>
      <c r="H3" s="26" t="s">
        <v>48</v>
      </c>
      <c r="I3" s="26" t="s">
        <v>47</v>
      </c>
      <c r="J3" s="233"/>
      <c r="K3" s="78"/>
      <c r="L3" s="78"/>
      <c r="M3" s="231"/>
      <c r="N3" s="231"/>
      <c r="O3" s="231"/>
    </row>
    <row r="4" spans="1:16" x14ac:dyDescent="0.2">
      <c r="A4" s="41">
        <v>0</v>
      </c>
      <c r="B4" s="42">
        <v>80</v>
      </c>
      <c r="C4" s="42">
        <v>0</v>
      </c>
      <c r="D4" s="42"/>
      <c r="E4" s="42">
        <v>0</v>
      </c>
      <c r="F4" s="42">
        <v>0</v>
      </c>
      <c r="G4" s="43"/>
      <c r="H4" s="42">
        <v>1000</v>
      </c>
      <c r="I4" s="42">
        <v>0</v>
      </c>
      <c r="J4" s="42"/>
      <c r="K4" s="44"/>
      <c r="L4" s="44"/>
      <c r="M4" s="44"/>
      <c r="N4" s="42"/>
      <c r="O4" s="45"/>
    </row>
    <row r="5" spans="1:16" x14ac:dyDescent="0.2">
      <c r="A5" s="31">
        <v>1</v>
      </c>
      <c r="B5" s="35">
        <v>0</v>
      </c>
      <c r="C5" s="24">
        <v>0</v>
      </c>
      <c r="D5" s="24">
        <v>14588.235294117647</v>
      </c>
      <c r="E5" s="24">
        <v>911.76470588235293</v>
      </c>
      <c r="F5" s="24">
        <v>0</v>
      </c>
      <c r="G5" s="46">
        <v>364.70588235294122</v>
      </c>
      <c r="H5" s="23">
        <f>MAX(H4-I4+SUM(D5:F5)-J5,0)</f>
        <v>14900</v>
      </c>
      <c r="I5" s="23">
        <f>MAX(J5+I4-H4-SUM(D5:F5),0)</f>
        <v>0</v>
      </c>
      <c r="J5" s="28">
        <v>1600</v>
      </c>
      <c r="K5" s="79">
        <f>B4+B5-C5-G5</f>
        <v>-284.70588235294122</v>
      </c>
      <c r="L5" s="79">
        <f>H4+SUM(D5:F5)-I4-J5-H5+I5</f>
        <v>0</v>
      </c>
      <c r="M5" s="3">
        <f>D5-40*G5</f>
        <v>0</v>
      </c>
      <c r="N5" s="25">
        <f>E5-10*G5/4</f>
        <v>0</v>
      </c>
      <c r="O5" s="38">
        <f t="shared" ref="O5:O10" si="0">N5-F5</f>
        <v>0</v>
      </c>
      <c r="P5" s="20"/>
    </row>
    <row r="6" spans="1:16" x14ac:dyDescent="0.2">
      <c r="A6" s="31">
        <v>2</v>
      </c>
      <c r="B6" s="35">
        <v>0</v>
      </c>
      <c r="C6" s="24">
        <v>0</v>
      </c>
      <c r="D6" s="24">
        <v>0</v>
      </c>
      <c r="E6" s="24">
        <v>0</v>
      </c>
      <c r="F6" s="24">
        <v>0</v>
      </c>
      <c r="G6" s="46">
        <v>0</v>
      </c>
      <c r="H6" s="23">
        <f t="shared" ref="H6:H10" si="1">MAX(H5-I5+SUM(D6:F6)-J6,0)</f>
        <v>11900</v>
      </c>
      <c r="I6" s="23">
        <f t="shared" ref="I6:I10" si="2">MAX(J6+I5-H5-SUM(D6:F6),0)</f>
        <v>0</v>
      </c>
      <c r="J6" s="28">
        <v>3000</v>
      </c>
      <c r="K6" s="79">
        <f>B5+B6-C6-G6</f>
        <v>0</v>
      </c>
      <c r="L6" s="79">
        <f t="shared" ref="L6:L10" si="3">H5+SUM(D6:F6)-I5-J6-H6+I6</f>
        <v>0</v>
      </c>
      <c r="M6" s="3">
        <f t="shared" ref="M6:M10" si="4">D6-40*G6</f>
        <v>0</v>
      </c>
      <c r="N6" s="25">
        <f t="shared" ref="N6:N10" si="5">E6-10*G6/4</f>
        <v>0</v>
      </c>
      <c r="O6" s="38">
        <f t="shared" si="0"/>
        <v>0</v>
      </c>
      <c r="P6" s="20"/>
    </row>
    <row r="7" spans="1:16" x14ac:dyDescent="0.2">
      <c r="A7" s="31">
        <v>3</v>
      </c>
      <c r="B7" s="35">
        <v>0</v>
      </c>
      <c r="C7" s="24">
        <v>0</v>
      </c>
      <c r="D7" s="24">
        <v>0</v>
      </c>
      <c r="E7" s="24">
        <v>0</v>
      </c>
      <c r="F7" s="24">
        <v>0</v>
      </c>
      <c r="G7" s="46">
        <v>0</v>
      </c>
      <c r="H7" s="23">
        <f t="shared" si="1"/>
        <v>8700</v>
      </c>
      <c r="I7" s="23">
        <f t="shared" si="2"/>
        <v>0</v>
      </c>
      <c r="J7" s="28">
        <v>3200</v>
      </c>
      <c r="K7" s="79">
        <f t="shared" ref="K7:K10" si="6">B6+B7-C7-G7</f>
        <v>0</v>
      </c>
      <c r="L7" s="79">
        <f t="shared" si="3"/>
        <v>0</v>
      </c>
      <c r="M7" s="3">
        <f t="shared" si="4"/>
        <v>0</v>
      </c>
      <c r="N7" s="25">
        <f t="shared" si="5"/>
        <v>0</v>
      </c>
      <c r="O7" s="38">
        <f t="shared" si="0"/>
        <v>0</v>
      </c>
      <c r="P7" s="20"/>
    </row>
    <row r="8" spans="1:16" x14ac:dyDescent="0.2">
      <c r="A8" s="31">
        <v>4</v>
      </c>
      <c r="B8" s="35">
        <v>0</v>
      </c>
      <c r="C8" s="24">
        <v>0</v>
      </c>
      <c r="D8" s="24">
        <v>0</v>
      </c>
      <c r="E8" s="24">
        <v>0</v>
      </c>
      <c r="F8" s="24">
        <v>0</v>
      </c>
      <c r="G8" s="46">
        <v>0</v>
      </c>
      <c r="H8" s="23">
        <f t="shared" si="1"/>
        <v>4900</v>
      </c>
      <c r="I8" s="23">
        <f t="shared" si="2"/>
        <v>0</v>
      </c>
      <c r="J8" s="28">
        <v>3800</v>
      </c>
      <c r="K8" s="79">
        <f t="shared" si="6"/>
        <v>0</v>
      </c>
      <c r="L8" s="79">
        <f t="shared" si="3"/>
        <v>0</v>
      </c>
      <c r="M8" s="3">
        <f t="shared" si="4"/>
        <v>0</v>
      </c>
      <c r="N8" s="25">
        <f t="shared" si="5"/>
        <v>0</v>
      </c>
      <c r="O8" s="38">
        <f t="shared" si="0"/>
        <v>0</v>
      </c>
      <c r="P8" s="20"/>
    </row>
    <row r="9" spans="1:16" x14ac:dyDescent="0.2">
      <c r="A9" s="31">
        <v>5</v>
      </c>
      <c r="B9" s="35">
        <v>0</v>
      </c>
      <c r="C9" s="24">
        <v>0</v>
      </c>
      <c r="D9" s="24">
        <v>0</v>
      </c>
      <c r="E9" s="24">
        <v>0</v>
      </c>
      <c r="F9" s="24">
        <v>0</v>
      </c>
      <c r="G9" s="46">
        <v>0</v>
      </c>
      <c r="H9" s="23">
        <f t="shared" si="1"/>
        <v>2700</v>
      </c>
      <c r="I9" s="23">
        <f t="shared" si="2"/>
        <v>0</v>
      </c>
      <c r="J9" s="28">
        <v>2200</v>
      </c>
      <c r="K9" s="79">
        <f t="shared" si="6"/>
        <v>0</v>
      </c>
      <c r="L9" s="79">
        <f t="shared" si="3"/>
        <v>0</v>
      </c>
      <c r="M9" s="3">
        <f t="shared" si="4"/>
        <v>0</v>
      </c>
      <c r="N9" s="25">
        <f t="shared" si="5"/>
        <v>0</v>
      </c>
      <c r="O9" s="38">
        <f t="shared" si="0"/>
        <v>0</v>
      </c>
      <c r="P9" s="20"/>
    </row>
    <row r="10" spans="1:16" ht="13.5" thickBot="1" x14ac:dyDescent="0.25">
      <c r="A10" s="32">
        <v>6</v>
      </c>
      <c r="B10" s="36">
        <v>0</v>
      </c>
      <c r="C10" s="22">
        <v>0</v>
      </c>
      <c r="D10" s="22">
        <v>0</v>
      </c>
      <c r="E10" s="22">
        <v>0</v>
      </c>
      <c r="F10" s="22">
        <v>0</v>
      </c>
      <c r="G10" s="47">
        <v>0</v>
      </c>
      <c r="H10" s="23">
        <f t="shared" si="1"/>
        <v>500</v>
      </c>
      <c r="I10" s="23">
        <f t="shared" si="2"/>
        <v>0</v>
      </c>
      <c r="J10" s="39">
        <v>2200</v>
      </c>
      <c r="K10" s="79">
        <f t="shared" si="6"/>
        <v>0</v>
      </c>
      <c r="L10" s="79">
        <f t="shared" si="3"/>
        <v>0</v>
      </c>
      <c r="M10" s="3">
        <f t="shared" si="4"/>
        <v>0</v>
      </c>
      <c r="N10" s="25">
        <f t="shared" si="5"/>
        <v>0</v>
      </c>
      <c r="O10" s="40">
        <f t="shared" si="0"/>
        <v>0</v>
      </c>
      <c r="P10" s="20"/>
    </row>
    <row r="11" spans="1:16" ht="3.75" customHeight="1" x14ac:dyDescent="0.2">
      <c r="B11" s="20"/>
      <c r="C11" s="20"/>
      <c r="D11" s="20"/>
      <c r="E11" s="20"/>
      <c r="F11" s="20"/>
      <c r="G11" s="20"/>
      <c r="H11" s="20"/>
    </row>
    <row r="12" spans="1:16" x14ac:dyDescent="0.2">
      <c r="B12" s="20">
        <f>SUM(B5:B10)</f>
        <v>0</v>
      </c>
      <c r="C12" s="20">
        <f t="shared" ref="C12:J12" si="7">SUM(C5:C10)</f>
        <v>0</v>
      </c>
      <c r="D12" s="20">
        <f t="shared" si="7"/>
        <v>14588.235294117647</v>
      </c>
      <c r="E12" s="20">
        <f t="shared" si="7"/>
        <v>911.76470588235293</v>
      </c>
      <c r="F12" s="20">
        <f t="shared" si="7"/>
        <v>0</v>
      </c>
      <c r="G12" s="20">
        <f t="shared" si="7"/>
        <v>364.70588235294122</v>
      </c>
      <c r="H12" s="20">
        <f t="shared" si="7"/>
        <v>43600</v>
      </c>
      <c r="I12" s="20">
        <f t="shared" si="7"/>
        <v>0</v>
      </c>
      <c r="J12" s="20">
        <f t="shared" si="7"/>
        <v>16000</v>
      </c>
      <c r="K12" s="20"/>
      <c r="L12" s="20"/>
    </row>
    <row r="13" spans="1:16" ht="12.75" customHeight="1" x14ac:dyDescent="0.2">
      <c r="B13" s="80">
        <v>300</v>
      </c>
      <c r="C13" s="80">
        <v>500</v>
      </c>
      <c r="D13" s="80">
        <v>10</v>
      </c>
      <c r="E13" s="80">
        <v>34</v>
      </c>
      <c r="F13" s="80">
        <v>30</v>
      </c>
      <c r="G13" s="80">
        <v>640</v>
      </c>
      <c r="H13" s="80">
        <v>2</v>
      </c>
      <c r="I13" s="80">
        <v>5</v>
      </c>
      <c r="K13">
        <f>0</f>
        <v>0</v>
      </c>
      <c r="M13" s="5" t="s">
        <v>79</v>
      </c>
      <c r="N13" s="5" t="s">
        <v>78</v>
      </c>
    </row>
    <row r="14" spans="1:16" ht="13.5" thickBot="1" x14ac:dyDescent="0.25">
      <c r="D14" s="72"/>
      <c r="F14" s="30"/>
    </row>
    <row r="15" spans="1:16" ht="13.5" thickBot="1" x14ac:dyDescent="0.25">
      <c r="A15" s="6" t="s">
        <v>45</v>
      </c>
      <c r="B15" s="20"/>
      <c r="C15" s="21">
        <f>SUMPRODUCT(B12:I12,B13:I13)</f>
        <v>497494.11764705885</v>
      </c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6" ht="15.75" customHeight="1" x14ac:dyDescent="0.2">
      <c r="D16" s="72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4:14" x14ac:dyDescent="0.2">
      <c r="D17" s="72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4:14" x14ac:dyDescent="0.2"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4:14" x14ac:dyDescent="0.2"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4:14" x14ac:dyDescent="0.2"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4:14" x14ac:dyDescent="0.2"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4:14" x14ac:dyDescent="0.2">
      <c r="E22" s="74"/>
      <c r="F22" s="74"/>
      <c r="G22" s="74"/>
      <c r="H22" s="75"/>
      <c r="I22" s="74"/>
      <c r="J22" s="74"/>
      <c r="K22" s="74"/>
      <c r="L22" s="74"/>
      <c r="M22" s="74"/>
      <c r="N22" s="74"/>
    </row>
    <row r="23" spans="4:14" x14ac:dyDescent="0.2"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4:14" x14ac:dyDescent="0.2"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4:14" x14ac:dyDescent="0.2">
      <c r="E25" s="74"/>
      <c r="F25" s="74"/>
      <c r="G25" s="74"/>
      <c r="H25" s="74"/>
      <c r="I25" s="75"/>
      <c r="J25" s="74"/>
      <c r="K25" s="74"/>
      <c r="L25" s="74"/>
      <c r="M25" s="74"/>
      <c r="N25" s="74"/>
    </row>
    <row r="26" spans="4:14" x14ac:dyDescent="0.2">
      <c r="E26" s="74"/>
      <c r="F26" s="74"/>
      <c r="G26" s="74"/>
      <c r="H26" s="74"/>
      <c r="I26" s="75"/>
      <c r="J26" s="74"/>
      <c r="K26" s="74"/>
      <c r="L26" s="74"/>
      <c r="M26" s="74"/>
      <c r="N26" s="74"/>
    </row>
    <row r="27" spans="4:14" x14ac:dyDescent="0.2">
      <c r="E27" s="74"/>
      <c r="F27" s="74"/>
      <c r="G27" s="74"/>
      <c r="H27" s="74"/>
      <c r="I27" s="76"/>
      <c r="J27" s="74"/>
      <c r="K27" s="74"/>
      <c r="L27" s="74"/>
      <c r="M27" s="74"/>
      <c r="N27" s="74"/>
    </row>
  </sheetData>
  <mergeCells count="5">
    <mergeCell ref="O2:O3"/>
    <mergeCell ref="N2:N3"/>
    <mergeCell ref="J2:J3"/>
    <mergeCell ref="A2:A3"/>
    <mergeCell ref="M2:M3"/>
  </mergeCells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4EB8-2393-45D6-B02A-62CD72E8FA18}">
  <sheetPr codeName="Sheet8">
    <pageSetUpPr fitToPage="1"/>
  </sheetPr>
  <dimension ref="A1:P21"/>
  <sheetViews>
    <sheetView showGridLines="0" zoomScale="120" workbookViewId="0">
      <selection activeCell="D5" sqref="D5"/>
    </sheetView>
  </sheetViews>
  <sheetFormatPr defaultColWidth="9.140625" defaultRowHeight="12.75" x14ac:dyDescent="0.2"/>
  <cols>
    <col min="1" max="1" width="9.28515625" style="49" bestFit="1" customWidth="1"/>
    <col min="2" max="2" width="8" style="49" bestFit="1" customWidth="1"/>
    <col min="3" max="3" width="10.28515625" style="49" bestFit="1" customWidth="1"/>
    <col min="4" max="4" width="13" style="49" bestFit="1" customWidth="1"/>
    <col min="5" max="5" width="9.7109375" style="49" bestFit="1" customWidth="1"/>
    <col min="6" max="6" width="10" style="49" customWidth="1"/>
    <col min="7" max="7" width="11.7109375" style="49" bestFit="1" customWidth="1"/>
    <col min="8" max="8" width="12.42578125" style="49" bestFit="1" customWidth="1"/>
    <col min="9" max="9" width="11.42578125" style="49" bestFit="1" customWidth="1"/>
    <col min="10" max="10" width="9.28515625" style="49" bestFit="1" customWidth="1"/>
    <col min="11" max="11" width="5.42578125" style="49" hidden="1" customWidth="1"/>
    <col min="12" max="12" width="1" style="49" hidden="1" customWidth="1"/>
    <col min="13" max="13" width="12.140625" style="49" customWidth="1"/>
    <col min="14" max="16384" width="9.140625" style="49"/>
  </cols>
  <sheetData>
    <row r="1" spans="1:16" ht="13.5" thickBot="1" x14ac:dyDescent="0.25">
      <c r="A1" s="48" t="s">
        <v>53</v>
      </c>
    </row>
    <row r="2" spans="1:16" ht="18.75" thickBot="1" x14ac:dyDescent="0.3">
      <c r="A2" s="50"/>
      <c r="B2" s="51" t="s">
        <v>66</v>
      </c>
      <c r="C2" s="51" t="s">
        <v>67</v>
      </c>
      <c r="D2" s="51" t="s">
        <v>68</v>
      </c>
      <c r="E2" s="51" t="s">
        <v>69</v>
      </c>
      <c r="F2" s="51" t="s">
        <v>70</v>
      </c>
      <c r="G2" s="51" t="s">
        <v>71</v>
      </c>
      <c r="H2" s="51" t="s">
        <v>72</v>
      </c>
      <c r="I2" s="52" t="s">
        <v>73</v>
      </c>
      <c r="M2" s="234" t="s">
        <v>74</v>
      </c>
      <c r="N2" s="49" t="s">
        <v>75</v>
      </c>
      <c r="O2" s="49" t="s">
        <v>48</v>
      </c>
      <c r="P2" s="49" t="s">
        <v>49</v>
      </c>
    </row>
    <row r="3" spans="1:16" ht="13.5" thickBot="1" x14ac:dyDescent="0.25">
      <c r="A3" s="53" t="s">
        <v>0</v>
      </c>
      <c r="B3" s="54" t="s">
        <v>52</v>
      </c>
      <c r="C3" s="54" t="s">
        <v>51</v>
      </c>
      <c r="D3" s="54" t="s">
        <v>50</v>
      </c>
      <c r="E3" s="54" t="s">
        <v>49</v>
      </c>
      <c r="F3" s="54" t="s">
        <v>48</v>
      </c>
      <c r="G3" s="54" t="s">
        <v>47</v>
      </c>
      <c r="H3" s="54" t="s">
        <v>25</v>
      </c>
      <c r="I3" s="55" t="s">
        <v>19</v>
      </c>
      <c r="J3" s="56" t="s">
        <v>46</v>
      </c>
      <c r="K3" s="57" t="s">
        <v>76</v>
      </c>
      <c r="M3" s="235"/>
    </row>
    <row r="4" spans="1:16" ht="13.5" thickBot="1" x14ac:dyDescent="0.25">
      <c r="A4" s="58">
        <v>0</v>
      </c>
      <c r="B4" s="59">
        <v>0</v>
      </c>
      <c r="C4" s="59">
        <v>0</v>
      </c>
      <c r="D4" s="59">
        <v>80</v>
      </c>
      <c r="E4" s="59">
        <v>0</v>
      </c>
      <c r="F4" s="59">
        <v>1000</v>
      </c>
      <c r="G4" s="59">
        <v>0</v>
      </c>
      <c r="H4" s="59">
        <v>0</v>
      </c>
      <c r="I4" s="60"/>
      <c r="J4" s="61"/>
      <c r="K4" s="61"/>
      <c r="M4" s="236"/>
    </row>
    <row r="5" spans="1:16" x14ac:dyDescent="0.2">
      <c r="A5" s="58">
        <v>1</v>
      </c>
      <c r="B5" s="62">
        <v>0</v>
      </c>
      <c r="C5" s="62">
        <v>16</v>
      </c>
      <c r="D5" s="63"/>
      <c r="E5" s="62">
        <v>0</v>
      </c>
      <c r="F5" s="63">
        <v>1959.9999999999998</v>
      </c>
      <c r="G5" s="63">
        <v>0</v>
      </c>
      <c r="H5" s="62">
        <v>0</v>
      </c>
      <c r="I5" s="64">
        <v>2560</v>
      </c>
      <c r="J5" s="65">
        <v>1600</v>
      </c>
      <c r="K5" s="65">
        <f t="shared" ref="K5:K10" si="0">IF($E$18=1,IF(A5=$E$19,$H$17-1,$H$17),$H$17)</f>
        <v>0</v>
      </c>
      <c r="M5" s="66">
        <f>D5-D4-B5+C5</f>
        <v>-64</v>
      </c>
      <c r="N5" s="49">
        <f>40*D5+E5/4-I5</f>
        <v>-2560</v>
      </c>
      <c r="O5" s="67">
        <f>F4+I5+H5-G4-J5-F5+G5</f>
        <v>2.2737367544323206E-13</v>
      </c>
      <c r="P5" s="49">
        <f>E5+10*D5</f>
        <v>0</v>
      </c>
    </row>
    <row r="6" spans="1:16" x14ac:dyDescent="0.2">
      <c r="A6" s="58">
        <v>2</v>
      </c>
      <c r="B6" s="62">
        <v>0</v>
      </c>
      <c r="C6" s="62">
        <v>0</v>
      </c>
      <c r="D6" s="63"/>
      <c r="E6" s="62">
        <v>0</v>
      </c>
      <c r="F6" s="63">
        <v>1519.9999999999998</v>
      </c>
      <c r="G6" s="63">
        <v>0</v>
      </c>
      <c r="H6" s="62">
        <v>0</v>
      </c>
      <c r="I6" s="64">
        <v>2560</v>
      </c>
      <c r="J6" s="65">
        <v>3000</v>
      </c>
      <c r="K6" s="65">
        <f t="shared" si="0"/>
        <v>0</v>
      </c>
      <c r="M6" s="66">
        <f>D6-D5-B6+C6</f>
        <v>0</v>
      </c>
      <c r="N6" s="49">
        <f>40*D6+E6/4-I6</f>
        <v>-2560</v>
      </c>
      <c r="O6" s="67">
        <f t="shared" ref="O6:O10" si="1">F5+I6+H6-G5-J6-F6+G6</f>
        <v>2.2737367544323206E-13</v>
      </c>
      <c r="P6" s="49">
        <f t="shared" ref="P6:P11" si="2">E6+10*D6</f>
        <v>0</v>
      </c>
    </row>
    <row r="7" spans="1:16" x14ac:dyDescent="0.2">
      <c r="A7" s="58">
        <v>3</v>
      </c>
      <c r="B7" s="62">
        <v>0</v>
      </c>
      <c r="C7" s="62">
        <v>0</v>
      </c>
      <c r="D7" s="63"/>
      <c r="E7" s="62">
        <v>0</v>
      </c>
      <c r="F7" s="63">
        <v>879.99999999999977</v>
      </c>
      <c r="G7" s="63">
        <v>0</v>
      </c>
      <c r="H7" s="62">
        <v>0</v>
      </c>
      <c r="I7" s="64">
        <v>2560</v>
      </c>
      <c r="J7" s="65">
        <v>3200</v>
      </c>
      <c r="K7" s="65">
        <f t="shared" si="0"/>
        <v>0</v>
      </c>
      <c r="M7" s="66">
        <f t="shared" ref="M7:M10" si="3">D7-D6-B7+C7</f>
        <v>0</v>
      </c>
      <c r="N7" s="49">
        <f t="shared" ref="N7:N10" si="4">40*D7+E7/4-I7</f>
        <v>-2560</v>
      </c>
      <c r="O7" s="67">
        <f t="shared" si="1"/>
        <v>2.2737367544323206E-13</v>
      </c>
      <c r="P7" s="49">
        <f t="shared" si="2"/>
        <v>0</v>
      </c>
    </row>
    <row r="8" spans="1:16" x14ac:dyDescent="0.2">
      <c r="A8" s="58">
        <v>4</v>
      </c>
      <c r="B8" s="62">
        <v>0</v>
      </c>
      <c r="C8" s="62">
        <v>0</v>
      </c>
      <c r="D8" s="63"/>
      <c r="E8" s="62">
        <v>0</v>
      </c>
      <c r="F8" s="63">
        <v>0</v>
      </c>
      <c r="G8" s="63">
        <v>219.99999999999969</v>
      </c>
      <c r="H8" s="62">
        <v>140.00000000000097</v>
      </c>
      <c r="I8" s="64">
        <v>2560</v>
      </c>
      <c r="J8" s="65">
        <v>3800</v>
      </c>
      <c r="K8" s="65">
        <f t="shared" si="0"/>
        <v>0</v>
      </c>
      <c r="M8" s="66">
        <f t="shared" si="3"/>
        <v>0</v>
      </c>
      <c r="N8" s="49">
        <f t="shared" si="4"/>
        <v>-2560</v>
      </c>
      <c r="O8" s="67">
        <f t="shared" si="1"/>
        <v>5.9685589803848416E-13</v>
      </c>
      <c r="P8" s="49">
        <f t="shared" si="2"/>
        <v>0</v>
      </c>
    </row>
    <row r="9" spans="1:16" x14ac:dyDescent="0.2">
      <c r="A9" s="58">
        <v>5</v>
      </c>
      <c r="B9" s="62">
        <v>0</v>
      </c>
      <c r="C9" s="62">
        <v>0</v>
      </c>
      <c r="D9" s="63"/>
      <c r="E9" s="62">
        <v>0</v>
      </c>
      <c r="F9" s="63">
        <v>140.00000000000011</v>
      </c>
      <c r="G9" s="63">
        <v>0</v>
      </c>
      <c r="H9" s="62">
        <v>0</v>
      </c>
      <c r="I9" s="64">
        <v>2560</v>
      </c>
      <c r="J9" s="65">
        <v>2200</v>
      </c>
      <c r="K9" s="65">
        <f t="shared" si="0"/>
        <v>0</v>
      </c>
      <c r="M9" s="66">
        <f t="shared" si="3"/>
        <v>0</v>
      </c>
      <c r="N9" s="49">
        <f t="shared" si="4"/>
        <v>-2560</v>
      </c>
      <c r="O9" s="67">
        <f t="shared" si="1"/>
        <v>3.4106051316484809E-13</v>
      </c>
      <c r="P9" s="49">
        <f t="shared" si="2"/>
        <v>0</v>
      </c>
    </row>
    <row r="10" spans="1:16" ht="13.5" thickBot="1" x14ac:dyDescent="0.25">
      <c r="A10" s="68">
        <v>6</v>
      </c>
      <c r="B10" s="69">
        <v>0</v>
      </c>
      <c r="C10" s="69">
        <v>0</v>
      </c>
      <c r="D10" s="63"/>
      <c r="E10" s="69">
        <v>0</v>
      </c>
      <c r="F10" s="63">
        <v>500</v>
      </c>
      <c r="G10" s="63">
        <v>0</v>
      </c>
      <c r="H10" s="69">
        <v>0</v>
      </c>
      <c r="I10" s="64">
        <v>2560</v>
      </c>
      <c r="J10" s="70">
        <v>2200</v>
      </c>
      <c r="K10" s="70">
        <f t="shared" si="0"/>
        <v>0</v>
      </c>
      <c r="M10" s="66">
        <f t="shared" si="3"/>
        <v>0</v>
      </c>
      <c r="N10" s="49">
        <f t="shared" si="4"/>
        <v>-2560</v>
      </c>
      <c r="O10" s="67">
        <f t="shared" si="1"/>
        <v>0</v>
      </c>
      <c r="P10" s="49">
        <f t="shared" si="2"/>
        <v>0</v>
      </c>
    </row>
    <row r="11" spans="1:16" ht="3.75" customHeight="1" x14ac:dyDescent="0.2">
      <c r="B11" s="71"/>
      <c r="C11" s="71"/>
      <c r="D11" s="71"/>
      <c r="E11" s="71"/>
      <c r="F11" s="71"/>
      <c r="G11" s="71"/>
      <c r="H11" s="71"/>
      <c r="I11" s="71"/>
      <c r="P11" s="49">
        <f t="shared" si="2"/>
        <v>0</v>
      </c>
    </row>
    <row r="13" spans="1:16" x14ac:dyDescent="0.2">
      <c r="B13" s="71">
        <f>SUM(B5:B10)</f>
        <v>0</v>
      </c>
      <c r="C13" s="71">
        <f t="shared" ref="C13:I13" si="5">SUM(C5:C10)</f>
        <v>16</v>
      </c>
      <c r="D13" s="71">
        <f t="shared" si="5"/>
        <v>0</v>
      </c>
      <c r="E13" s="71">
        <f t="shared" si="5"/>
        <v>0</v>
      </c>
      <c r="F13" s="71">
        <f t="shared" si="5"/>
        <v>4999.9999999999991</v>
      </c>
      <c r="G13" s="71">
        <f t="shared" si="5"/>
        <v>219.99999999999969</v>
      </c>
      <c r="H13" s="71">
        <f t="shared" si="5"/>
        <v>140.00000000000097</v>
      </c>
      <c r="I13" s="71">
        <f t="shared" si="5"/>
        <v>15360</v>
      </c>
    </row>
    <row r="14" spans="1:16" x14ac:dyDescent="0.2">
      <c r="B14" s="49">
        <v>300</v>
      </c>
      <c r="C14" s="49">
        <v>500</v>
      </c>
      <c r="D14" s="49">
        <v>640</v>
      </c>
      <c r="E14" s="49">
        <v>24</v>
      </c>
      <c r="F14" s="49">
        <v>2</v>
      </c>
      <c r="G14" s="49">
        <v>5</v>
      </c>
      <c r="H14" s="49">
        <v>30</v>
      </c>
      <c r="I14" s="49">
        <v>10</v>
      </c>
    </row>
    <row r="15" spans="1:16" ht="13.5" thickBot="1" x14ac:dyDescent="0.25"/>
    <row r="16" spans="1:16" ht="13.5" thickBot="1" x14ac:dyDescent="0.25">
      <c r="A16" s="48" t="s">
        <v>45</v>
      </c>
      <c r="B16" s="71"/>
      <c r="C16" s="21">
        <f>SUMPRODUCT(B13:I13,B14:I14)</f>
        <v>176900.00000000003</v>
      </c>
      <c r="D16" s="71"/>
      <c r="E16" s="71"/>
      <c r="F16"/>
      <c r="G16"/>
      <c r="H16"/>
      <c r="I16"/>
    </row>
    <row r="17" spans="1:10" ht="12.75" customHeight="1" x14ac:dyDescent="0.2">
      <c r="E17" s="49" t="e">
        <f ca="1">_xlfn.FORMULATEXT(F5)</f>
        <v>#N/A</v>
      </c>
      <c r="J17" s="49" t="e">
        <f ca="1">_xlfn.FORMULATEXT(G5)</f>
        <v>#N/A</v>
      </c>
    </row>
    <row r="18" spans="1:10" x14ac:dyDescent="0.2">
      <c r="A18"/>
      <c r="B18"/>
      <c r="C18"/>
      <c r="D18"/>
      <c r="E18"/>
      <c r="F18"/>
      <c r="G18"/>
      <c r="H18"/>
      <c r="I18"/>
      <c r="J18"/>
    </row>
    <row r="19" spans="1:10" x14ac:dyDescent="0.2">
      <c r="A19"/>
      <c r="B19"/>
      <c r="C19"/>
      <c r="D19"/>
      <c r="E19"/>
      <c r="F19"/>
      <c r="G19"/>
      <c r="H19"/>
      <c r="I19"/>
      <c r="J19"/>
    </row>
    <row r="20" spans="1:10" ht="15.75" customHeight="1" x14ac:dyDescent="0.2">
      <c r="A20"/>
      <c r="B20"/>
      <c r="C20"/>
      <c r="D20"/>
      <c r="E20"/>
      <c r="G20"/>
      <c r="H20"/>
      <c r="I20"/>
      <c r="J20"/>
    </row>
    <row r="21" spans="1:10" x14ac:dyDescent="0.2">
      <c r="A21"/>
      <c r="B21"/>
      <c r="C21"/>
      <c r="D21"/>
      <c r="E21"/>
      <c r="F21"/>
      <c r="G21"/>
      <c r="H21"/>
      <c r="I21"/>
      <c r="J21"/>
    </row>
  </sheetData>
  <mergeCells count="1">
    <mergeCell ref="M2:M4"/>
  </mergeCells>
  <pageMargins left="0.75" right="0.75" top="1" bottom="1" header="0.5" footer="0.5"/>
  <pageSetup scale="76" orientation="portrait" horizontalDpi="300" verticalDpi="300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FFCF-D348-4504-B2A9-51EA3CE99900}">
  <sheetPr codeName="Sheet10"/>
  <dimension ref="A1:B26"/>
  <sheetViews>
    <sheetView showGridLines="0" zoomScale="130" workbookViewId="0">
      <selection activeCell="B17" sqref="B17"/>
    </sheetView>
  </sheetViews>
  <sheetFormatPr defaultRowHeight="12.75" x14ac:dyDescent="0.2"/>
  <cols>
    <col min="1" max="1" width="33.5703125" customWidth="1"/>
    <col min="2" max="2" width="17" bestFit="1" customWidth="1"/>
  </cols>
  <sheetData>
    <row r="1" spans="1:2" ht="15" x14ac:dyDescent="0.2">
      <c r="A1" s="19" t="s">
        <v>44</v>
      </c>
    </row>
    <row r="3" spans="1:2" x14ac:dyDescent="0.2">
      <c r="A3" s="6" t="s">
        <v>42</v>
      </c>
    </row>
    <row r="4" spans="1:2" ht="13.5" thickBot="1" x14ac:dyDescent="0.25"/>
    <row r="5" spans="1:2" ht="13.5" thickBot="1" x14ac:dyDescent="0.25">
      <c r="A5" s="16" t="s">
        <v>43</v>
      </c>
      <c r="B5" s="15" t="s">
        <v>42</v>
      </c>
    </row>
    <row r="6" spans="1:2" x14ac:dyDescent="0.2">
      <c r="A6" s="10" t="s">
        <v>41</v>
      </c>
      <c r="B6" s="18">
        <v>1600</v>
      </c>
    </row>
    <row r="7" spans="1:2" x14ac:dyDescent="0.2">
      <c r="A7" s="10" t="s">
        <v>40</v>
      </c>
      <c r="B7" s="18">
        <v>3000</v>
      </c>
    </row>
    <row r="8" spans="1:2" x14ac:dyDescent="0.2">
      <c r="A8" s="10" t="s">
        <v>39</v>
      </c>
      <c r="B8" s="18">
        <v>3200</v>
      </c>
    </row>
    <row r="9" spans="1:2" x14ac:dyDescent="0.2">
      <c r="A9" s="10" t="s">
        <v>38</v>
      </c>
      <c r="B9" s="18">
        <v>3800</v>
      </c>
    </row>
    <row r="10" spans="1:2" x14ac:dyDescent="0.2">
      <c r="A10" s="10" t="s">
        <v>37</v>
      </c>
      <c r="B10" s="18">
        <v>2200</v>
      </c>
    </row>
    <row r="11" spans="1:2" ht="13.5" thickBot="1" x14ac:dyDescent="0.25">
      <c r="A11" s="8" t="s">
        <v>36</v>
      </c>
      <c r="B11" s="17">
        <v>2200</v>
      </c>
    </row>
    <row r="12" spans="1:2" x14ac:dyDescent="0.2">
      <c r="A12" s="4"/>
      <c r="B12" s="4"/>
    </row>
    <row r="13" spans="1:2" x14ac:dyDescent="0.2">
      <c r="A13" s="6" t="s">
        <v>24</v>
      </c>
      <c r="B13" s="4"/>
    </row>
    <row r="14" spans="1:2" ht="13.5" thickBot="1" x14ac:dyDescent="0.25">
      <c r="A14" s="4"/>
      <c r="B14" s="4"/>
    </row>
    <row r="15" spans="1:2" ht="13.5" thickBot="1" x14ac:dyDescent="0.25">
      <c r="A15" s="16" t="s">
        <v>35</v>
      </c>
      <c r="B15" s="15" t="s">
        <v>20</v>
      </c>
    </row>
    <row r="16" spans="1:2" x14ac:dyDescent="0.2">
      <c r="A16" s="14" t="s">
        <v>34</v>
      </c>
      <c r="B16" s="13">
        <v>10</v>
      </c>
    </row>
    <row r="17" spans="1:2" x14ac:dyDescent="0.2">
      <c r="A17" s="10" t="s">
        <v>33</v>
      </c>
      <c r="B17" s="9">
        <v>2</v>
      </c>
    </row>
    <row r="18" spans="1:2" x14ac:dyDescent="0.2">
      <c r="A18" s="10" t="s">
        <v>32</v>
      </c>
      <c r="B18" s="11">
        <v>5</v>
      </c>
    </row>
    <row r="19" spans="1:2" x14ac:dyDescent="0.2">
      <c r="A19" s="10" t="s">
        <v>31</v>
      </c>
      <c r="B19" s="11">
        <v>300</v>
      </c>
    </row>
    <row r="20" spans="1:2" x14ac:dyDescent="0.2">
      <c r="A20" s="10" t="s">
        <v>30</v>
      </c>
      <c r="B20" s="11">
        <v>500</v>
      </c>
    </row>
    <row r="21" spans="1:2" x14ac:dyDescent="0.2">
      <c r="A21" s="10" t="s">
        <v>29</v>
      </c>
      <c r="B21" s="12">
        <v>4</v>
      </c>
    </row>
    <row r="22" spans="1:2" x14ac:dyDescent="0.2">
      <c r="A22" s="10" t="s">
        <v>28</v>
      </c>
      <c r="B22" s="11">
        <v>4</v>
      </c>
    </row>
    <row r="23" spans="1:2" x14ac:dyDescent="0.2">
      <c r="A23" s="10" t="s">
        <v>27</v>
      </c>
      <c r="B23" s="9">
        <v>6</v>
      </c>
    </row>
    <row r="24" spans="1:2" ht="13.5" thickBot="1" x14ac:dyDescent="0.25">
      <c r="A24" s="8" t="s">
        <v>26</v>
      </c>
      <c r="B24" s="7">
        <v>30</v>
      </c>
    </row>
    <row r="26" spans="1:2" x14ac:dyDescent="0.2">
      <c r="A26" s="6"/>
    </row>
  </sheetData>
  <pageMargins left="0.75" right="0.75" top="1" bottom="1" header="0.5" footer="0.5"/>
  <pageSetup orientation="portrait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0-AggregateProductData</vt:lpstr>
      <vt:lpstr>1.AggregatePlanBaseLP</vt:lpstr>
      <vt:lpstr>1.AggregatePlanBaseLP (2)</vt:lpstr>
      <vt:lpstr>1b.LP.Sensit-MorVarDem</vt:lpstr>
      <vt:lpstr>1c.LP.SensitLowCostHL</vt:lpstr>
      <vt:lpstr>2.Transportation</vt:lpstr>
      <vt:lpstr>2b.TransSensit-MorVarDem</vt:lpstr>
      <vt:lpstr>2c.TransSensitLowCostHL</vt:lpstr>
      <vt:lpstr>Planning-Ardavan</vt:lpstr>
      <vt:lpstr>Planning-Book</vt:lpstr>
      <vt:lpstr>Tables 8-2, 8-3</vt:lpstr>
      <vt:lpstr>Plan Chart</vt:lpstr>
      <vt:lpstr>'1.AggregatePlanBaseLP'!Print_Area</vt:lpstr>
      <vt:lpstr>'1.AggregatePlanBaseLP (2)'!Print_Area</vt:lpstr>
      <vt:lpstr>'1b.LP.Sensit-MorVarDem'!Print_Area</vt:lpstr>
      <vt:lpstr>'1c.LP.SensitLowCostHL'!Print_Area</vt:lpstr>
      <vt:lpstr>'Planning-Ardavan'!Print_Area</vt:lpstr>
      <vt:lpstr>'Planning-Book'!Print_Area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</dc:creator>
  <cp:lastModifiedBy>Asef-Vaziri, Ardavan</cp:lastModifiedBy>
  <dcterms:created xsi:type="dcterms:W3CDTF">2003-10-08T17:14:45Z</dcterms:created>
  <dcterms:modified xsi:type="dcterms:W3CDTF">2021-09-07T19:50:11Z</dcterms:modified>
</cp:coreProperties>
</file>