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5.AggregatePlanning\"/>
    </mc:Choice>
  </mc:AlternateContent>
  <xr:revisionPtr revIDLastSave="0" documentId="13_ncr:1_{93FDEB44-DFD2-4DE0-9F09-AB0B89C22D3B}" xr6:coauthVersionLast="46" xr6:coauthVersionMax="46" xr10:uidLastSave="{00000000-0000-0000-0000-000000000000}"/>
  <bookViews>
    <workbookView minimized="1" xWindow="4845" yWindow="1665" windowWidth="15360" windowHeight="11385" xr2:uid="{00000000-000D-0000-FFFF-FFFF00000000}"/>
  </bookViews>
  <sheets>
    <sheet name=".1-Base" sheetId="27" r:id="rId1"/>
  </sheets>
  <definedNames>
    <definedName name="_xlnm.Print_Area" localSheetId="0">'.1-Base'!$A$1:$L$18</definedName>
    <definedName name="solver_adj" localSheetId="0" hidden="1">'.1-Base'!$B$5:$I$16</definedName>
    <definedName name="solver_cvg" localSheetId="0" hidden="1">0.001</definedName>
    <definedName name="solver_drv" localSheetId="0" hidden="1">1</definedName>
    <definedName name="solver_dua" localSheetId="0" hidden="1">1</definedName>
    <definedName name="solver_eng" localSheetId="0" hidden="1">2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'.1-Base'!$B$5:$I$16</definedName>
    <definedName name="solver_lhs2" localSheetId="0" hidden="1">'.1-Base'!$E$16</definedName>
    <definedName name="solver_lhs3" localSheetId="0" hidden="1">'.1-Base'!$M$5:$M$16</definedName>
    <definedName name="solver_lhs4" localSheetId="0" hidden="1">'.1-Base'!$N$5:$N$16</definedName>
    <definedName name="solver_lhs5" localSheetId="0" hidden="1">'.1-Base'!$O$5:$O$16</definedName>
    <definedName name="solver_lhs6" localSheetId="0" hidden="1">'.1-Base'!$P$5:$P$16</definedName>
    <definedName name="solver_lhs7" localSheetId="0" hidden="1">'.1-Base'!$P$5:$P$10</definedName>
    <definedName name="solver_lhs8" localSheetId="0" hidden="1">'.1-Base'!$O$5:$O$10</definedName>
    <definedName name="solver_lhs9" localSheetId="0" hidden="1">'.1-Base'!$O$5:$O$10</definedName>
    <definedName name="solver_lin" localSheetId="0" hidden="1">1</definedName>
    <definedName name="solver_mip" localSheetId="0" hidden="1">1000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1000</definedName>
    <definedName name="solver_num" localSheetId="0" hidden="1">6</definedName>
    <definedName name="solver_nwt" localSheetId="0" hidden="1">1</definedName>
    <definedName name="solver_ofx" localSheetId="0" hidden="1">2</definedName>
    <definedName name="solver_opt" localSheetId="0" hidden="1">'.1-Base'!$J$18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el4" localSheetId="0" hidden="1">1</definedName>
    <definedName name="solver_rel5" localSheetId="0" hidden="1">1</definedName>
    <definedName name="solver_rel6" localSheetId="0" hidden="1">2</definedName>
    <definedName name="solver_rel7" localSheetId="0" hidden="1">2</definedName>
    <definedName name="solver_rel8" localSheetId="0" hidden="1">1</definedName>
    <definedName name="solver_rel9" localSheetId="0" hidden="1">1</definedName>
    <definedName name="solver_reo" localSheetId="0" hidden="1">2</definedName>
    <definedName name="solver_rep" localSheetId="0" hidden="1">2</definedName>
    <definedName name="solver_rhs1" localSheetId="0" hidden="1">"integer"</definedName>
    <definedName name="solver_rhs2" localSheetId="0" hidden="1">50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hs7" localSheetId="0" hidden="1">0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p" localSheetId="0" hidden="1">0</definedName>
    <definedName name="solver_tol" localSheetId="0" hidden="1">0.001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7" l="1"/>
  <c r="I4" i="27"/>
  <c r="M5" i="27" s="1"/>
  <c r="J38" i="27"/>
  <c r="K38" i="27"/>
  <c r="J39" i="27"/>
  <c r="K39" i="27"/>
  <c r="K37" i="27"/>
  <c r="J37" i="27"/>
  <c r="G38" i="27"/>
  <c r="F38" i="27"/>
  <c r="C38" i="27"/>
  <c r="B38" i="27"/>
  <c r="G32" i="27"/>
  <c r="E32" i="27"/>
  <c r="I31" i="27"/>
  <c r="G31" i="27"/>
  <c r="D30" i="27"/>
  <c r="E30" i="27" s="1"/>
  <c r="C31" i="27"/>
  <c r="K5" i="27"/>
  <c r="K6" i="27"/>
  <c r="K7" i="27"/>
  <c r="K8" i="27"/>
  <c r="K9" i="27"/>
  <c r="K10" i="27"/>
  <c r="K11" i="27"/>
  <c r="K12" i="27"/>
  <c r="K13" i="27"/>
  <c r="K14" i="27"/>
  <c r="K15" i="27"/>
  <c r="K16" i="27"/>
  <c r="C30" i="27"/>
  <c r="T22" i="27"/>
  <c r="O9" i="27" s="1"/>
  <c r="P5" i="27"/>
  <c r="P6" i="27"/>
  <c r="P7" i="27"/>
  <c r="P8" i="27"/>
  <c r="P9" i="27"/>
  <c r="P10" i="27"/>
  <c r="P11" i="27"/>
  <c r="P12" i="27"/>
  <c r="P13" i="27"/>
  <c r="P14" i="27"/>
  <c r="P15" i="27"/>
  <c r="P16" i="27"/>
  <c r="N6" i="27"/>
  <c r="N7" i="27"/>
  <c r="N8" i="27"/>
  <c r="N9" i="27"/>
  <c r="N10" i="27"/>
  <c r="N11" i="27"/>
  <c r="N12" i="27"/>
  <c r="N13" i="27"/>
  <c r="N14" i="27"/>
  <c r="N15" i="27"/>
  <c r="N16" i="27"/>
  <c r="N5" i="27"/>
  <c r="M16" i="27"/>
  <c r="M6" i="27"/>
  <c r="M7" i="27"/>
  <c r="M8" i="27"/>
  <c r="M9" i="27"/>
  <c r="M10" i="27"/>
  <c r="M11" i="27"/>
  <c r="M12" i="27"/>
  <c r="M13" i="27"/>
  <c r="M14" i="27"/>
  <c r="M15" i="27"/>
  <c r="C18" i="27"/>
  <c r="T19" i="27"/>
  <c r="T15" i="27"/>
  <c r="T14" i="27"/>
  <c r="O16" i="27" l="1"/>
  <c r="O8" i="27"/>
  <c r="O14" i="27"/>
  <c r="O6" i="27"/>
  <c r="O7" i="27"/>
  <c r="O13" i="27"/>
  <c r="O11" i="27"/>
  <c r="O10" i="27"/>
  <c r="O15" i="27"/>
  <c r="O12" i="27"/>
  <c r="O5" i="27"/>
  <c r="J17" i="27"/>
  <c r="C17" i="27"/>
  <c r="D17" i="27"/>
  <c r="E17" i="27"/>
  <c r="F17" i="27"/>
  <c r="G17" i="27"/>
  <c r="H17" i="27"/>
  <c r="I17" i="27"/>
  <c r="B17" i="27"/>
  <c r="I18" i="27" l="1"/>
  <c r="G18" i="27"/>
  <c r="E18" i="27"/>
  <c r="B18" i="27"/>
  <c r="H18" i="27"/>
  <c r="F18" i="27"/>
  <c r="D18" i="27"/>
  <c r="T10" i="27"/>
  <c r="T12" i="27"/>
  <c r="T18" i="27"/>
</calcChain>
</file>

<file path=xl/sharedStrings.xml><?xml version="1.0" encoding="utf-8"?>
<sst xmlns="http://schemas.openxmlformats.org/spreadsheetml/2006/main" count="71" uniqueCount="67">
  <si>
    <t>Period</t>
  </si>
  <si>
    <t>Cost</t>
  </si>
  <si>
    <t>Costs</t>
  </si>
  <si>
    <t>Subcontract</t>
  </si>
  <si>
    <t>Marginal subcontracting cost/unit</t>
  </si>
  <si>
    <t>Over time cost/hour</t>
  </si>
  <si>
    <t>Regular time cost/hour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</si>
  <si>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</si>
  <si>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</si>
  <si>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</si>
  <si>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</si>
  <si>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</si>
  <si>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</si>
  <si>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Demand</t>
  </si>
  <si>
    <t>Stockout</t>
  </si>
  <si>
    <t>Inventory</t>
  </si>
  <si>
    <t>Ht</t>
  </si>
  <si>
    <t>Lt</t>
  </si>
  <si>
    <t>Wt</t>
  </si>
  <si>
    <t>Ot</t>
  </si>
  <si>
    <t>It</t>
  </si>
  <si>
    <t>Pt</t>
  </si>
  <si>
    <t>Workforce</t>
  </si>
  <si>
    <t>Price</t>
  </si>
  <si>
    <t>&lt;=0</t>
  </si>
  <si>
    <t>Wage per month per worker</t>
  </si>
  <si>
    <t>=0</t>
  </si>
  <si>
    <t>Ct</t>
  </si>
  <si>
    <t>St</t>
  </si>
  <si>
    <t>Constraints</t>
  </si>
  <si>
    <t>Hours/day</t>
  </si>
  <si>
    <t>Days/month</t>
  </si>
  <si>
    <t>Working hour/month</t>
  </si>
  <si>
    <t>Overtime hour allowed/worker/month</t>
  </si>
  <si>
    <t>Overtime production per worker/month</t>
  </si>
  <si>
    <t xml:space="preserve">Aggregate Plan </t>
  </si>
  <si>
    <t>Decision Variables</t>
  </si>
  <si>
    <t>RegimeProd</t>
  </si>
  <si>
    <t>OvertimeProd</t>
  </si>
  <si>
    <t>Hired</t>
  </si>
  <si>
    <t>Laid off</t>
  </si>
  <si>
    <t>Capacity-Reg</t>
  </si>
  <si>
    <t>Capacity-OverT</t>
  </si>
  <si>
    <t>Labor hours required/unit (hour)</t>
  </si>
  <si>
    <t>Production per worker per hour</t>
  </si>
  <si>
    <t>Production/worker/month in thoushanfds</t>
  </si>
  <si>
    <t>b</t>
  </si>
  <si>
    <t>a</t>
  </si>
  <si>
    <t>c(1300,40)</t>
  </si>
  <si>
    <t>c (1200,20)</t>
  </si>
  <si>
    <t>c(1200,40)</t>
  </si>
  <si>
    <t>c(1300,20)</t>
  </si>
  <si>
    <t>mins per phone</t>
  </si>
  <si>
    <t>hours per month?</t>
  </si>
  <si>
    <t>1a. Starting Workforce</t>
  </si>
  <si>
    <t>1b. Is there a value for management t negotiate overtime per employee from 20 to</t>
  </si>
  <si>
    <t>The cost is reduced by</t>
  </si>
  <si>
    <t>overtime production increases from</t>
  </si>
  <si>
    <t>to</t>
  </si>
  <si>
    <t>per product or</t>
  </si>
  <si>
    <t>If we pay all the cost reduction to employees</t>
  </si>
  <si>
    <t>dollars additional per hour</t>
  </si>
  <si>
    <t>1.c Consider 1a and 1b if we sart with 1200 and 1300</t>
  </si>
  <si>
    <t>Total Costs</t>
  </si>
  <si>
    <t>Overtime hours average per momth</t>
  </si>
  <si>
    <t>Overtime Production in 1000 products</t>
  </si>
  <si>
    <t>Starting workfrce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</si>
</sst>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00_);_(* \(#,##0.0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3" applyFont="1"/>
    <xf numFmtId="0" fontId="5" fillId="0" borderId="0" xfId="4" applyFont="1"/>
    <xf numFmtId="0" fontId="4" fillId="0" borderId="0" xfId="4" applyFont="1" applyAlignment="1">
      <alignment vertical="center"/>
    </xf>
    <xf numFmtId="0" fontId="4" fillId="0" borderId="0" xfId="3" quotePrefix="1" applyFont="1"/>
    <xf numFmtId="0" fontId="4" fillId="0" borderId="6" xfId="3" applyFont="1" applyBorder="1"/>
    <xf numFmtId="0" fontId="4" fillId="0" borderId="10" xfId="3" applyFont="1" applyBorder="1"/>
    <xf numFmtId="0" fontId="4" fillId="0" borderId="6" xfId="4" applyFont="1" applyFill="1" applyBorder="1" applyAlignment="1">
      <alignment vertical="center"/>
    </xf>
    <xf numFmtId="0" fontId="4" fillId="0" borderId="10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0" fontId="4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5" fillId="0" borderId="6" xfId="4" applyFont="1" applyBorder="1"/>
    <xf numFmtId="0" fontId="5" fillId="0" borderId="9" xfId="4" applyFont="1" applyFill="1" applyBorder="1" applyAlignment="1">
      <alignment vertical="center"/>
    </xf>
    <xf numFmtId="0" fontId="5" fillId="0" borderId="0" xfId="4" applyFont="1" applyAlignment="1"/>
    <xf numFmtId="0" fontId="6" fillId="0" borderId="0" xfId="0" applyFont="1" applyAlignment="1">
      <alignment vertical="center" readingOrder="1"/>
    </xf>
    <xf numFmtId="0" fontId="5" fillId="0" borderId="7" xfId="4" applyFont="1" applyBorder="1"/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4" fillId="0" borderId="12" xfId="3" applyFont="1" applyBorder="1"/>
    <xf numFmtId="1" fontId="4" fillId="3" borderId="12" xfId="3" applyNumberFormat="1" applyFont="1" applyFill="1" applyBorder="1" applyAlignment="1">
      <alignment horizontal="center"/>
    </xf>
    <xf numFmtId="0" fontId="4" fillId="0" borderId="6" xfId="3" applyFont="1" applyFill="1" applyBorder="1"/>
    <xf numFmtId="0" fontId="4" fillId="0" borderId="12" xfId="3" applyFont="1" applyFill="1" applyBorder="1"/>
    <xf numFmtId="0" fontId="4" fillId="2" borderId="6" xfId="4" applyFont="1" applyFill="1" applyBorder="1" applyAlignment="1">
      <alignment vertical="center"/>
    </xf>
    <xf numFmtId="0" fontId="4" fillId="2" borderId="9" xfId="3" applyFont="1" applyFill="1" applyBorder="1" applyAlignment="1">
      <alignment vertical="center"/>
    </xf>
    <xf numFmtId="0" fontId="5" fillId="2" borderId="9" xfId="4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13" xfId="4" applyFont="1" applyFill="1" applyBorder="1"/>
    <xf numFmtId="0" fontId="5" fillId="2" borderId="6" xfId="4" applyFont="1" applyFill="1" applyBorder="1" applyAlignment="1">
      <alignment vertical="center"/>
    </xf>
    <xf numFmtId="0" fontId="5" fillId="0" borderId="0" xfId="4" applyFont="1" applyFill="1"/>
    <xf numFmtId="164" fontId="4" fillId="0" borderId="0" xfId="3" applyNumberFormat="1" applyFont="1" applyFill="1" applyAlignment="1">
      <alignment horizontal="center"/>
    </xf>
    <xf numFmtId="0" fontId="4" fillId="0" borderId="0" xfId="3" applyFont="1" applyBorder="1"/>
    <xf numFmtId="0" fontId="4" fillId="0" borderId="0" xfId="3" applyFont="1" applyBorder="1" applyAlignment="1">
      <alignment horizontal="left"/>
    </xf>
    <xf numFmtId="164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4" fillId="0" borderId="14" xfId="3" applyFont="1" applyBorder="1"/>
    <xf numFmtId="0" fontId="4" fillId="0" borderId="1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164" fontId="4" fillId="0" borderId="7" xfId="3" applyNumberFormat="1" applyFont="1" applyFill="1" applyBorder="1" applyAlignment="1">
      <alignment horizontal="center"/>
    </xf>
    <xf numFmtId="164" fontId="5" fillId="0" borderId="7" xfId="4" applyNumberFormat="1" applyFont="1" applyFill="1" applyBorder="1" applyAlignment="1">
      <alignment horizontal="center"/>
    </xf>
    <xf numFmtId="164" fontId="5" fillId="0" borderId="8" xfId="4" applyNumberFormat="1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2" xfId="3" applyFont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5" fillId="0" borderId="4" xfId="4" applyFont="1" applyFill="1" applyBorder="1" applyAlignment="1">
      <alignment horizontal="center"/>
    </xf>
    <xf numFmtId="0" fontId="6" fillId="0" borderId="0" xfId="0" applyFont="1" applyBorder="1" applyAlignment="1">
      <alignment vertical="center" readingOrder="1"/>
    </xf>
    <xf numFmtId="0" fontId="4" fillId="0" borderId="16" xfId="3" applyFont="1" applyBorder="1"/>
    <xf numFmtId="0" fontId="4" fillId="0" borderId="18" xfId="3" applyFont="1" applyBorder="1"/>
    <xf numFmtId="0" fontId="4" fillId="0" borderId="1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3" fontId="4" fillId="0" borderId="16" xfId="3" applyNumberFormat="1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4" fillId="0" borderId="3" xfId="3" applyFont="1" applyFill="1" applyBorder="1" applyAlignment="1">
      <alignment horizontal="left"/>
    </xf>
    <xf numFmtId="0" fontId="5" fillId="0" borderId="17" xfId="4" applyFont="1" applyFill="1" applyBorder="1" applyAlignment="1">
      <alignment horizontal="center"/>
    </xf>
    <xf numFmtId="2" fontId="4" fillId="0" borderId="11" xfId="6" applyNumberFormat="1" applyFont="1" applyFill="1" applyBorder="1" applyAlignment="1">
      <alignment vertical="top"/>
    </xf>
    <xf numFmtId="1" fontId="4" fillId="0" borderId="11" xfId="6" applyNumberFormat="1" applyFont="1" applyFill="1" applyBorder="1" applyAlignment="1">
      <alignment vertical="top"/>
    </xf>
    <xf numFmtId="2" fontId="4" fillId="0" borderId="17" xfId="6" applyNumberFormat="1" applyFont="1" applyFill="1" applyBorder="1" applyAlignment="1">
      <alignment vertical="top"/>
    </xf>
    <xf numFmtId="0" fontId="5" fillId="0" borderId="5" xfId="4" applyFont="1" applyBorder="1"/>
    <xf numFmtId="0" fontId="8" fillId="0" borderId="0" xfId="0" applyFont="1"/>
    <xf numFmtId="3" fontId="4" fillId="0" borderId="16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165" fontId="4" fillId="0" borderId="0" xfId="2" applyNumberFormat="1" applyFont="1" applyFill="1" applyBorder="1"/>
    <xf numFmtId="0" fontId="9" fillId="0" borderId="0" xfId="0" applyFont="1"/>
    <xf numFmtId="0" fontId="10" fillId="0" borderId="0" xfId="4" applyFont="1"/>
    <xf numFmtId="0" fontId="4" fillId="0" borderId="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</cellXfs>
  <cellStyles count="7">
    <cellStyle name="Comma 2" xfId="2" xr:uid="{E92755C3-5835-42E4-994B-F6CC26DEFB9A}"/>
    <cellStyle name="Currency" xfId="6" builtinId="4"/>
    <cellStyle name="Currency 2" xfId="1" xr:uid="{C38ED973-A598-4B8F-A66F-17F82C80A3E5}"/>
    <cellStyle name="Normal" xfId="0" builtinId="0"/>
    <cellStyle name="Normal 2" xfId="3" xr:uid="{ED921C7F-81D9-4A85-8D38-B3B3CD7E822B}"/>
    <cellStyle name="Normal 3" xfId="4" xr:uid="{3ADB891C-8658-4F51-82CC-4972E2B4E609}"/>
    <cellStyle name="Normal 4" xfId="5" xr:uid="{695E9363-D74B-40BF-85E0-CC907B61A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'.1-Base'!$A$1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'.1-Base'!$B$3</c:f>
              <c:strCache>
                <c:ptCount val="1"/>
                <c:pt idx="0">
                  <c:v>RegimeProd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'.1-Base'!$A$5:$A$10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'.1-Base'!$B$5:$B$10</c:f>
              <c:numCache>
                <c:formatCode>#,##0.0</c:formatCode>
                <c:ptCount val="6"/>
                <c:pt idx="0">
                  <c:v>1000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B-4003-A825-DF4BB2D7F45C}"/>
            </c:ext>
          </c:extLst>
        </c:ser>
        <c:ser>
          <c:idx val="1"/>
          <c:order val="1"/>
          <c:tx>
            <c:strRef>
              <c:f>'.1-Base'!$J$3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'.1-Base'!$A$5:$A$10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'.1-Base'!$J$5:$J$10</c:f>
              <c:numCache>
                <c:formatCode>#,##0</c:formatCode>
                <c:ptCount val="6"/>
                <c:pt idx="0">
                  <c:v>1000</c:v>
                </c:pt>
                <c:pt idx="1">
                  <c:v>1100</c:v>
                </c:pt>
                <c:pt idx="2">
                  <c:v>1000</c:v>
                </c:pt>
                <c:pt idx="3">
                  <c:v>1200</c:v>
                </c:pt>
                <c:pt idx="4">
                  <c:v>1500</c:v>
                </c:pt>
                <c:pt idx="5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B-4003-A825-DF4BB2D7F45C}"/>
            </c:ext>
          </c:extLst>
        </c:ser>
        <c:ser>
          <c:idx val="2"/>
          <c:order val="2"/>
          <c:tx>
            <c:strRef>
              <c:f>'.1-Base'!$E$3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'.1-Base'!$A$5:$A$10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'.1-Base'!$E$5:$E$10</c:f>
              <c:numCache>
                <c:formatCode>#,##0.0</c:formatCode>
                <c:ptCount val="6"/>
                <c:pt idx="0">
                  <c:v>50</c:v>
                </c:pt>
                <c:pt idx="1">
                  <c:v>150</c:v>
                </c:pt>
                <c:pt idx="2">
                  <c:v>500</c:v>
                </c:pt>
                <c:pt idx="3">
                  <c:v>650</c:v>
                </c:pt>
                <c:pt idx="4">
                  <c:v>500</c:v>
                </c:pt>
                <c:pt idx="5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B-4003-A825-DF4BB2D7F45C}"/>
            </c:ext>
          </c:extLst>
        </c:ser>
        <c:ser>
          <c:idx val="3"/>
          <c:order val="3"/>
          <c:tx>
            <c:strRef>
              <c:f>'.1-Base'!$D$3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'.1-Base'!$A$5:$A$10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'.1-Base'!$D$5:$D$10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B-4003-A825-DF4BB2D7F45C}"/>
            </c:ext>
          </c:extLst>
        </c:ser>
        <c:ser>
          <c:idx val="4"/>
          <c:order val="4"/>
          <c:tx>
            <c:strRef>
              <c:f>'.1-Base'!$F$3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'.1-Base'!$A$5:$A$10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'.1-Base'!$F$5:$F$10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B-4003-A825-DF4BB2D7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833437</xdr:colOff>
      <xdr:row>34</xdr:row>
      <xdr:rowOff>79373</xdr:rowOff>
    </xdr:from>
    <xdr:to>
      <xdr:col>18</xdr:col>
      <xdr:colOff>2212339</xdr:colOff>
      <xdr:row>53</xdr:row>
      <xdr:rowOff>110629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6E79B-D2EC-4283-9D1E-6FF75F89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1125" y="7262811"/>
          <a:ext cx="5085714" cy="3952381"/>
        </a:xfrm>
        <a:prstGeom prst="rect">
          <a:avLst/>
        </a:prstGeom>
      </xdr:spPr>
    </xdr:pic>
    <xdr:clientData/>
  </xdr:twoCellAnchor>
  <xdr:twoCellAnchor>
    <xdr:from>
      <xdr:col>12</xdr:col>
      <xdr:colOff>687390</xdr:colOff>
      <xdr:row>24</xdr:row>
      <xdr:rowOff>129379</xdr:rowOff>
    </xdr:from>
    <xdr:to>
      <xdr:col>18</xdr:col>
      <xdr:colOff>903289</xdr:colOff>
      <xdr:row>37</xdr:row>
      <xdr:rowOff>119854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302237-54B4-45B7-9F87-9C4AAF016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E4C6-4C27-4959-81D3-8C59D9853CA5}">
  <sheetPr>
    <tabColor rgb="FFFFFF00"/>
    <pageSetUpPr fitToPage="1"/>
  </sheetPr>
  <dimension ref="A1:W39"/>
  <sheetViews>
    <sheetView tabSelected="1" zoomScale="120" workbookViewId="0">
      <selection activeCell="I18" sqref="I18"/>
    </sheetView>
  </sheetViews>
  <sheetFormatPr defaultColWidth="9.140625" defaultRowHeight="16.5" x14ac:dyDescent="0.3"/>
  <cols>
    <col min="1" max="1" width="8.7109375" style="1" customWidth="1"/>
    <col min="2" max="2" width="13.140625" style="1" bestFit="1" customWidth="1"/>
    <col min="3" max="3" width="15.140625" style="1" customWidth="1"/>
    <col min="4" max="4" width="14.42578125" style="1" bestFit="1" customWidth="1"/>
    <col min="5" max="5" width="11" style="1" bestFit="1" customWidth="1"/>
    <col min="6" max="8" width="14.42578125" style="1" bestFit="1" customWidth="1"/>
    <col min="9" max="9" width="14.5703125" style="1" customWidth="1"/>
    <col min="10" max="10" width="14.140625" style="1" bestFit="1" customWidth="1"/>
    <col min="11" max="11" width="9.28515625" style="1" bestFit="1" customWidth="1"/>
    <col min="12" max="12" width="5.42578125" style="1" customWidth="1"/>
    <col min="13" max="13" width="11.7109375" style="1" customWidth="1"/>
    <col min="14" max="14" width="14.28515625" style="1" bestFit="1" customWidth="1"/>
    <col min="15" max="15" width="16.5703125" style="1" bestFit="1" customWidth="1"/>
    <col min="16" max="16" width="10.5703125" style="1" bestFit="1" customWidth="1"/>
    <col min="17" max="17" width="10.140625" style="1" customWidth="1"/>
    <col min="18" max="18" width="4" style="1" customWidth="1"/>
    <col min="19" max="19" width="42.42578125" style="1" customWidth="1"/>
    <col min="20" max="20" width="17" style="1" bestFit="1" customWidth="1"/>
    <col min="21" max="21" width="5.140625" style="1" customWidth="1"/>
    <col min="22" max="16384" width="9.140625" style="1"/>
  </cols>
  <sheetData>
    <row r="1" spans="1:23" ht="17.25" thickBot="1" x14ac:dyDescent="0.35">
      <c r="A1" s="1" t="s">
        <v>35</v>
      </c>
      <c r="C1" s="1" t="s">
        <v>36</v>
      </c>
      <c r="M1" s="1" t="s">
        <v>29</v>
      </c>
      <c r="S1" s="65"/>
      <c r="T1" s="65"/>
      <c r="U1" s="65"/>
    </row>
    <row r="2" spans="1:23" ht="17.25" thickBot="1" x14ac:dyDescent="0.35">
      <c r="A2" s="52"/>
      <c r="B2" s="46" t="s">
        <v>21</v>
      </c>
      <c r="C2" s="53" t="s">
        <v>19</v>
      </c>
      <c r="D2" s="46" t="s">
        <v>27</v>
      </c>
      <c r="E2" s="53" t="s">
        <v>20</v>
      </c>
      <c r="F2" s="46" t="s">
        <v>28</v>
      </c>
      <c r="G2" s="53" t="s">
        <v>16</v>
      </c>
      <c r="H2" s="46" t="s">
        <v>17</v>
      </c>
      <c r="I2" s="54" t="s">
        <v>18</v>
      </c>
      <c r="J2" s="32"/>
      <c r="K2" s="32"/>
      <c r="S2" s="3" t="s">
        <v>2</v>
      </c>
      <c r="T2" s="2"/>
      <c r="U2" s="65"/>
    </row>
    <row r="3" spans="1:23" ht="17.25" thickBot="1" x14ac:dyDescent="0.35">
      <c r="A3" s="37" t="s">
        <v>0</v>
      </c>
      <c r="B3" s="39" t="s">
        <v>37</v>
      </c>
      <c r="C3" s="38" t="s">
        <v>38</v>
      </c>
      <c r="D3" s="39" t="s">
        <v>3</v>
      </c>
      <c r="E3" s="38" t="s">
        <v>15</v>
      </c>
      <c r="F3" s="39" t="s">
        <v>14</v>
      </c>
      <c r="G3" s="38" t="s">
        <v>39</v>
      </c>
      <c r="H3" s="39" t="s">
        <v>40</v>
      </c>
      <c r="I3" s="55" t="s">
        <v>22</v>
      </c>
      <c r="J3" s="6" t="s">
        <v>13</v>
      </c>
      <c r="K3" s="32" t="s">
        <v>23</v>
      </c>
      <c r="M3" s="21" t="s">
        <v>22</v>
      </c>
      <c r="N3" s="21" t="s">
        <v>41</v>
      </c>
      <c r="O3" s="5" t="s">
        <v>42</v>
      </c>
      <c r="P3" s="5" t="s">
        <v>15</v>
      </c>
      <c r="S3" s="7" t="s">
        <v>12</v>
      </c>
      <c r="T3" s="8" t="s">
        <v>1</v>
      </c>
      <c r="U3" s="65"/>
      <c r="V3" s="2"/>
      <c r="W3" s="2"/>
    </row>
    <row r="4" spans="1:23" x14ac:dyDescent="0.3">
      <c r="A4" s="47">
        <v>0</v>
      </c>
      <c r="B4" s="40"/>
      <c r="C4" s="34"/>
      <c r="D4" s="40"/>
      <c r="E4" s="34">
        <v>50</v>
      </c>
      <c r="F4" s="40"/>
      <c r="G4" s="34"/>
      <c r="H4" s="40"/>
      <c r="I4" s="56">
        <f>T20</f>
        <v>1250</v>
      </c>
      <c r="J4" s="51"/>
      <c r="K4" s="32"/>
      <c r="M4" s="22"/>
      <c r="N4" s="22"/>
      <c r="O4" s="19"/>
      <c r="P4" s="19"/>
      <c r="S4" s="9" t="s">
        <v>11</v>
      </c>
      <c r="T4" s="61">
        <v>20</v>
      </c>
      <c r="U4" s="65"/>
      <c r="V4" s="2"/>
      <c r="W4" s="2"/>
    </row>
    <row r="5" spans="1:23" x14ac:dyDescent="0.3">
      <c r="A5" s="48">
        <v>1</v>
      </c>
      <c r="B5" s="40">
        <v>1000</v>
      </c>
      <c r="C5" s="34">
        <v>0</v>
      </c>
      <c r="D5" s="40">
        <v>0</v>
      </c>
      <c r="E5" s="34">
        <v>50</v>
      </c>
      <c r="F5" s="40">
        <v>0</v>
      </c>
      <c r="G5" s="34">
        <v>0</v>
      </c>
      <c r="H5" s="40">
        <v>0</v>
      </c>
      <c r="I5" s="56">
        <v>1250</v>
      </c>
      <c r="J5" s="66">
        <v>1000</v>
      </c>
      <c r="K5" s="69">
        <f>B5/6/160</f>
        <v>1.0416666666666665</v>
      </c>
      <c r="M5" s="20">
        <f>I4+G5-H5-I5</f>
        <v>0</v>
      </c>
      <c r="N5" s="20">
        <f>B5-I5*$T$19</f>
        <v>-200</v>
      </c>
      <c r="O5" s="20">
        <f t="shared" ref="O5:O16" si="0">C5-I5*$T$22</f>
        <v>-150</v>
      </c>
      <c r="P5" s="20">
        <f>E4+SUM(B5:D5)-(J5+F4+E5-F5)</f>
        <v>0</v>
      </c>
      <c r="S5" s="10" t="s">
        <v>10</v>
      </c>
      <c r="T5" s="61">
        <v>3</v>
      </c>
      <c r="U5" s="65"/>
      <c r="V5" s="2"/>
      <c r="W5" s="2"/>
    </row>
    <row r="6" spans="1:23" x14ac:dyDescent="0.3">
      <c r="A6" s="48">
        <v>2</v>
      </c>
      <c r="B6" s="40">
        <v>1200</v>
      </c>
      <c r="C6" s="34">
        <v>0</v>
      </c>
      <c r="D6" s="40">
        <v>0</v>
      </c>
      <c r="E6" s="34">
        <v>150</v>
      </c>
      <c r="F6" s="40">
        <v>0</v>
      </c>
      <c r="G6" s="34">
        <v>0</v>
      </c>
      <c r="H6" s="40">
        <v>0</v>
      </c>
      <c r="I6" s="56">
        <v>1250</v>
      </c>
      <c r="J6" s="66">
        <v>1100</v>
      </c>
      <c r="K6" s="69">
        <f t="shared" ref="K6:K16" si="1">B6/6/160</f>
        <v>1.25</v>
      </c>
      <c r="M6" s="20">
        <f t="shared" ref="M6:M15" si="2">I5+G6-H6-I6</f>
        <v>0</v>
      </c>
      <c r="N6" s="20">
        <f t="shared" ref="N6:N16" si="3">B6-I6*$T$19</f>
        <v>0</v>
      </c>
      <c r="O6" s="20">
        <f t="shared" si="0"/>
        <v>-150</v>
      </c>
      <c r="P6" s="20">
        <f t="shared" ref="P6:P16" si="4">E5+SUM(B6:D6)-(J6+F5+E6-F6)</f>
        <v>0</v>
      </c>
      <c r="S6" s="10" t="s">
        <v>9</v>
      </c>
      <c r="T6" s="62">
        <v>1000000000</v>
      </c>
      <c r="U6" s="65"/>
      <c r="V6" s="2"/>
      <c r="W6" s="2"/>
    </row>
    <row r="7" spans="1:23" x14ac:dyDescent="0.3">
      <c r="A7" s="48">
        <v>3</v>
      </c>
      <c r="B7" s="40">
        <v>1200</v>
      </c>
      <c r="C7" s="34">
        <v>150</v>
      </c>
      <c r="D7" s="40">
        <v>0</v>
      </c>
      <c r="E7" s="34">
        <v>500</v>
      </c>
      <c r="F7" s="40">
        <v>0</v>
      </c>
      <c r="G7" s="34">
        <v>0</v>
      </c>
      <c r="H7" s="40">
        <v>0</v>
      </c>
      <c r="I7" s="56">
        <v>1250</v>
      </c>
      <c r="J7" s="66">
        <v>1000</v>
      </c>
      <c r="K7" s="69">
        <f t="shared" si="1"/>
        <v>1.25</v>
      </c>
      <c r="M7" s="20">
        <f t="shared" si="2"/>
        <v>0</v>
      </c>
      <c r="N7" s="20">
        <f t="shared" si="3"/>
        <v>0</v>
      </c>
      <c r="O7" s="20">
        <f t="shared" si="0"/>
        <v>0</v>
      </c>
      <c r="P7" s="20">
        <f t="shared" si="4"/>
        <v>0</v>
      </c>
      <c r="S7" s="10" t="s">
        <v>8</v>
      </c>
      <c r="T7" s="62">
        <v>1000000000</v>
      </c>
      <c r="U7" s="65"/>
      <c r="V7" s="2"/>
      <c r="W7" s="2"/>
    </row>
    <row r="8" spans="1:23" x14ac:dyDescent="0.3">
      <c r="A8" s="48">
        <v>4</v>
      </c>
      <c r="B8" s="40">
        <v>1200</v>
      </c>
      <c r="C8" s="34">
        <v>150</v>
      </c>
      <c r="D8" s="40">
        <v>0</v>
      </c>
      <c r="E8" s="34">
        <v>650</v>
      </c>
      <c r="F8" s="40">
        <v>0</v>
      </c>
      <c r="G8" s="34">
        <v>0</v>
      </c>
      <c r="H8" s="40">
        <v>0</v>
      </c>
      <c r="I8" s="56">
        <v>1250</v>
      </c>
      <c r="J8" s="66">
        <v>1200</v>
      </c>
      <c r="K8" s="69">
        <f t="shared" si="1"/>
        <v>1.25</v>
      </c>
      <c r="M8" s="20">
        <f t="shared" si="2"/>
        <v>0</v>
      </c>
      <c r="N8" s="20">
        <f t="shared" si="3"/>
        <v>0</v>
      </c>
      <c r="O8" s="20">
        <f t="shared" si="0"/>
        <v>0</v>
      </c>
      <c r="P8" s="20">
        <f t="shared" si="4"/>
        <v>0</v>
      </c>
      <c r="S8" s="10" t="s">
        <v>7</v>
      </c>
      <c r="T8" s="62">
        <v>1000000000</v>
      </c>
      <c r="U8" s="65"/>
      <c r="V8" s="2"/>
      <c r="W8" s="2"/>
    </row>
    <row r="9" spans="1:23" x14ac:dyDescent="0.3">
      <c r="A9" s="48">
        <v>5</v>
      </c>
      <c r="B9" s="40">
        <v>1200</v>
      </c>
      <c r="C9" s="34">
        <v>150</v>
      </c>
      <c r="D9" s="40">
        <v>0</v>
      </c>
      <c r="E9" s="34">
        <v>500</v>
      </c>
      <c r="F9" s="40">
        <v>0</v>
      </c>
      <c r="G9" s="34">
        <v>0</v>
      </c>
      <c r="H9" s="40">
        <v>0</v>
      </c>
      <c r="I9" s="56">
        <v>1250</v>
      </c>
      <c r="J9" s="66">
        <v>1500</v>
      </c>
      <c r="K9" s="69">
        <f t="shared" si="1"/>
        <v>1.25</v>
      </c>
      <c r="M9" s="20">
        <f t="shared" si="2"/>
        <v>0</v>
      </c>
      <c r="N9" s="20">
        <f t="shared" si="3"/>
        <v>0</v>
      </c>
      <c r="O9" s="20">
        <f t="shared" si="0"/>
        <v>0</v>
      </c>
      <c r="P9" s="20">
        <f t="shared" si="4"/>
        <v>0</v>
      </c>
      <c r="S9" s="10" t="s">
        <v>6</v>
      </c>
      <c r="T9" s="61">
        <v>20</v>
      </c>
      <c r="U9" s="65"/>
      <c r="V9" s="2"/>
      <c r="W9" s="2"/>
    </row>
    <row r="10" spans="1:23" x14ac:dyDescent="0.3">
      <c r="A10" s="48">
        <v>6</v>
      </c>
      <c r="B10" s="40">
        <v>1200</v>
      </c>
      <c r="C10" s="34">
        <v>150</v>
      </c>
      <c r="D10" s="40">
        <v>0</v>
      </c>
      <c r="E10" s="34">
        <v>250</v>
      </c>
      <c r="F10" s="40">
        <v>0</v>
      </c>
      <c r="G10" s="34">
        <v>0</v>
      </c>
      <c r="H10" s="40">
        <v>0</v>
      </c>
      <c r="I10" s="56">
        <v>1250</v>
      </c>
      <c r="J10" s="66">
        <v>1600</v>
      </c>
      <c r="K10" s="69">
        <f t="shared" si="1"/>
        <v>1.25</v>
      </c>
      <c r="M10" s="20">
        <f t="shared" si="2"/>
        <v>0</v>
      </c>
      <c r="N10" s="20">
        <f t="shared" si="3"/>
        <v>0</v>
      </c>
      <c r="O10" s="20">
        <f t="shared" si="0"/>
        <v>0</v>
      </c>
      <c r="P10" s="20">
        <f t="shared" si="4"/>
        <v>0</v>
      </c>
      <c r="S10" s="10" t="s">
        <v>5</v>
      </c>
      <c r="T10" s="61">
        <f>T9*1.5</f>
        <v>30</v>
      </c>
      <c r="U10" s="65"/>
      <c r="V10" s="2"/>
      <c r="W10" s="2"/>
    </row>
    <row r="11" spans="1:23" x14ac:dyDescent="0.3">
      <c r="A11" s="48">
        <v>7</v>
      </c>
      <c r="B11" s="40">
        <v>1200</v>
      </c>
      <c r="C11" s="35">
        <v>150</v>
      </c>
      <c r="D11" s="43">
        <v>0</v>
      </c>
      <c r="E11" s="35">
        <v>0</v>
      </c>
      <c r="F11" s="43">
        <v>0</v>
      </c>
      <c r="G11" s="35">
        <v>0</v>
      </c>
      <c r="H11" s="43">
        <v>0</v>
      </c>
      <c r="I11" s="57">
        <v>1250</v>
      </c>
      <c r="J11" s="66">
        <v>1600</v>
      </c>
      <c r="K11" s="69">
        <f t="shared" si="1"/>
        <v>1.25</v>
      </c>
      <c r="M11" s="20">
        <f t="shared" si="2"/>
        <v>0</v>
      </c>
      <c r="N11" s="20">
        <f t="shared" si="3"/>
        <v>0</v>
      </c>
      <c r="O11" s="20">
        <f t="shared" si="0"/>
        <v>0</v>
      </c>
      <c r="P11" s="20">
        <f t="shared" si="4"/>
        <v>0</v>
      </c>
      <c r="S11" s="10" t="s">
        <v>4</v>
      </c>
      <c r="T11" s="62">
        <v>1000000000</v>
      </c>
      <c r="U11" s="65"/>
      <c r="V11" s="65"/>
      <c r="W11" s="2"/>
    </row>
    <row r="12" spans="1:23" s="2" customFormat="1" ht="17.25" thickBot="1" x14ac:dyDescent="0.35">
      <c r="A12" s="48">
        <v>8</v>
      </c>
      <c r="B12" s="41">
        <v>900</v>
      </c>
      <c r="C12" s="36">
        <v>0</v>
      </c>
      <c r="D12" s="44">
        <v>0</v>
      </c>
      <c r="E12" s="36">
        <v>0</v>
      </c>
      <c r="F12" s="44">
        <v>0</v>
      </c>
      <c r="G12" s="36">
        <v>0</v>
      </c>
      <c r="H12" s="44">
        <v>0</v>
      </c>
      <c r="I12" s="58">
        <v>1250</v>
      </c>
      <c r="J12" s="67">
        <v>900</v>
      </c>
      <c r="K12" s="69">
        <f t="shared" si="1"/>
        <v>0.9375</v>
      </c>
      <c r="M12" s="20">
        <f t="shared" si="2"/>
        <v>0</v>
      </c>
      <c r="N12" s="20">
        <f t="shared" si="3"/>
        <v>-300</v>
      </c>
      <c r="O12" s="20">
        <f t="shared" si="0"/>
        <v>-150</v>
      </c>
      <c r="P12" s="20">
        <f t="shared" si="4"/>
        <v>0</v>
      </c>
      <c r="S12" s="11" t="s">
        <v>25</v>
      </c>
      <c r="T12" s="63">
        <f>T9*T18</f>
        <v>3200</v>
      </c>
      <c r="U12" s="65"/>
    </row>
    <row r="13" spans="1:23" s="2" customFormat="1" ht="15" customHeight="1" thickBot="1" x14ac:dyDescent="0.35">
      <c r="A13" s="48">
        <v>9</v>
      </c>
      <c r="B13" s="41">
        <v>1150</v>
      </c>
      <c r="C13" s="36">
        <v>0</v>
      </c>
      <c r="D13" s="44">
        <v>0</v>
      </c>
      <c r="E13" s="36">
        <v>50</v>
      </c>
      <c r="F13" s="44">
        <v>0</v>
      </c>
      <c r="G13" s="36">
        <v>0</v>
      </c>
      <c r="H13" s="44">
        <v>0</v>
      </c>
      <c r="I13" s="58">
        <v>1250</v>
      </c>
      <c r="J13" s="66">
        <v>1100</v>
      </c>
      <c r="K13" s="69">
        <f t="shared" si="1"/>
        <v>1.1979166666666665</v>
      </c>
      <c r="M13" s="20">
        <f t="shared" si="2"/>
        <v>0</v>
      </c>
      <c r="N13" s="20">
        <f t="shared" si="3"/>
        <v>-50</v>
      </c>
      <c r="O13" s="20">
        <f t="shared" si="0"/>
        <v>-150</v>
      </c>
      <c r="P13" s="20">
        <f t="shared" si="4"/>
        <v>0</v>
      </c>
      <c r="U13" s="65"/>
    </row>
    <row r="14" spans="1:23" s="2" customFormat="1" ht="17.25" thickBot="1" x14ac:dyDescent="0.35">
      <c r="A14" s="48">
        <v>10</v>
      </c>
      <c r="B14" s="41">
        <v>1200</v>
      </c>
      <c r="C14" s="36">
        <v>0</v>
      </c>
      <c r="D14" s="44">
        <v>0</v>
      </c>
      <c r="E14" s="36">
        <v>450</v>
      </c>
      <c r="F14" s="44">
        <v>0</v>
      </c>
      <c r="G14" s="36">
        <v>0</v>
      </c>
      <c r="H14" s="44">
        <v>0</v>
      </c>
      <c r="I14" s="58">
        <v>1250</v>
      </c>
      <c r="J14" s="67">
        <v>800</v>
      </c>
      <c r="K14" s="69">
        <f t="shared" si="1"/>
        <v>1.25</v>
      </c>
      <c r="M14" s="20">
        <f t="shared" si="2"/>
        <v>0</v>
      </c>
      <c r="N14" s="20">
        <f t="shared" si="3"/>
        <v>0</v>
      </c>
      <c r="O14" s="20">
        <f t="shared" si="0"/>
        <v>-150</v>
      </c>
      <c r="P14" s="20">
        <f t="shared" si="4"/>
        <v>0</v>
      </c>
      <c r="S14" s="64" t="s">
        <v>44</v>
      </c>
      <c r="T14" s="64">
        <f>60/U14</f>
        <v>6</v>
      </c>
      <c r="U14" s="65">
        <v>10</v>
      </c>
      <c r="V14" s="2" t="s">
        <v>52</v>
      </c>
    </row>
    <row r="15" spans="1:23" s="2" customFormat="1" ht="17.25" thickBot="1" x14ac:dyDescent="0.35">
      <c r="A15" s="48">
        <v>11</v>
      </c>
      <c r="B15" s="41">
        <v>1200</v>
      </c>
      <c r="C15" s="36">
        <v>150</v>
      </c>
      <c r="D15" s="44">
        <v>0</v>
      </c>
      <c r="E15" s="36">
        <v>400</v>
      </c>
      <c r="F15" s="44">
        <v>0</v>
      </c>
      <c r="G15" s="36">
        <v>0</v>
      </c>
      <c r="H15" s="44">
        <v>0</v>
      </c>
      <c r="I15" s="58">
        <v>1250</v>
      </c>
      <c r="J15" s="66">
        <v>1400</v>
      </c>
      <c r="K15" s="69">
        <f t="shared" si="1"/>
        <v>1.25</v>
      </c>
      <c r="M15" s="20">
        <f t="shared" si="2"/>
        <v>0</v>
      </c>
      <c r="N15" s="20">
        <f t="shared" si="3"/>
        <v>0</v>
      </c>
      <c r="O15" s="20">
        <f t="shared" si="0"/>
        <v>0</v>
      </c>
      <c r="P15" s="20">
        <f t="shared" si="4"/>
        <v>0</v>
      </c>
      <c r="S15" s="23" t="s">
        <v>43</v>
      </c>
      <c r="T15" s="29">
        <f>1/T14</f>
        <v>0.16666666666666666</v>
      </c>
    </row>
    <row r="16" spans="1:23" s="2" customFormat="1" ht="15" customHeight="1" thickBot="1" x14ac:dyDescent="0.35">
      <c r="A16" s="59">
        <v>12</v>
      </c>
      <c r="B16" s="42">
        <v>1200</v>
      </c>
      <c r="C16" s="49">
        <v>150</v>
      </c>
      <c r="D16" s="45">
        <v>0</v>
      </c>
      <c r="E16" s="49">
        <v>50</v>
      </c>
      <c r="F16" s="45">
        <v>0</v>
      </c>
      <c r="G16" s="49">
        <v>0</v>
      </c>
      <c r="H16" s="45">
        <v>0</v>
      </c>
      <c r="I16" s="60">
        <v>1250</v>
      </c>
      <c r="J16" s="68">
        <v>1700</v>
      </c>
      <c r="K16" s="69">
        <f t="shared" si="1"/>
        <v>1.25</v>
      </c>
      <c r="M16" s="20">
        <f>I15+G16-H16-I16</f>
        <v>0</v>
      </c>
      <c r="N16" s="20">
        <f t="shared" si="3"/>
        <v>0</v>
      </c>
      <c r="O16" s="20">
        <f t="shared" si="0"/>
        <v>0</v>
      </c>
      <c r="P16" s="20">
        <f t="shared" si="4"/>
        <v>0</v>
      </c>
      <c r="S16" s="24" t="s">
        <v>30</v>
      </c>
      <c r="T16" s="25">
        <v>8</v>
      </c>
    </row>
    <row r="17" spans="1:20" s="2" customFormat="1" ht="17.25" thickBot="1" x14ac:dyDescent="0.35">
      <c r="A17" s="33"/>
      <c r="B17" s="17">
        <f t="shared" ref="B17:J17" si="5">SUM(B5:B16)</f>
        <v>13850</v>
      </c>
      <c r="C17" s="17">
        <f t="shared" si="5"/>
        <v>1050</v>
      </c>
      <c r="D17" s="17">
        <f t="shared" si="5"/>
        <v>0</v>
      </c>
      <c r="E17" s="17">
        <f t="shared" si="5"/>
        <v>3050</v>
      </c>
      <c r="F17" s="17">
        <f t="shared" si="5"/>
        <v>0</v>
      </c>
      <c r="G17" s="17">
        <f t="shared" si="5"/>
        <v>0</v>
      </c>
      <c r="H17" s="17">
        <f t="shared" si="5"/>
        <v>0</v>
      </c>
      <c r="I17" s="17">
        <f t="shared" si="5"/>
        <v>15000</v>
      </c>
      <c r="J17" s="17">
        <f t="shared" si="5"/>
        <v>14900</v>
      </c>
      <c r="M17" s="4" t="s">
        <v>26</v>
      </c>
      <c r="N17" s="4" t="s">
        <v>24</v>
      </c>
      <c r="O17" s="4" t="s">
        <v>24</v>
      </c>
      <c r="P17" s="4" t="s">
        <v>26</v>
      </c>
      <c r="S17" s="26" t="s">
        <v>31</v>
      </c>
      <c r="T17" s="27">
        <v>20</v>
      </c>
    </row>
    <row r="18" spans="1:20" s="2" customFormat="1" ht="17.25" thickBot="1" x14ac:dyDescent="0.35">
      <c r="A18" s="50"/>
      <c r="B18" s="18">
        <f>T9*1000</f>
        <v>20000</v>
      </c>
      <c r="C18" s="18">
        <f>(T10/6+T4)*1000</f>
        <v>25000</v>
      </c>
      <c r="D18" s="18">
        <f>T11</f>
        <v>1000000000</v>
      </c>
      <c r="E18" s="18">
        <f>T5*1000</f>
        <v>3000</v>
      </c>
      <c r="F18" s="18">
        <f>T6</f>
        <v>1000000000</v>
      </c>
      <c r="G18" s="18">
        <f>T7</f>
        <v>1000000000</v>
      </c>
      <c r="H18" s="18">
        <f>T8</f>
        <v>1000000000</v>
      </c>
      <c r="I18" s="31">
        <f>T12</f>
        <v>3200</v>
      </c>
      <c r="J18" s="12">
        <f>SUMPRODUCT(B17:I17,B18:I18)</f>
        <v>360400000</v>
      </c>
      <c r="K18" s="65"/>
      <c r="L18" s="65"/>
      <c r="M18" s="65"/>
      <c r="N18" s="65"/>
      <c r="S18" s="26" t="s">
        <v>32</v>
      </c>
      <c r="T18" s="27">
        <f>T16*T17</f>
        <v>160</v>
      </c>
    </row>
    <row r="19" spans="1:20" s="2" customFormat="1" ht="15.75" customHeight="1" thickBot="1" x14ac:dyDescent="0.35">
      <c r="A19" s="50"/>
      <c r="K19" s="65"/>
      <c r="L19" s="65"/>
      <c r="M19" s="65"/>
      <c r="N19" s="65"/>
      <c r="S19" s="28" t="s">
        <v>45</v>
      </c>
      <c r="T19" s="28">
        <f>T14*T16*T17/1000</f>
        <v>0.96</v>
      </c>
    </row>
    <row r="20" spans="1:20" s="2" customFormat="1" x14ac:dyDescent="0.3">
      <c r="A20" s="50"/>
      <c r="J20" s="30"/>
      <c r="K20" s="65"/>
      <c r="L20" s="65"/>
      <c r="M20" s="65"/>
      <c r="N20" s="65"/>
      <c r="S20" s="16" t="s">
        <v>66</v>
      </c>
      <c r="T20" s="16">
        <v>1250</v>
      </c>
    </row>
    <row r="21" spans="1:20" s="2" customFormat="1" x14ac:dyDescent="0.3">
      <c r="A21" s="15" t="s">
        <v>54</v>
      </c>
      <c r="C21" s="14">
        <v>1250</v>
      </c>
      <c r="D21" s="14"/>
      <c r="J21" s="65"/>
      <c r="K21" s="65"/>
      <c r="L21" s="65"/>
      <c r="M21" s="65"/>
      <c r="N21" s="65"/>
      <c r="S21" s="72" t="s">
        <v>33</v>
      </c>
      <c r="T21" s="13">
        <v>20</v>
      </c>
    </row>
    <row r="22" spans="1:20" s="2" customFormat="1" ht="17.25" thickBot="1" x14ac:dyDescent="0.35">
      <c r="K22" s="65"/>
      <c r="L22" s="65"/>
      <c r="M22" s="65"/>
      <c r="N22" s="65"/>
      <c r="S22" s="73" t="s">
        <v>34</v>
      </c>
      <c r="T22" s="11">
        <f>(T21*T14)/1000</f>
        <v>0.12</v>
      </c>
    </row>
    <row r="23" spans="1:20" s="2" customFormat="1" x14ac:dyDescent="0.3">
      <c r="B23" s="2">
        <v>13850</v>
      </c>
      <c r="C23" s="2">
        <v>1050</v>
      </c>
      <c r="D23" s="2">
        <v>0</v>
      </c>
      <c r="E23" s="2">
        <v>3050</v>
      </c>
      <c r="F23" s="2">
        <v>0</v>
      </c>
      <c r="G23" s="2">
        <v>0</v>
      </c>
      <c r="H23" s="2">
        <v>0</v>
      </c>
      <c r="I23" s="2">
        <v>15000</v>
      </c>
      <c r="J23" s="65">
        <v>14900</v>
      </c>
      <c r="K23" s="65"/>
      <c r="L23" s="65"/>
      <c r="M23" s="65"/>
      <c r="N23" s="65"/>
    </row>
    <row r="24" spans="1:20" s="2" customFormat="1" ht="17.25" thickBot="1" x14ac:dyDescent="0.35">
      <c r="B24" s="2">
        <v>20000</v>
      </c>
      <c r="C24" s="65">
        <v>25000</v>
      </c>
      <c r="D24" s="65">
        <v>1000000000</v>
      </c>
      <c r="E24" s="65">
        <v>3000</v>
      </c>
      <c r="F24" s="65">
        <v>1000000000</v>
      </c>
      <c r="G24" s="2">
        <v>1000000000</v>
      </c>
      <c r="H24" s="2">
        <v>1000000000</v>
      </c>
      <c r="I24" s="2">
        <v>3200</v>
      </c>
      <c r="J24" s="70">
        <v>360400000</v>
      </c>
      <c r="K24" s="65"/>
      <c r="L24" s="65"/>
      <c r="M24" s="65"/>
      <c r="N24" s="65"/>
      <c r="S24" s="2" t="s">
        <v>47</v>
      </c>
      <c r="T24" s="2">
        <v>360400000</v>
      </c>
    </row>
    <row r="25" spans="1:20" s="2" customFormat="1" ht="17.25" thickBot="1" x14ac:dyDescent="0.35">
      <c r="S25" s="2" t="s">
        <v>46</v>
      </c>
      <c r="T25" s="12">
        <v>356450000</v>
      </c>
    </row>
    <row r="26" spans="1:20" s="2" customFormat="1" ht="17.25" thickBot="1" x14ac:dyDescent="0.35">
      <c r="A26" s="2" t="s">
        <v>55</v>
      </c>
      <c r="B26" s="65"/>
      <c r="C26" s="65"/>
      <c r="D26" s="65"/>
      <c r="E26" s="65"/>
      <c r="H26" s="2">
        <v>40</v>
      </c>
      <c r="I26" s="65" t="s">
        <v>53</v>
      </c>
      <c r="J26" s="65"/>
      <c r="S26" s="2" t="s">
        <v>49</v>
      </c>
      <c r="T26" s="12">
        <v>363324000</v>
      </c>
    </row>
    <row r="27" spans="1:20" s="2" customFormat="1" ht="17.25" thickBot="1" x14ac:dyDescent="0.35">
      <c r="K27" s="65"/>
      <c r="S27" s="2" t="s">
        <v>50</v>
      </c>
      <c r="T27" s="12">
        <v>357422000</v>
      </c>
    </row>
    <row r="28" spans="1:20" s="2" customFormat="1" x14ac:dyDescent="0.3">
      <c r="B28" s="2">
        <v>13650</v>
      </c>
      <c r="C28" s="71">
        <v>1250</v>
      </c>
      <c r="D28" s="2">
        <v>0</v>
      </c>
      <c r="E28" s="2">
        <v>1400</v>
      </c>
      <c r="F28" s="2">
        <v>0</v>
      </c>
      <c r="G28" s="2">
        <v>0</v>
      </c>
      <c r="H28" s="2">
        <v>0</v>
      </c>
      <c r="I28" s="65">
        <v>15000</v>
      </c>
      <c r="J28" s="65">
        <v>14900</v>
      </c>
      <c r="K28" s="65"/>
      <c r="S28" s="2" t="s">
        <v>51</v>
      </c>
    </row>
    <row r="29" spans="1:20" s="2" customFormat="1" x14ac:dyDescent="0.3">
      <c r="B29" s="2">
        <v>20000</v>
      </c>
      <c r="C29" s="2">
        <v>25000</v>
      </c>
      <c r="D29" s="2">
        <v>1000000000</v>
      </c>
      <c r="E29" s="2">
        <v>3000</v>
      </c>
      <c r="F29" s="2">
        <v>1000000000</v>
      </c>
      <c r="G29" s="2">
        <v>1000000000</v>
      </c>
      <c r="H29" s="2">
        <v>1000000000</v>
      </c>
      <c r="I29" s="65">
        <v>3200</v>
      </c>
      <c r="J29" s="70">
        <v>356450000</v>
      </c>
      <c r="K29" s="65"/>
      <c r="S29" s="2" t="s">
        <v>48</v>
      </c>
    </row>
    <row r="30" spans="1:20" s="2" customFormat="1" x14ac:dyDescent="0.3">
      <c r="C30" s="2">
        <f>C28-C23</f>
        <v>200</v>
      </c>
      <c r="D30" s="2">
        <f>C31/(C30*1000)</f>
        <v>19.75</v>
      </c>
      <c r="E30" s="2">
        <f>6*D30</f>
        <v>118.5</v>
      </c>
      <c r="K30" s="65"/>
    </row>
    <row r="31" spans="1:20" s="2" customFormat="1" x14ac:dyDescent="0.3">
      <c r="A31" s="2" t="s">
        <v>56</v>
      </c>
      <c r="C31" s="2">
        <f>J24-J29</f>
        <v>3950000</v>
      </c>
      <c r="D31" s="2" t="s">
        <v>57</v>
      </c>
      <c r="G31" s="2">
        <f>C23</f>
        <v>1050</v>
      </c>
      <c r="H31" s="65" t="s">
        <v>58</v>
      </c>
      <c r="I31" s="65">
        <f>C28</f>
        <v>1250</v>
      </c>
      <c r="K31" s="65"/>
    </row>
    <row r="32" spans="1:20" x14ac:dyDescent="0.3">
      <c r="A32" s="1" t="s">
        <v>60</v>
      </c>
      <c r="E32" s="1">
        <f>C31/(I31*1000)</f>
        <v>3.16</v>
      </c>
      <c r="F32" s="1" t="s">
        <v>59</v>
      </c>
      <c r="G32" s="1">
        <f>E32*6</f>
        <v>18.96</v>
      </c>
      <c r="H32" s="1" t="s">
        <v>61</v>
      </c>
      <c r="I32" s="65"/>
      <c r="J32" s="65"/>
      <c r="K32" s="65"/>
    </row>
    <row r="33" spans="1:11" x14ac:dyDescent="0.3">
      <c r="I33" s="65"/>
      <c r="J33" s="65"/>
      <c r="K33" s="65"/>
    </row>
    <row r="34" spans="1:11" x14ac:dyDescent="0.3">
      <c r="A34" s="1" t="s">
        <v>62</v>
      </c>
      <c r="I34" s="65"/>
      <c r="J34" s="65"/>
      <c r="K34" s="65"/>
    </row>
    <row r="35" spans="1:11" x14ac:dyDescent="0.3">
      <c r="A35" s="1" t="s">
        <v>63</v>
      </c>
      <c r="E35" s="1" t="s">
        <v>65</v>
      </c>
      <c r="I35" s="1" t="s">
        <v>64</v>
      </c>
      <c r="K35" s="65"/>
    </row>
    <row r="36" spans="1:11" x14ac:dyDescent="0.3">
      <c r="B36" s="1">
        <v>20</v>
      </c>
      <c r="C36" s="1">
        <v>40</v>
      </c>
      <c r="F36" s="1">
        <v>20</v>
      </c>
      <c r="G36" s="1">
        <v>40</v>
      </c>
      <c r="J36" s="1">
        <v>20</v>
      </c>
      <c r="K36" s="1">
        <v>40</v>
      </c>
    </row>
    <row r="37" spans="1:11" x14ac:dyDescent="0.3">
      <c r="A37" s="1">
        <v>1200</v>
      </c>
      <c r="B37" s="1">
        <v>363324000</v>
      </c>
      <c r="C37" s="1">
        <v>357422000</v>
      </c>
      <c r="E37" s="1">
        <v>1200</v>
      </c>
      <c r="F37" s="1">
        <v>1318</v>
      </c>
      <c r="G37" s="1">
        <v>1634</v>
      </c>
      <c r="I37" s="1">
        <v>1200</v>
      </c>
      <c r="J37" s="1">
        <f>1000*F37/6/12/1250</f>
        <v>14.644444444444444</v>
      </c>
      <c r="K37" s="1">
        <f>1000*G37/6/12/1250</f>
        <v>18.155555555555555</v>
      </c>
    </row>
    <row r="38" spans="1:11" x14ac:dyDescent="0.3">
      <c r="A38" s="1">
        <v>1250</v>
      </c>
      <c r="B38" s="1">
        <f>J24</f>
        <v>360400000</v>
      </c>
      <c r="C38" s="1">
        <f>J29</f>
        <v>356450000</v>
      </c>
      <c r="E38" s="1">
        <v>1250</v>
      </c>
      <c r="F38" s="1">
        <f>C23</f>
        <v>1050</v>
      </c>
      <c r="G38" s="1">
        <f>C28</f>
        <v>1250</v>
      </c>
      <c r="I38" s="1">
        <v>1250</v>
      </c>
      <c r="J38" s="1">
        <f t="shared" ref="J38:J39" si="6">1000*F38/6/12/1250</f>
        <v>11.666666666666668</v>
      </c>
      <c r="K38" s="1">
        <f t="shared" ref="K38:K39" si="7">1000*G38/6/12/1250</f>
        <v>13.888888888888891</v>
      </c>
    </row>
    <row r="39" spans="1:11" x14ac:dyDescent="0.3">
      <c r="A39" s="1">
        <v>1300</v>
      </c>
      <c r="B39" s="1">
        <v>358790000</v>
      </c>
      <c r="C39" s="1">
        <v>356270000</v>
      </c>
      <c r="E39" s="1">
        <v>1300</v>
      </c>
      <c r="F39" s="1">
        <v>830</v>
      </c>
      <c r="G39" s="1">
        <v>1220</v>
      </c>
      <c r="I39" s="1">
        <v>1300</v>
      </c>
      <c r="J39" s="1">
        <f t="shared" si="6"/>
        <v>9.2222222222222232</v>
      </c>
      <c r="K39" s="1">
        <f t="shared" si="7"/>
        <v>13.555555555555555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.1-Base</vt:lpstr>
      <vt:lpstr>'.1-Base'!Print_Area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2021-09-23T18:01:04Z</dcterms:modified>
</cp:coreProperties>
</file>