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2035\Desktop\USC-SCM\Course-Material\PPT-Slides\Week-05.AggregatePlanning\"/>
    </mc:Choice>
  </mc:AlternateContent>
  <xr:revisionPtr revIDLastSave="0" documentId="13_ncr:1_{967009D9-ED14-411E-8A85-D7E27649021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.AggregatePlanBaseLP-Ard" sheetId="26" r:id="rId1"/>
  </sheets>
  <definedNames>
    <definedName name="_xlnm.Print_Area" localSheetId="0">'1.AggregatePlanBaseLP-Ard'!$A$1:$L$18</definedName>
    <definedName name="solver_adj" localSheetId="0" hidden="1">'1.AggregatePlanBaseLP-Ard'!$B$5:$F$10</definedName>
    <definedName name="solver_cvg" localSheetId="0" hidden="1">0.001</definedName>
    <definedName name="solver_drv" localSheetId="0" hidden="1">1</definedName>
    <definedName name="solver_dua" localSheetId="0" hidden="1">1</definedName>
    <definedName name="solver_eng" localSheetId="0" hidden="1">2</definedName>
    <definedName name="solver_est" localSheetId="0" hidden="1">1</definedName>
    <definedName name="solver_ibd" localSheetId="0" hidden="1">2</definedName>
    <definedName name="solver_itr" localSheetId="0" hidden="1">100</definedName>
    <definedName name="solver_lhs1" localSheetId="0" hidden="1">'1.AggregatePlanBaseLP-Ard'!$O$5:$O$10</definedName>
    <definedName name="solver_lhs2" localSheetId="0" hidden="1">'1.AggregatePlanBaseLP-Ard'!$N$5:$N$10</definedName>
    <definedName name="solver_lhs3" localSheetId="0" hidden="1">'1.AggregatePlanBaseLP-Ard'!$G$10</definedName>
    <definedName name="solver_lhs4" localSheetId="0" hidden="1">'1.AggregatePlanBaseLP-Ard'!$H$10</definedName>
    <definedName name="solver_lhs5" localSheetId="0" hidden="1">'1.AggregatePlanBaseLP-Ard'!$H$10</definedName>
    <definedName name="solver_lhs6" localSheetId="0" hidden="1">'1.AggregatePlanBaseLP-Ard'!$H$10</definedName>
    <definedName name="solver_lhs7" localSheetId="0" hidden="1">'1.AggregatePlanBaseLP-Ard'!$P$5:$P$10</definedName>
    <definedName name="solver_lhs8" localSheetId="0" hidden="1">'1.AggregatePlanBaseLP-Ard'!$O$5:$O$10</definedName>
    <definedName name="solver_lhs9" localSheetId="0" hidden="1">'1.AggregatePlanBaseLP-Ard'!$O$5:$O$10</definedName>
    <definedName name="solver_lin" localSheetId="0" hidden="1">1</definedName>
    <definedName name="solver_mip" localSheetId="0" hidden="1">1000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1000</definedName>
    <definedName name="solver_num" localSheetId="0" hidden="1">4</definedName>
    <definedName name="solver_nwt" localSheetId="0" hidden="1">1</definedName>
    <definedName name="solver_ofx" localSheetId="0" hidden="1">2</definedName>
    <definedName name="solver_opt" localSheetId="0" hidden="1">'1.AggregatePlanBaseLP-Ard'!$J$12</definedName>
    <definedName name="solver_piv" localSheetId="0" hidden="1">0.000001</definedName>
    <definedName name="solver_pre" localSheetId="0" hidden="1">0.000001</definedName>
    <definedName name="solver_pro" localSheetId="0" hidden="1">2</definedName>
    <definedName name="solver_rbv" localSheetId="0" hidden="1">1</definedName>
    <definedName name="solver_red" localSheetId="0" hidden="1">0.000001</definedName>
    <definedName name="solver_rel1" localSheetId="0" hidden="1">1</definedName>
    <definedName name="solver_rel2" localSheetId="0" hidden="1">1</definedName>
    <definedName name="solver_rel3" localSheetId="0" hidden="1">2</definedName>
    <definedName name="solver_rel4" localSheetId="0" hidden="1">2</definedName>
    <definedName name="solver_rel5" localSheetId="0" hidden="1">2</definedName>
    <definedName name="solver_rel6" localSheetId="0" hidden="1">2</definedName>
    <definedName name="solver_rel7" localSheetId="0" hidden="1">2</definedName>
    <definedName name="solver_rel8" localSheetId="0" hidden="1">1</definedName>
    <definedName name="solver_rel9" localSheetId="0" hidden="1">1</definedName>
    <definedName name="solver_reo" localSheetId="0" hidden="1">2</definedName>
    <definedName name="solver_rep" localSheetId="0" hidden="1">2</definedName>
    <definedName name="solver_rhs1" localSheetId="0" hidden="1">0</definedName>
    <definedName name="solver_rhs2" localSheetId="0" hidden="1">0</definedName>
    <definedName name="solver_rhs3" localSheetId="0" hidden="1">500</definedName>
    <definedName name="solver_rhs4" localSheetId="0" hidden="1">0</definedName>
    <definedName name="solver_rhs5" localSheetId="0" hidden="1">0</definedName>
    <definedName name="solver_rhs6" localSheetId="0" hidden="1">0</definedName>
    <definedName name="solver_rhs7" localSheetId="0" hidden="1">0</definedName>
    <definedName name="solver_rhs8" localSheetId="0" hidden="1">0</definedName>
    <definedName name="solver_rhs9" localSheetId="0" hidden="1">0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mp" localSheetId="0" hidden="1">0</definedName>
    <definedName name="solver_tol" localSheetId="0" hidden="1">0.001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6" l="1"/>
  <c r="I5" i="26"/>
  <c r="I6" i="26" s="1"/>
  <c r="I7" i="26" s="1"/>
  <c r="I8" i="26" s="1"/>
  <c r="I9" i="26" s="1"/>
  <c r="I10" i="26" s="1"/>
  <c r="G12" i="26"/>
  <c r="M39" i="26"/>
  <c r="H5" i="26"/>
  <c r="F12" i="26"/>
  <c r="E12" i="26"/>
  <c r="J6" i="26"/>
  <c r="J7" i="26"/>
  <c r="J8" i="26"/>
  <c r="J9" i="26"/>
  <c r="J10" i="26"/>
  <c r="J5" i="26"/>
  <c r="I12" i="26"/>
  <c r="D12" i="26"/>
  <c r="C12" i="26"/>
  <c r="B12" i="26"/>
  <c r="T33" i="26"/>
  <c r="T25" i="26"/>
  <c r="T31" i="26"/>
  <c r="T27" i="26"/>
  <c r="H12" i="26"/>
  <c r="T17" i="26"/>
  <c r="AC8" i="26"/>
  <c r="AA8" i="26"/>
  <c r="AB8" i="26"/>
  <c r="Z8" i="26"/>
  <c r="Y8" i="26"/>
  <c r="X8" i="26"/>
  <c r="N6" i="26" l="1"/>
  <c r="M6" i="26"/>
  <c r="O6" i="26"/>
  <c r="M5" i="26"/>
  <c r="G6" i="26"/>
  <c r="H6" i="26"/>
  <c r="N7" i="26"/>
  <c r="O7" i="26"/>
  <c r="M7" i="26"/>
  <c r="M8" i="26"/>
  <c r="O5" i="26"/>
  <c r="N5" i="26"/>
  <c r="P5" i="26"/>
  <c r="AD8" i="26"/>
  <c r="AC7" i="26"/>
  <c r="AC6" i="26"/>
  <c r="AC5" i="26"/>
  <c r="AC4" i="26"/>
  <c r="AC3" i="26"/>
  <c r="AC2" i="26"/>
  <c r="H7" i="26" l="1"/>
  <c r="P6" i="26"/>
  <c r="G7" i="26"/>
  <c r="O8" i="26"/>
  <c r="N8" i="26"/>
  <c r="M9" i="26"/>
  <c r="F11" i="26"/>
  <c r="B11" i="26"/>
  <c r="C11" i="26"/>
  <c r="D11" i="26"/>
  <c r="E11" i="26"/>
  <c r="T30" i="26"/>
  <c r="G8" i="26" l="1"/>
  <c r="P7" i="26"/>
  <c r="H8" i="26"/>
  <c r="N9" i="26"/>
  <c r="M10" i="26"/>
  <c r="O9" i="26"/>
  <c r="P8" i="26" l="1"/>
  <c r="H9" i="26"/>
  <c r="G9" i="26"/>
  <c r="N10" i="26"/>
  <c r="O10" i="26"/>
  <c r="I11" i="26"/>
  <c r="G10" i="26" l="1"/>
  <c r="G11" i="26" s="1"/>
  <c r="P9" i="26"/>
  <c r="H10" i="26"/>
  <c r="H11" i="26" l="1"/>
  <c r="J12" i="26" s="1"/>
  <c r="P10" i="26"/>
</calcChain>
</file>

<file path=xl/sharedStrings.xml><?xml version="1.0" encoding="utf-8"?>
<sst xmlns="http://schemas.openxmlformats.org/spreadsheetml/2006/main" count="76" uniqueCount="71">
  <si>
    <t>Period</t>
  </si>
  <si>
    <t>Cost</t>
  </si>
  <si>
    <t>Costs</t>
  </si>
  <si>
    <t>Subcontract</t>
  </si>
  <si>
    <t>Marginal subcontracting cost/unit</t>
  </si>
  <si>
    <t>Over time cost/hour</t>
  </si>
  <si>
    <t>Regular time cost/hour</t>
  </si>
  <si>
    <t>Labor hours required/unit</t>
  </si>
  <si>
    <t>Layoff cost/worker</t>
  </si>
  <si>
    <t>Hiring and training cost/worker</t>
  </si>
  <si>
    <t>Marginal cost of stockout/unit/month</t>
  </si>
  <si>
    <t>Inventory holding cost/unit/month</t>
  </si>
  <si>
    <t>Materials cost/unit</t>
  </si>
  <si>
    <t>Item</t>
  </si>
  <si>
    <t>June</t>
  </si>
  <si>
    <t>May</t>
  </si>
  <si>
    <t>April</t>
  </si>
  <si>
    <t>March</t>
  </si>
  <si>
    <t>February</t>
  </si>
  <si>
    <t>January</t>
  </si>
  <si>
    <t>Demand Forecast</t>
  </si>
  <si>
    <t>Month</t>
  </si>
  <si>
    <t>Demand</t>
  </si>
  <si>
    <t>Stockout</t>
  </si>
  <si>
    <t>Inventory</t>
  </si>
  <si>
    <t>Ht</t>
  </si>
  <si>
    <t>Lt</t>
  </si>
  <si>
    <t>Wt</t>
  </si>
  <si>
    <t>Ot</t>
  </si>
  <si>
    <t>It</t>
  </si>
  <si>
    <t>Pt</t>
  </si>
  <si>
    <t>Workforce</t>
  </si>
  <si>
    <t>Price</t>
  </si>
  <si>
    <t>&lt;=0</t>
  </si>
  <si>
    <t>Wage per month per worker</t>
  </si>
  <si>
    <t>Ending Inventory</t>
  </si>
  <si>
    <t>=0</t>
  </si>
  <si>
    <t>Beginning Inventory</t>
  </si>
  <si>
    <t>Aggregate Planning (Chapter 8−9)</t>
  </si>
  <si>
    <t>Ct</t>
  </si>
  <si>
    <t>St</t>
  </si>
  <si>
    <t>Constraints</t>
  </si>
  <si>
    <t>Family</t>
  </si>
  <si>
    <t>Material Cost/ Unit ($)</t>
  </si>
  <si>
    <t>Revenue/ Unit ($)</t>
  </si>
  <si>
    <t>Average Batch Size</t>
  </si>
  <si>
    <t>Net Production Time/Unit (hour)</t>
  </si>
  <si>
    <t>Percentage Share of Units Sold</t>
  </si>
  <si>
    <t>A</t>
  </si>
  <si>
    <t>B</t>
  </si>
  <si>
    <t>C</t>
  </si>
  <si>
    <t>D</t>
  </si>
  <si>
    <t>E</t>
  </si>
  <si>
    <t>F</t>
  </si>
  <si>
    <t>Aggregate Product</t>
  </si>
  <si>
    <t>Hours/day</t>
  </si>
  <si>
    <t>Days/month</t>
  </si>
  <si>
    <t>Working hour/month</t>
  </si>
  <si>
    <t>Production/worker/month</t>
  </si>
  <si>
    <t>Overtime hour allowed/worker/month</t>
  </si>
  <si>
    <t>Overtime production per worker/month</t>
  </si>
  <si>
    <t xml:space="preserve">Aggregate Plan </t>
  </si>
  <si>
    <t>Decision Variables</t>
  </si>
  <si>
    <t>RegimeProd</t>
  </si>
  <si>
    <t>OvertimeProd</t>
  </si>
  <si>
    <t>Hired</t>
  </si>
  <si>
    <t>Laid off</t>
  </si>
  <si>
    <t>Capacity-Reg</t>
  </si>
  <si>
    <t>Capacity-OverT</t>
  </si>
  <si>
    <t>Production Time/ Unit (hr)</t>
  </si>
  <si>
    <t>Setup Time/ Batch (hr)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</si>
</sst>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0.0"/>
    <numFmt numFmtId="167" formatCode="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Book Antiqua"/>
      <family val="1"/>
    </font>
    <font>
      <sz val="11"/>
      <color theme="1"/>
      <name val="Book Antiqua"/>
      <family val="1"/>
    </font>
    <font>
      <u/>
      <sz val="1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b/>
      <sz val="11"/>
      <color theme="0"/>
      <name val="Book Antiqua"/>
      <family val="1"/>
    </font>
    <font>
      <sz val="10"/>
      <name val="Book Antiqua"/>
      <family val="1"/>
    </font>
    <font>
      <b/>
      <sz val="1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ck">
        <color rgb="FF000000"/>
      </bottom>
      <diagonal/>
    </border>
    <border>
      <left style="medium">
        <color indexed="64"/>
      </left>
      <right/>
      <top style="thick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4" fillId="0" borderId="0" xfId="3" applyFont="1"/>
    <xf numFmtId="0" fontId="5" fillId="0" borderId="0" xfId="4" applyFont="1"/>
    <xf numFmtId="0" fontId="5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65" fontId="4" fillId="0" borderId="24" xfId="2" applyNumberFormat="1" applyFont="1" applyFill="1" applyBorder="1"/>
    <xf numFmtId="0" fontId="4" fillId="0" borderId="15" xfId="3" applyFont="1" applyBorder="1"/>
    <xf numFmtId="165" fontId="4" fillId="0" borderId="23" xfId="2" applyNumberFormat="1" applyFont="1" applyFill="1" applyBorder="1"/>
    <xf numFmtId="0" fontId="4" fillId="0" borderId="3" xfId="3" applyFont="1" applyBorder="1"/>
    <xf numFmtId="0" fontId="6" fillId="0" borderId="0" xfId="4" applyFont="1" applyAlignment="1">
      <alignment vertical="center"/>
    </xf>
    <xf numFmtId="0" fontId="4" fillId="0" borderId="4" xfId="3" applyFont="1" applyBorder="1"/>
    <xf numFmtId="0" fontId="4" fillId="0" borderId="21" xfId="3" applyFont="1" applyBorder="1"/>
    <xf numFmtId="0" fontId="4" fillId="0" borderId="18" xfId="3" applyFont="1" applyBorder="1" applyAlignment="1">
      <alignment horizontal="center"/>
    </xf>
    <xf numFmtId="0" fontId="4" fillId="0" borderId="19" xfId="3" applyFont="1" applyBorder="1"/>
    <xf numFmtId="0" fontId="4" fillId="0" borderId="12" xfId="4" applyFont="1" applyFill="1" applyBorder="1" applyAlignment="1">
      <alignment vertical="center"/>
    </xf>
    <xf numFmtId="0" fontId="4" fillId="0" borderId="11" xfId="4" applyFont="1" applyFill="1" applyBorder="1" applyAlignment="1">
      <alignment vertical="center"/>
    </xf>
    <xf numFmtId="0" fontId="4" fillId="0" borderId="10" xfId="4" applyFont="1" applyFill="1" applyBorder="1" applyAlignment="1">
      <alignment vertical="center"/>
    </xf>
    <xf numFmtId="165" fontId="4" fillId="0" borderId="9" xfId="2" applyNumberFormat="1" applyFont="1" applyFill="1" applyBorder="1" applyAlignment="1">
      <alignment vertical="center"/>
    </xf>
    <xf numFmtId="0" fontId="4" fillId="0" borderId="8" xfId="4" applyFont="1" applyFill="1" applyBorder="1" applyAlignment="1">
      <alignment vertical="center"/>
    </xf>
    <xf numFmtId="165" fontId="4" fillId="0" borderId="7" xfId="2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vertical="center"/>
    </xf>
    <xf numFmtId="0" fontId="4" fillId="0" borderId="21" xfId="4" applyFont="1" applyFill="1" applyBorder="1" applyAlignment="1">
      <alignment vertical="center"/>
    </xf>
    <xf numFmtId="0" fontId="4" fillId="0" borderId="17" xfId="4" applyFont="1" applyFill="1" applyBorder="1" applyAlignment="1">
      <alignment vertical="center"/>
    </xf>
    <xf numFmtId="0" fontId="4" fillId="0" borderId="23" xfId="4" applyFont="1" applyFill="1" applyBorder="1" applyAlignment="1">
      <alignment vertical="center"/>
    </xf>
    <xf numFmtId="0" fontId="5" fillId="0" borderId="24" xfId="4" applyFont="1" applyFill="1" applyBorder="1" applyAlignment="1">
      <alignment vertical="center"/>
    </xf>
    <xf numFmtId="0" fontId="5" fillId="0" borderId="4" xfId="4" applyFont="1" applyBorder="1"/>
    <xf numFmtId="0" fontId="4" fillId="0" borderId="25" xfId="4" applyFont="1" applyFill="1" applyBorder="1" applyAlignment="1">
      <alignment vertical="center"/>
    </xf>
    <xf numFmtId="0" fontId="4" fillId="0" borderId="20" xfId="3" applyFont="1" applyFill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5" fillId="0" borderId="27" xfId="4" applyFont="1" applyFill="1" applyBorder="1"/>
    <xf numFmtId="0" fontId="4" fillId="0" borderId="28" xfId="3" applyFont="1" applyFill="1" applyBorder="1" applyAlignment="1">
      <alignment vertical="center"/>
    </xf>
    <xf numFmtId="164" fontId="4" fillId="0" borderId="26" xfId="1" applyNumberFormat="1" applyFont="1" applyFill="1" applyBorder="1" applyAlignment="1">
      <alignment vertical="top"/>
    </xf>
    <xf numFmtId="167" fontId="9" fillId="2" borderId="4" xfId="0" applyNumberFormat="1" applyFont="1" applyFill="1" applyBorder="1" applyAlignment="1">
      <alignment horizontal="center" vertical="top"/>
    </xf>
    <xf numFmtId="0" fontId="7" fillId="0" borderId="29" xfId="0" applyFont="1" applyBorder="1" applyAlignment="1">
      <alignment horizontal="center" vertical="top" wrapText="1" readingOrder="1"/>
    </xf>
    <xf numFmtId="0" fontId="8" fillId="0" borderId="30" xfId="0" applyFont="1" applyBorder="1" applyAlignment="1">
      <alignment horizontal="center" vertical="top" wrapText="1" readingOrder="1"/>
    </xf>
    <xf numFmtId="0" fontId="8" fillId="0" borderId="31" xfId="0" applyFont="1" applyBorder="1" applyAlignment="1">
      <alignment horizontal="center" vertical="top" wrapText="1" readingOrder="1"/>
    </xf>
    <xf numFmtId="0" fontId="8" fillId="0" borderId="32" xfId="0" applyFont="1" applyBorder="1" applyAlignment="1">
      <alignment horizontal="center" vertical="top" wrapText="1" readingOrder="1"/>
    </xf>
    <xf numFmtId="1" fontId="4" fillId="0" borderId="6" xfId="0" applyNumberFormat="1" applyFont="1" applyBorder="1" applyAlignment="1">
      <alignment horizontal="center" vertical="top"/>
    </xf>
    <xf numFmtId="0" fontId="8" fillId="0" borderId="33" xfId="0" applyFont="1" applyBorder="1" applyAlignment="1">
      <alignment horizontal="center" vertical="top" wrapText="1" readingOrder="1"/>
    </xf>
    <xf numFmtId="0" fontId="8" fillId="0" borderId="34" xfId="0" applyFont="1" applyBorder="1" applyAlignment="1">
      <alignment horizontal="center" vertical="top" wrapText="1" readingOrder="1"/>
    </xf>
    <xf numFmtId="167" fontId="4" fillId="0" borderId="2" xfId="0" applyNumberFormat="1" applyFont="1" applyBorder="1" applyAlignment="1">
      <alignment horizontal="center" vertical="top"/>
    </xf>
    <xf numFmtId="0" fontId="8" fillId="0" borderId="35" xfId="0" applyFont="1" applyBorder="1" applyAlignment="1">
      <alignment horizontal="center" vertical="top" wrapText="1" readingOrder="1"/>
    </xf>
    <xf numFmtId="0" fontId="5" fillId="0" borderId="0" xfId="4" applyFont="1" applyAlignment="1"/>
    <xf numFmtId="0" fontId="8" fillId="0" borderId="0" xfId="0" applyFont="1" applyAlignment="1">
      <alignment vertical="center" readingOrder="1"/>
    </xf>
    <xf numFmtId="0" fontId="4" fillId="0" borderId="13" xfId="3" applyFont="1" applyBorder="1" applyAlignment="1">
      <alignment horizontal="center"/>
    </xf>
    <xf numFmtId="3" fontId="4" fillId="0" borderId="0" xfId="3" applyNumberFormat="1" applyFont="1" applyAlignment="1">
      <alignment horizontal="center"/>
    </xf>
    <xf numFmtId="3" fontId="4" fillId="0" borderId="0" xfId="3" applyNumberFormat="1" applyFont="1" applyFill="1" applyAlignment="1">
      <alignment horizontal="center"/>
    </xf>
    <xf numFmtId="0" fontId="4" fillId="0" borderId="16" xfId="3" applyFont="1" applyBorder="1" applyAlignment="1">
      <alignment horizontal="left"/>
    </xf>
    <xf numFmtId="0" fontId="4" fillId="0" borderId="15" xfId="3" applyFont="1" applyBorder="1" applyAlignment="1">
      <alignment horizontal="left"/>
    </xf>
    <xf numFmtId="166" fontId="4" fillId="3" borderId="14" xfId="3" applyNumberFormat="1" applyFont="1" applyFill="1" applyBorder="1" applyAlignment="1">
      <alignment horizontal="center"/>
    </xf>
    <xf numFmtId="166" fontId="4" fillId="3" borderId="13" xfId="3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 wrapText="1" readingOrder="1"/>
    </xf>
    <xf numFmtId="0" fontId="8" fillId="0" borderId="36" xfId="0" applyFont="1" applyBorder="1" applyAlignment="1">
      <alignment horizontal="center" vertical="top" wrapText="1" readingOrder="1"/>
    </xf>
    <xf numFmtId="0" fontId="4" fillId="0" borderId="23" xfId="3" applyFont="1" applyBorder="1"/>
    <xf numFmtId="1" fontId="4" fillId="4" borderId="23" xfId="3" applyNumberFormat="1" applyFont="1" applyFill="1" applyBorder="1" applyAlignment="1">
      <alignment horizontal="center"/>
    </xf>
    <xf numFmtId="0" fontId="4" fillId="0" borderId="4" xfId="3" applyFont="1" applyFill="1" applyBorder="1"/>
    <xf numFmtId="0" fontId="4" fillId="0" borderId="23" xfId="3" applyFont="1" applyFill="1" applyBorder="1"/>
    <xf numFmtId="0" fontId="4" fillId="0" borderId="0" xfId="3" quotePrefix="1" applyFont="1" applyAlignment="1">
      <alignment horizontal="center"/>
    </xf>
    <xf numFmtId="0" fontId="7" fillId="0" borderId="37" xfId="0" applyFont="1" applyBorder="1" applyAlignment="1">
      <alignment horizontal="center" vertical="top" wrapText="1" readingOrder="1"/>
    </xf>
    <xf numFmtId="0" fontId="8" fillId="0" borderId="38" xfId="0" applyFont="1" applyBorder="1" applyAlignment="1">
      <alignment horizontal="center" vertical="top" wrapText="1" readingOrder="1"/>
    </xf>
    <xf numFmtId="0" fontId="4" fillId="0" borderId="2" xfId="0" applyFont="1" applyBorder="1" applyAlignment="1">
      <alignment horizontal="center" vertical="top"/>
    </xf>
    <xf numFmtId="0" fontId="10" fillId="0" borderId="0" xfId="0" applyFont="1"/>
    <xf numFmtId="0" fontId="10" fillId="5" borderId="0" xfId="0" applyFont="1" applyFill="1"/>
    <xf numFmtId="0" fontId="10" fillId="6" borderId="0" xfId="0" applyFont="1" applyFill="1"/>
    <xf numFmtId="165" fontId="5" fillId="0" borderId="5" xfId="4" applyNumberFormat="1" applyFont="1" applyBorder="1"/>
    <xf numFmtId="164" fontId="11" fillId="0" borderId="22" xfId="1" applyNumberFormat="1" applyFont="1" applyFill="1" applyBorder="1" applyAlignment="1">
      <alignment vertical="top"/>
    </xf>
    <xf numFmtId="0" fontId="4" fillId="0" borderId="0" xfId="4" applyFont="1" applyFill="1"/>
    <xf numFmtId="167" fontId="11" fillId="0" borderId="4" xfId="0" applyNumberFormat="1" applyFont="1" applyFill="1" applyBorder="1" applyAlignment="1">
      <alignment horizontal="right" vertical="top"/>
    </xf>
    <xf numFmtId="0" fontId="4" fillId="0" borderId="39" xfId="3" applyFont="1" applyBorder="1" applyAlignment="1">
      <alignment horizontal="left"/>
    </xf>
    <xf numFmtId="166" fontId="4" fillId="0" borderId="40" xfId="3" applyNumberFormat="1" applyFont="1" applyFill="1" applyBorder="1" applyAlignment="1">
      <alignment horizontal="center"/>
    </xf>
    <xf numFmtId="3" fontId="4" fillId="0" borderId="40" xfId="3" applyNumberFormat="1" applyFont="1" applyFill="1" applyBorder="1" applyAlignment="1">
      <alignment horizontal="center"/>
    </xf>
    <xf numFmtId="1" fontId="4" fillId="4" borderId="24" xfId="3" applyNumberFormat="1" applyFont="1" applyFill="1" applyBorder="1" applyAlignment="1">
      <alignment horizontal="center"/>
    </xf>
    <xf numFmtId="166" fontId="4" fillId="4" borderId="14" xfId="3" applyNumberFormat="1" applyFont="1" applyFill="1" applyBorder="1" applyAlignment="1">
      <alignment horizontal="center"/>
    </xf>
    <xf numFmtId="3" fontId="4" fillId="4" borderId="14" xfId="3" applyNumberFormat="1" applyFont="1" applyFill="1" applyBorder="1" applyAlignment="1">
      <alignment horizontal="center"/>
    </xf>
    <xf numFmtId="1" fontId="4" fillId="6" borderId="23" xfId="3" applyNumberFormat="1" applyFont="1" applyFill="1" applyBorder="1" applyAlignment="1">
      <alignment horizontal="center"/>
    </xf>
    <xf numFmtId="1" fontId="4" fillId="6" borderId="24" xfId="3" applyNumberFormat="1" applyFont="1" applyFill="1" applyBorder="1" applyAlignment="1">
      <alignment horizontal="center"/>
    </xf>
  </cellXfs>
  <cellStyles count="6">
    <cellStyle name="Comma 2" xfId="2" xr:uid="{E92755C3-5835-42E4-994B-F6CC26DEFB9A}"/>
    <cellStyle name="Currency 2" xfId="1" xr:uid="{C38ED973-A598-4B8F-A66F-17F82C80A3E5}"/>
    <cellStyle name="Normal" xfId="0" builtinId="0"/>
    <cellStyle name="Normal 2" xfId="3" xr:uid="{ED921C7F-81D9-4A85-8D38-B3B3CD7E822B}"/>
    <cellStyle name="Normal 3" xfId="4" xr:uid="{3ADB891C-8658-4F51-82CC-4972E2B4E609}"/>
    <cellStyle name="Normal 4" xfId="5" xr:uid="{695E9363-D74B-40BF-85E0-CC907B61A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'1.AggregatePlanBaseLP-Ard'!$A$1</c:f>
          <c:strCache>
            <c:ptCount val="1"/>
            <c:pt idx="0">
              <c:v>Aggregate Plan 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'1.AggregatePlanBaseLP-Ard'!$B$3</c:f>
              <c:strCache>
                <c:ptCount val="1"/>
                <c:pt idx="0">
                  <c:v>RegimeProd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'1.AggregatePlanBaseLP-Ard'!$A$5:$A$10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'1.AggregatePlanBaseLP-Ard'!$B$5:$B$10</c:f>
              <c:numCache>
                <c:formatCode>#,##0.0</c:formatCode>
                <c:ptCount val="6"/>
                <c:pt idx="0">
                  <c:v>3200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3DF-4591-8958-E60AD675E809}"/>
            </c:ext>
          </c:extLst>
        </c:ser>
        <c:ser>
          <c:idx val="1"/>
          <c:order val="1"/>
          <c:tx>
            <c:strRef>
              <c:f>'1.AggregatePlanBaseLP-Ard'!$J$3</c:f>
              <c:strCache>
                <c:ptCount val="1"/>
                <c:pt idx="0">
                  <c:v>Demand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'1.AggregatePlanBaseLP-Ard'!$A$5:$A$10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'1.AggregatePlanBaseLP-Ard'!$J$5:$J$10</c:f>
              <c:numCache>
                <c:formatCode>_(* #,##0_);_(* \(#,##0\);_(* "-"??_);_(@_)</c:formatCode>
                <c:ptCount val="6"/>
                <c:pt idx="0">
                  <c:v>1600</c:v>
                </c:pt>
                <c:pt idx="1">
                  <c:v>3000</c:v>
                </c:pt>
                <c:pt idx="2">
                  <c:v>3200</c:v>
                </c:pt>
                <c:pt idx="3">
                  <c:v>3800</c:v>
                </c:pt>
                <c:pt idx="4">
                  <c:v>2200</c:v>
                </c:pt>
                <c:pt idx="5">
                  <c:v>2200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3DF-4591-8958-E60AD675E809}"/>
            </c:ext>
          </c:extLst>
        </c:ser>
        <c:ser>
          <c:idx val="2"/>
          <c:order val="2"/>
          <c:tx>
            <c:strRef>
              <c:f>'1.AggregatePlanBaseLP-Ard'!$G$3</c:f>
              <c:strCache>
                <c:ptCount val="1"/>
                <c:pt idx="0">
                  <c:v>Inventory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'1.AggregatePlanBaseLP-Ard'!$A$5:$A$10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'1.AggregatePlanBaseLP-Ard'!$G$5:$G$10</c:f>
              <c:numCache>
                <c:formatCode>#,##0.0</c:formatCode>
                <c:ptCount val="6"/>
                <c:pt idx="0">
                  <c:v>14400</c:v>
                </c:pt>
                <c:pt idx="1">
                  <c:v>11400</c:v>
                </c:pt>
                <c:pt idx="2">
                  <c:v>8200</c:v>
                </c:pt>
                <c:pt idx="3">
                  <c:v>4400</c:v>
                </c:pt>
                <c:pt idx="4">
                  <c:v>2200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3DF-4591-8958-E60AD675E809}"/>
            </c:ext>
          </c:extLst>
        </c:ser>
        <c:ser>
          <c:idx val="3"/>
          <c:order val="3"/>
          <c:tx>
            <c:strRef>
              <c:f>'1.AggregatePlanBaseLP-Ard'!$D$3</c:f>
              <c:strCache>
                <c:ptCount val="1"/>
                <c:pt idx="0">
                  <c:v>Subcontract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'1.AggregatePlanBaseLP-Ard'!$A$5:$A$10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'1.AggregatePlanBaseLP-Ard'!$D$5:$D$10</c:f>
              <c:numCache>
                <c:formatCode>#,##0.0</c:formatCode>
                <c:ptCount val="6"/>
                <c:pt idx="0">
                  <c:v>11600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3DF-4591-8958-E60AD675E809}"/>
            </c:ext>
          </c:extLst>
        </c:ser>
        <c:ser>
          <c:idx val="4"/>
          <c:order val="4"/>
          <c:tx>
            <c:strRef>
              <c:f>'1.AggregatePlanBaseLP-Ard'!$H$3</c:f>
              <c:strCache>
                <c:ptCount val="1"/>
                <c:pt idx="0">
                  <c:v>Stockout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'1.AggregatePlanBaseLP-Ard'!$A$5:$A$10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'1.AggregatePlanBaseLP-Ard'!$H$5:$H$10</c:f>
              <c:numCache>
                <c:formatCode>#,##0.0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3DF-4591-8958-E60AD675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0933232"/>
        <c:axId val="820934064"/>
      </c:scatterChart>
      <c:valAx>
        <c:axId val="820933232"/>
        <c:scaling>
          <c:orientation val="minMax"/>
          <c:max val="6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20934064"/>
        <c:crosses val="autoZero"/>
        <c:crossBetween val="midCat"/>
      </c:valAx>
      <c:valAx>
        <c:axId val="82093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820933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64080</xdr:colOff>
      <xdr:row>13</xdr:row>
      <xdr:rowOff>54400</xdr:rowOff>
    </xdr:from>
    <xdr:to>
      <xdr:col>26</xdr:col>
      <xdr:colOff>821921</xdr:colOff>
      <xdr:row>32</xdr:row>
      <xdr:rowOff>34933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47C3CA-701F-4DA0-90F1-74CB3918D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263" y="3260376"/>
          <a:ext cx="5090554" cy="3999619"/>
        </a:xfrm>
        <a:prstGeom prst="rect">
          <a:avLst/>
        </a:prstGeom>
      </xdr:spPr>
    </xdr:pic>
    <xdr:clientData/>
  </xdr:twoCellAnchor>
  <xdr:twoCellAnchor>
    <xdr:from>
      <xdr:col>20</xdr:col>
      <xdr:colOff>336859</xdr:colOff>
      <xdr:row>17</xdr:row>
      <xdr:rowOff>92928</xdr:rowOff>
    </xdr:from>
    <xdr:to>
      <xdr:col>25</xdr:col>
      <xdr:colOff>400009</xdr:colOff>
      <xdr:row>30</xdr:row>
      <xdr:rowOff>104116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1271A9-1074-4F64-A081-3DAF9F3253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19</xdr:col>
      <xdr:colOff>557561</xdr:colOff>
      <xdr:row>25</xdr:row>
      <xdr:rowOff>34846</xdr:rowOff>
    </xdr:from>
    <xdr:to>
      <xdr:col>25</xdr:col>
      <xdr:colOff>5808</xdr:colOff>
      <xdr:row>38</xdr:row>
      <xdr:rowOff>14867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530ECB-E74D-4A28-88E2-8F8FA6054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7439" y="5598840"/>
          <a:ext cx="4605686" cy="2767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545947</xdr:colOff>
      <xdr:row>16</xdr:row>
      <xdr:rowOff>185855</xdr:rowOff>
    </xdr:from>
    <xdr:to>
      <xdr:col>25</xdr:col>
      <xdr:colOff>612622</xdr:colOff>
      <xdr:row>29</xdr:row>
      <xdr:rowOff>218612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38C6FBF-6938-4F0E-9DE0-26B356ECC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1465" y="4007471"/>
          <a:ext cx="4608474" cy="277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8F45-686E-4A60-90BB-38625D4E6A1A}">
  <sheetPr>
    <tabColor rgb="FFFFFF00"/>
    <pageSetUpPr fitToPage="1"/>
  </sheetPr>
  <dimension ref="A1:AD39"/>
  <sheetViews>
    <sheetView tabSelected="1" zoomScale="82" zoomScaleNormal="82" workbookViewId="0">
      <selection activeCell="J13" sqref="J13"/>
    </sheetView>
  </sheetViews>
  <sheetFormatPr defaultColWidth="9.140625" defaultRowHeight="16.5" x14ac:dyDescent="0.3"/>
  <cols>
    <col min="1" max="1" width="8.7109375" style="1" customWidth="1"/>
    <col min="2" max="2" width="13" style="1" bestFit="1" customWidth="1"/>
    <col min="3" max="3" width="15.140625" style="1" customWidth="1"/>
    <col min="4" max="4" width="12.42578125" style="1" customWidth="1"/>
    <col min="5" max="5" width="10.42578125" style="1" bestFit="1" customWidth="1"/>
    <col min="6" max="6" width="10.140625" style="1" customWidth="1"/>
    <col min="7" max="7" width="10.140625" style="1" bestFit="1" customWidth="1"/>
    <col min="8" max="8" width="11.85546875" style="1" customWidth="1"/>
    <col min="9" max="9" width="14.5703125" style="1" customWidth="1"/>
    <col min="10" max="10" width="11.7109375" style="1" bestFit="1" customWidth="1"/>
    <col min="11" max="11" width="9.28515625" style="1" bestFit="1" customWidth="1"/>
    <col min="12" max="12" width="5.42578125" style="1" customWidth="1"/>
    <col min="13" max="13" width="11.7109375" style="1" customWidth="1"/>
    <col min="14" max="14" width="14.140625" style="1" bestFit="1" customWidth="1"/>
    <col min="15" max="15" width="15.140625" style="1" bestFit="1" customWidth="1"/>
    <col min="16" max="16" width="10.42578125" style="1" bestFit="1" customWidth="1"/>
    <col min="17" max="17" width="10.140625" style="1" customWidth="1"/>
    <col min="18" max="18" width="4" style="1" customWidth="1"/>
    <col min="19" max="19" width="42.42578125" style="1" customWidth="1"/>
    <col min="20" max="20" width="9.28515625" style="1" customWidth="1"/>
    <col min="21" max="21" width="9.28515625" style="61" customWidth="1"/>
    <col min="22" max="22" width="9.140625" style="1"/>
    <col min="23" max="23" width="20" style="1" customWidth="1"/>
    <col min="24" max="24" width="16.42578125" style="1" customWidth="1"/>
    <col min="25" max="25" width="13.42578125" style="1" customWidth="1"/>
    <col min="26" max="26" width="15.140625" style="1" customWidth="1"/>
    <col min="27" max="27" width="13.5703125" style="1" customWidth="1"/>
    <col min="28" max="28" width="19.28515625" style="1" customWidth="1"/>
    <col min="29" max="29" width="17.42578125" style="1" customWidth="1"/>
    <col min="30" max="30" width="17.5703125" style="1" customWidth="1"/>
    <col min="31" max="16384" width="9.140625" style="1"/>
  </cols>
  <sheetData>
    <row r="1" spans="1:30" ht="34.5" customHeight="1" thickBot="1" x14ac:dyDescent="0.35">
      <c r="A1" s="1" t="s">
        <v>61</v>
      </c>
      <c r="C1" s="1" t="s">
        <v>62</v>
      </c>
      <c r="M1" s="1" t="s">
        <v>41</v>
      </c>
      <c r="W1" s="58" t="s">
        <v>42</v>
      </c>
      <c r="X1" s="33" t="s">
        <v>43</v>
      </c>
      <c r="Y1" s="33" t="s">
        <v>44</v>
      </c>
      <c r="Z1" s="33" t="s">
        <v>70</v>
      </c>
      <c r="AA1" s="51" t="s">
        <v>45</v>
      </c>
      <c r="AB1" s="33" t="s">
        <v>69</v>
      </c>
      <c r="AC1" s="33" t="s">
        <v>46</v>
      </c>
      <c r="AD1" s="33" t="s">
        <v>47</v>
      </c>
    </row>
    <row r="2" spans="1:30" ht="18" thickTop="1" thickBot="1" x14ac:dyDescent="0.35">
      <c r="A2" s="13"/>
      <c r="B2" s="12" t="s">
        <v>30</v>
      </c>
      <c r="C2" s="12" t="s">
        <v>28</v>
      </c>
      <c r="D2" s="12" t="s">
        <v>39</v>
      </c>
      <c r="E2" s="12" t="s">
        <v>25</v>
      </c>
      <c r="F2" s="12" t="s">
        <v>26</v>
      </c>
      <c r="G2" s="12" t="s">
        <v>29</v>
      </c>
      <c r="H2" s="12" t="s">
        <v>40</v>
      </c>
      <c r="I2" s="12" t="s">
        <v>27</v>
      </c>
      <c r="W2" s="59" t="s">
        <v>48</v>
      </c>
      <c r="X2" s="34">
        <v>15</v>
      </c>
      <c r="Y2" s="34">
        <v>54</v>
      </c>
      <c r="Z2" s="34">
        <v>8</v>
      </c>
      <c r="AA2" s="52">
        <v>50</v>
      </c>
      <c r="AB2" s="34">
        <v>5.6</v>
      </c>
      <c r="AC2" s="34">
        <f t="shared" ref="AC2:AC7" si="0">(Z2+AA2*AB2)/AA2</f>
        <v>5.76</v>
      </c>
      <c r="AD2" s="34">
        <v>10</v>
      </c>
    </row>
    <row r="3" spans="1:30" ht="17.25" thickBot="1" x14ac:dyDescent="0.35">
      <c r="A3" s="6" t="s">
        <v>0</v>
      </c>
      <c r="B3" s="44" t="s">
        <v>63</v>
      </c>
      <c r="C3" s="44" t="s">
        <v>64</v>
      </c>
      <c r="D3" s="44" t="s">
        <v>3</v>
      </c>
      <c r="E3" s="44" t="s">
        <v>65</v>
      </c>
      <c r="F3" s="44" t="s">
        <v>66</v>
      </c>
      <c r="G3" s="44" t="s">
        <v>24</v>
      </c>
      <c r="H3" s="44" t="s">
        <v>23</v>
      </c>
      <c r="I3" s="44" t="s">
        <v>31</v>
      </c>
      <c r="J3" s="11" t="s">
        <v>22</v>
      </c>
      <c r="K3" s="10" t="s">
        <v>32</v>
      </c>
      <c r="M3" s="55" t="s">
        <v>31</v>
      </c>
      <c r="N3" s="55" t="s">
        <v>67</v>
      </c>
      <c r="O3" s="10" t="s">
        <v>68</v>
      </c>
      <c r="P3" s="10" t="s">
        <v>24</v>
      </c>
      <c r="S3" s="9" t="s">
        <v>38</v>
      </c>
      <c r="T3" s="2"/>
      <c r="V3" s="2"/>
      <c r="W3" s="38" t="s">
        <v>49</v>
      </c>
      <c r="X3" s="35">
        <v>7</v>
      </c>
      <c r="Y3" s="35">
        <v>30</v>
      </c>
      <c r="Z3" s="35">
        <v>6</v>
      </c>
      <c r="AA3" s="38">
        <v>150</v>
      </c>
      <c r="AB3" s="35">
        <v>3</v>
      </c>
      <c r="AC3" s="35">
        <f t="shared" si="0"/>
        <v>3.04</v>
      </c>
      <c r="AD3" s="35">
        <v>25</v>
      </c>
    </row>
    <row r="4" spans="1:30" ht="17.25" thickBot="1" x14ac:dyDescent="0.35">
      <c r="A4" s="68">
        <v>0</v>
      </c>
      <c r="B4" s="69">
        <v>0</v>
      </c>
      <c r="C4" s="69">
        <v>0</v>
      </c>
      <c r="D4" s="69">
        <v>0</v>
      </c>
      <c r="E4" s="69">
        <v>0</v>
      </c>
      <c r="F4" s="69">
        <v>0</v>
      </c>
      <c r="G4" s="69">
        <v>1000</v>
      </c>
      <c r="H4" s="69">
        <v>0</v>
      </c>
      <c r="I4" s="70">
        <v>80</v>
      </c>
      <c r="J4" s="8"/>
      <c r="K4" s="8"/>
      <c r="M4" s="56"/>
      <c r="N4" s="56"/>
      <c r="O4" s="53"/>
      <c r="P4" s="53"/>
      <c r="S4" s="4" t="s">
        <v>20</v>
      </c>
      <c r="T4" s="3"/>
      <c r="V4" s="2"/>
      <c r="W4" s="38" t="s">
        <v>50</v>
      </c>
      <c r="X4" s="35">
        <v>9</v>
      </c>
      <c r="Y4" s="35">
        <v>39</v>
      </c>
      <c r="Z4" s="35">
        <v>8</v>
      </c>
      <c r="AA4" s="38">
        <v>100</v>
      </c>
      <c r="AB4" s="35">
        <v>3.8</v>
      </c>
      <c r="AC4" s="35">
        <f t="shared" si="0"/>
        <v>3.88</v>
      </c>
      <c r="AD4" s="35">
        <v>20</v>
      </c>
    </row>
    <row r="5" spans="1:30" ht="17.25" thickBot="1" x14ac:dyDescent="0.35">
      <c r="A5" s="47">
        <v>1</v>
      </c>
      <c r="B5" s="49">
        <v>3200</v>
      </c>
      <c r="C5" s="49">
        <v>200</v>
      </c>
      <c r="D5" s="49">
        <v>11600</v>
      </c>
      <c r="E5" s="49">
        <v>0</v>
      </c>
      <c r="F5" s="49">
        <v>0</v>
      </c>
      <c r="G5" s="72">
        <f>MAX(SUM(B5:D5)+G4-H4-J5,0)</f>
        <v>14400</v>
      </c>
      <c r="H5" s="72">
        <f>MAX(0,J5+H4-G4-SUM(B5:D5))</f>
        <v>0</v>
      </c>
      <c r="I5" s="73">
        <f>I4+E5-F5</f>
        <v>80</v>
      </c>
      <c r="J5" s="64">
        <f>T7</f>
        <v>1600</v>
      </c>
      <c r="K5" s="7"/>
      <c r="M5" s="74">
        <f>I4+E5-F5-I5</f>
        <v>0</v>
      </c>
      <c r="N5" s="54">
        <f>B5-$I5*$T$31</f>
        <v>0</v>
      </c>
      <c r="O5" s="54">
        <f>C5-$I5*$T$33</f>
        <v>0</v>
      </c>
      <c r="P5" s="74">
        <f>G4+SUM(B5:D5)-(H4+J5+G5-H5)</f>
        <v>0</v>
      </c>
      <c r="S5" s="3" t="s">
        <v>37</v>
      </c>
      <c r="T5" s="3">
        <v>1000</v>
      </c>
      <c r="V5" s="2"/>
      <c r="W5" s="38" t="s">
        <v>51</v>
      </c>
      <c r="X5" s="35">
        <v>12</v>
      </c>
      <c r="Y5" s="35">
        <v>49</v>
      </c>
      <c r="Z5" s="35">
        <v>10</v>
      </c>
      <c r="AA5" s="38">
        <v>50</v>
      </c>
      <c r="AB5" s="35">
        <v>4.8</v>
      </c>
      <c r="AC5" s="35">
        <f t="shared" si="0"/>
        <v>5</v>
      </c>
      <c r="AD5" s="35">
        <v>10</v>
      </c>
    </row>
    <row r="6" spans="1:30" ht="17.25" thickBot="1" x14ac:dyDescent="0.35">
      <c r="A6" s="47">
        <v>2</v>
      </c>
      <c r="B6" s="49">
        <v>0</v>
      </c>
      <c r="C6" s="49">
        <v>0</v>
      </c>
      <c r="D6" s="49">
        <v>0</v>
      </c>
      <c r="E6" s="49">
        <v>0</v>
      </c>
      <c r="F6" s="49">
        <v>0</v>
      </c>
      <c r="G6" s="72">
        <f>MAX(SUM(B6:D6)+G5-H5-J6,0)</f>
        <v>11400</v>
      </c>
      <c r="H6" s="72">
        <f>MAX(0,J6+H5-G5-SUM(B6:D6))</f>
        <v>0</v>
      </c>
      <c r="I6" s="73">
        <f t="shared" ref="I6:I10" si="1">I5+E6-F6</f>
        <v>80</v>
      </c>
      <c r="J6" s="64">
        <f t="shared" ref="J6:J10" si="2">T8</f>
        <v>3000</v>
      </c>
      <c r="K6" s="7"/>
      <c r="M6" s="74">
        <f>I5+E6-F6-I6</f>
        <v>0</v>
      </c>
      <c r="N6" s="54">
        <f t="shared" ref="N6:N10" si="3">B6-$I6*$T$31</f>
        <v>-3200</v>
      </c>
      <c r="O6" s="54">
        <f t="shared" ref="O6:O10" si="4">C6-$I6*$T$33</f>
        <v>-200</v>
      </c>
      <c r="P6" s="74">
        <f>G5+SUM(B6:D6)-(H5+J6+G6-H6)</f>
        <v>0</v>
      </c>
      <c r="S6" s="14" t="s">
        <v>21</v>
      </c>
      <c r="T6" s="15" t="s">
        <v>22</v>
      </c>
      <c r="V6" s="2"/>
      <c r="W6" s="38" t="s">
        <v>52</v>
      </c>
      <c r="X6" s="35">
        <v>9</v>
      </c>
      <c r="Y6" s="35">
        <v>36</v>
      </c>
      <c r="Z6" s="35">
        <v>6</v>
      </c>
      <c r="AA6" s="38">
        <v>100</v>
      </c>
      <c r="AB6" s="35">
        <v>3.6</v>
      </c>
      <c r="AC6" s="35">
        <f t="shared" si="0"/>
        <v>3.66</v>
      </c>
      <c r="AD6" s="35">
        <v>20</v>
      </c>
    </row>
    <row r="7" spans="1:30" ht="17.25" thickBot="1" x14ac:dyDescent="0.35">
      <c r="A7" s="47">
        <v>3</v>
      </c>
      <c r="B7" s="49">
        <v>0</v>
      </c>
      <c r="C7" s="49">
        <v>0</v>
      </c>
      <c r="D7" s="49">
        <v>0</v>
      </c>
      <c r="E7" s="49">
        <v>0</v>
      </c>
      <c r="F7" s="49">
        <v>0</v>
      </c>
      <c r="G7" s="72">
        <f>MAX(SUM(B7:D7)+G6-H6-J7,0)</f>
        <v>8200</v>
      </c>
      <c r="H7" s="72">
        <f>MAX(0,J7+H6-G6-SUM(B7:D7))</f>
        <v>0</v>
      </c>
      <c r="I7" s="73">
        <f t="shared" si="1"/>
        <v>80</v>
      </c>
      <c r="J7" s="64">
        <f t="shared" si="2"/>
        <v>3200</v>
      </c>
      <c r="K7" s="7"/>
      <c r="M7" s="74">
        <f>I6+E7-F7-I7</f>
        <v>0</v>
      </c>
      <c r="N7" s="54">
        <f t="shared" si="3"/>
        <v>-3200</v>
      </c>
      <c r="O7" s="54">
        <f t="shared" si="4"/>
        <v>-200</v>
      </c>
      <c r="P7" s="74">
        <f>G6+SUM(B7:D7)-(H6+J7+G7-H7)</f>
        <v>0</v>
      </c>
      <c r="S7" s="16" t="s">
        <v>19</v>
      </c>
      <c r="T7" s="17">
        <v>1600</v>
      </c>
      <c r="U7" s="62">
        <v>1000</v>
      </c>
      <c r="V7" s="2"/>
      <c r="W7" s="39" t="s">
        <v>53</v>
      </c>
      <c r="X7" s="41">
        <v>13</v>
      </c>
      <c r="Y7" s="41">
        <v>48</v>
      </c>
      <c r="Z7" s="36">
        <v>5</v>
      </c>
      <c r="AA7" s="39">
        <v>75</v>
      </c>
      <c r="AB7" s="36">
        <v>4.3</v>
      </c>
      <c r="AC7" s="36">
        <f t="shared" si="0"/>
        <v>4.3666666666666663</v>
      </c>
      <c r="AD7" s="36">
        <v>15</v>
      </c>
    </row>
    <row r="8" spans="1:30" ht="18" thickTop="1" thickBot="1" x14ac:dyDescent="0.35">
      <c r="A8" s="47">
        <v>4</v>
      </c>
      <c r="B8" s="49">
        <v>0</v>
      </c>
      <c r="C8" s="49">
        <v>0</v>
      </c>
      <c r="D8" s="49">
        <v>0</v>
      </c>
      <c r="E8" s="49">
        <v>0</v>
      </c>
      <c r="F8" s="49">
        <v>0</v>
      </c>
      <c r="G8" s="72">
        <f>MAX(SUM(B8:D8)+G7-H7-J8,0)</f>
        <v>4400</v>
      </c>
      <c r="H8" s="72">
        <f>MAX(0,J8+H7-G7-SUM(B8:D8))</f>
        <v>0</v>
      </c>
      <c r="I8" s="73">
        <f t="shared" si="1"/>
        <v>80</v>
      </c>
      <c r="J8" s="64">
        <f t="shared" si="2"/>
        <v>3800</v>
      </c>
      <c r="K8" s="7"/>
      <c r="M8" s="74">
        <f>I7+E8-F8-I8</f>
        <v>0</v>
      </c>
      <c r="N8" s="54">
        <f t="shared" si="3"/>
        <v>-3200</v>
      </c>
      <c r="O8" s="54">
        <f t="shared" si="4"/>
        <v>-200</v>
      </c>
      <c r="P8" s="74">
        <f>G7+SUM(B8:D8)-(H7+J8+G8-H8)</f>
        <v>0</v>
      </c>
      <c r="S8" s="16" t="s">
        <v>18</v>
      </c>
      <c r="T8" s="17">
        <v>3000</v>
      </c>
      <c r="U8" s="62">
        <v>3000</v>
      </c>
      <c r="V8" s="2"/>
      <c r="W8" s="60" t="s">
        <v>54</v>
      </c>
      <c r="X8" s="32">
        <f>SUMPRODUCT(X2:X7,$AD$2:$AD$7)/100</f>
        <v>10</v>
      </c>
      <c r="Y8" s="32">
        <f>SUMPRODUCT(Y2:Y7,$AD$2:$AD$7)/100</f>
        <v>40</v>
      </c>
      <c r="Z8" s="40">
        <f>SUMPRODUCT(Z2:Z7,$AD$2:$AD$7)/100</f>
        <v>6.85</v>
      </c>
      <c r="AA8" s="40">
        <f t="shared" ref="AA8:AB8" si="5">SUMPRODUCT(AA2:AA7,$AD$2:$AD$7)/100</f>
        <v>98.75</v>
      </c>
      <c r="AB8" s="40">
        <f t="shared" si="5"/>
        <v>3.915</v>
      </c>
      <c r="AC8" s="32">
        <f>SUMPRODUCT(AC2:AC7,$AD$2:$AD$7)/100</f>
        <v>3.9989999999999997</v>
      </c>
      <c r="AD8" s="37">
        <f>SUM(AD2:AD7)</f>
        <v>100</v>
      </c>
    </row>
    <row r="9" spans="1:30" x14ac:dyDescent="0.3">
      <c r="A9" s="47">
        <v>5</v>
      </c>
      <c r="B9" s="49">
        <v>0</v>
      </c>
      <c r="C9" s="49">
        <v>0</v>
      </c>
      <c r="D9" s="49">
        <v>0</v>
      </c>
      <c r="E9" s="49">
        <v>0</v>
      </c>
      <c r="F9" s="49">
        <v>0</v>
      </c>
      <c r="G9" s="72">
        <f>MAX(SUM(B9:D9)+G8-H8-J9,0)</f>
        <v>2200</v>
      </c>
      <c r="H9" s="72">
        <f>MAX(0,J9+H8-G8-SUM(B9:D9))</f>
        <v>0</v>
      </c>
      <c r="I9" s="73">
        <f t="shared" si="1"/>
        <v>80</v>
      </c>
      <c r="J9" s="64">
        <f t="shared" si="2"/>
        <v>2200</v>
      </c>
      <c r="K9" s="7"/>
      <c r="M9" s="74">
        <f>I8+E9-F9-I9</f>
        <v>0</v>
      </c>
      <c r="N9" s="54">
        <f t="shared" si="3"/>
        <v>-3200</v>
      </c>
      <c r="O9" s="54">
        <f t="shared" si="4"/>
        <v>-200</v>
      </c>
      <c r="P9" s="74">
        <f>G8+SUM(B9:D9)-(H8+J9+G9-H9)</f>
        <v>0</v>
      </c>
      <c r="S9" s="16" t="s">
        <v>17</v>
      </c>
      <c r="T9" s="17">
        <v>3200</v>
      </c>
      <c r="U9" s="62">
        <v>3800</v>
      </c>
      <c r="V9" s="2"/>
      <c r="W9" s="61"/>
      <c r="X9" s="61"/>
      <c r="Y9" s="61"/>
      <c r="Z9" s="61"/>
      <c r="AA9" s="61"/>
      <c r="AB9" s="61"/>
      <c r="AC9" s="61"/>
      <c r="AD9" s="61"/>
    </row>
    <row r="10" spans="1:30" ht="17.25" thickBot="1" x14ac:dyDescent="0.35">
      <c r="A10" s="48">
        <v>6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72">
        <f>MAX(SUM(B10:D10)+G9-H9-J10,0)</f>
        <v>0</v>
      </c>
      <c r="H10" s="72">
        <f>MAX(0,J10+H9-G9-SUM(B10:D10))</f>
        <v>0</v>
      </c>
      <c r="I10" s="73">
        <f t="shared" si="1"/>
        <v>80</v>
      </c>
      <c r="J10" s="64">
        <f t="shared" si="2"/>
        <v>2200</v>
      </c>
      <c r="K10" s="5"/>
      <c r="M10" s="75">
        <f>I9+E10-F10-I10</f>
        <v>0</v>
      </c>
      <c r="N10" s="71">
        <f t="shared" si="3"/>
        <v>-3200</v>
      </c>
      <c r="O10" s="71">
        <f t="shared" si="4"/>
        <v>-200</v>
      </c>
      <c r="P10" s="75">
        <f>G9+SUM(B10:D10)-(H9+J10+G10-H10)</f>
        <v>0</v>
      </c>
      <c r="S10" s="16" t="s">
        <v>16</v>
      </c>
      <c r="T10" s="17">
        <v>3800</v>
      </c>
      <c r="U10" s="62">
        <v>4800</v>
      </c>
      <c r="V10" s="2"/>
      <c r="W10" s="2"/>
      <c r="X10" s="2"/>
    </row>
    <row r="11" spans="1:30" ht="17.25" thickBot="1" x14ac:dyDescent="0.35">
      <c r="B11" s="45">
        <f t="shared" ref="B11:I11" si="6">SUM(B5:B10)</f>
        <v>3200</v>
      </c>
      <c r="C11" s="45">
        <f t="shared" si="6"/>
        <v>200</v>
      </c>
      <c r="D11" s="45">
        <f t="shared" si="6"/>
        <v>11600</v>
      </c>
      <c r="E11" s="45">
        <f>SUM(E5:E10)</f>
        <v>0</v>
      </c>
      <c r="F11" s="45">
        <f>SUM(F5:F10)</f>
        <v>0</v>
      </c>
      <c r="G11" s="45">
        <f>SUM(G5:G10)</f>
        <v>40600</v>
      </c>
      <c r="H11" s="45">
        <f>SUM(H5:H10)</f>
        <v>0</v>
      </c>
      <c r="I11" s="45">
        <f t="shared" si="6"/>
        <v>480</v>
      </c>
      <c r="M11" s="57" t="s">
        <v>36</v>
      </c>
      <c r="N11" s="57" t="s">
        <v>33</v>
      </c>
      <c r="O11" s="57" t="s">
        <v>33</v>
      </c>
      <c r="P11" s="57" t="s">
        <v>36</v>
      </c>
      <c r="S11" s="16" t="s">
        <v>15</v>
      </c>
      <c r="T11" s="17">
        <v>2200</v>
      </c>
      <c r="U11" s="62">
        <v>2000</v>
      </c>
      <c r="V11" s="2"/>
      <c r="W11" s="2"/>
      <c r="X11" s="2"/>
    </row>
    <row r="12" spans="1:30" s="2" customFormat="1" ht="17.25" thickBot="1" x14ac:dyDescent="0.35">
      <c r="B12" s="46">
        <f>T17</f>
        <v>10</v>
      </c>
      <c r="C12" s="46">
        <f>B12+T27*T23</f>
        <v>34</v>
      </c>
      <c r="D12" s="46">
        <f>T24</f>
        <v>30</v>
      </c>
      <c r="E12" s="46">
        <f>T20</f>
        <v>300</v>
      </c>
      <c r="F12" s="46">
        <f>T21</f>
        <v>500</v>
      </c>
      <c r="G12" s="46">
        <f>T18</f>
        <v>2</v>
      </c>
      <c r="H12" s="46">
        <f>T19</f>
        <v>5</v>
      </c>
      <c r="I12" s="46">
        <f>T25</f>
        <v>640</v>
      </c>
      <c r="J12" s="25">
        <f>SUMPRODUCT(B11:I11,B12:I12)</f>
        <v>775200</v>
      </c>
      <c r="S12" s="18" t="s">
        <v>14</v>
      </c>
      <c r="T12" s="19">
        <v>2200</v>
      </c>
      <c r="U12" s="62">
        <v>1400</v>
      </c>
      <c r="V12" s="61">
        <v>433080</v>
      </c>
    </row>
    <row r="13" spans="1:30" s="2" customFormat="1" ht="15" customHeight="1" x14ac:dyDescent="0.3">
      <c r="S13" s="4" t="s">
        <v>35</v>
      </c>
      <c r="T13" s="4">
        <v>500</v>
      </c>
      <c r="U13" s="61"/>
    </row>
    <row r="14" spans="1:30" s="2" customFormat="1" x14ac:dyDescent="0.3">
      <c r="A14" s="43"/>
      <c r="C14" s="42"/>
      <c r="D14" s="42"/>
      <c r="T14" s="2">
        <v>422660</v>
      </c>
    </row>
    <row r="15" spans="1:30" s="2" customFormat="1" ht="17.25" thickBot="1" x14ac:dyDescent="0.35">
      <c r="A15" s="43"/>
      <c r="C15" s="42"/>
      <c r="D15" s="42"/>
      <c r="S15" s="4" t="s">
        <v>2</v>
      </c>
      <c r="U15" s="61"/>
    </row>
    <row r="16" spans="1:30" s="2" customFormat="1" ht="15" customHeight="1" thickBot="1" x14ac:dyDescent="0.35">
      <c r="A16" s="43"/>
      <c r="C16" s="42"/>
      <c r="D16" s="42"/>
      <c r="J16" s="2">
        <v>284600</v>
      </c>
      <c r="S16" s="20" t="s">
        <v>13</v>
      </c>
      <c r="T16" s="21" t="s">
        <v>1</v>
      </c>
      <c r="U16" s="61"/>
    </row>
    <row r="17" spans="1:22" s="2" customFormat="1" x14ac:dyDescent="0.3">
      <c r="A17" s="43"/>
      <c r="C17" s="42"/>
      <c r="D17" s="42"/>
      <c r="J17" s="2">
        <v>422275.00000000006</v>
      </c>
      <c r="S17" s="22" t="s">
        <v>12</v>
      </c>
      <c r="T17" s="65">
        <f>ROUND(X8,0)</f>
        <v>10</v>
      </c>
      <c r="U17" s="61"/>
    </row>
    <row r="18" spans="1:22" s="2" customFormat="1" x14ac:dyDescent="0.3">
      <c r="A18" s="43"/>
      <c r="C18" s="42"/>
      <c r="D18" s="42"/>
      <c r="J18" s="61"/>
      <c r="K18" s="61"/>
      <c r="L18" s="61"/>
      <c r="M18" s="61"/>
      <c r="N18" s="61"/>
      <c r="S18" s="23" t="s">
        <v>11</v>
      </c>
      <c r="T18" s="65">
        <v>2</v>
      </c>
      <c r="U18" s="61"/>
    </row>
    <row r="19" spans="1:22" s="2" customFormat="1" ht="15.75" customHeight="1" x14ac:dyDescent="0.3">
      <c r="A19" s="43"/>
      <c r="C19" s="42"/>
      <c r="D19" s="42"/>
      <c r="J19" s="61"/>
      <c r="K19" s="61"/>
      <c r="L19" s="61"/>
      <c r="M19" s="61"/>
      <c r="N19" s="61"/>
      <c r="S19" s="23" t="s">
        <v>10</v>
      </c>
      <c r="T19" s="65">
        <v>5</v>
      </c>
      <c r="U19" s="61"/>
    </row>
    <row r="20" spans="1:22" s="2" customFormat="1" x14ac:dyDescent="0.3">
      <c r="A20" s="43"/>
      <c r="C20" s="42"/>
      <c r="D20" s="42"/>
      <c r="J20" s="61"/>
      <c r="K20" s="61"/>
      <c r="L20" s="61"/>
      <c r="M20" s="61"/>
      <c r="N20" s="61"/>
      <c r="S20" s="23" t="s">
        <v>9</v>
      </c>
      <c r="T20" s="65">
        <v>300</v>
      </c>
      <c r="U20" s="63">
        <v>50</v>
      </c>
    </row>
    <row r="21" spans="1:22" s="2" customFormat="1" x14ac:dyDescent="0.3">
      <c r="A21" s="43"/>
      <c r="C21" s="42"/>
      <c r="D21" s="42"/>
      <c r="J21" s="61"/>
      <c r="K21" s="61"/>
      <c r="L21" s="61"/>
      <c r="M21" s="61"/>
      <c r="N21" s="61"/>
      <c r="S21" s="23" t="s">
        <v>8</v>
      </c>
      <c r="T21" s="65">
        <v>500</v>
      </c>
      <c r="U21" s="63">
        <v>50</v>
      </c>
      <c r="V21" s="61">
        <v>412770</v>
      </c>
    </row>
    <row r="22" spans="1:22" s="2" customFormat="1" x14ac:dyDescent="0.3">
      <c r="J22" s="61"/>
      <c r="K22" s="61"/>
      <c r="L22" s="61"/>
      <c r="M22" s="61"/>
      <c r="N22" s="61"/>
      <c r="S22" s="23" t="s">
        <v>6</v>
      </c>
      <c r="T22" s="31">
        <v>4</v>
      </c>
      <c r="U22" s="61"/>
    </row>
    <row r="23" spans="1:22" s="2" customFormat="1" x14ac:dyDescent="0.3">
      <c r="B23" s="61"/>
      <c r="C23" s="61"/>
      <c r="D23" s="61"/>
      <c r="I23" s="61"/>
      <c r="J23" s="61"/>
      <c r="K23" s="61"/>
      <c r="L23" s="61"/>
      <c r="M23" s="61"/>
      <c r="N23" s="61"/>
      <c r="S23" s="23" t="s">
        <v>5</v>
      </c>
      <c r="T23" s="65">
        <v>6</v>
      </c>
      <c r="U23" s="61"/>
    </row>
    <row r="24" spans="1:22" s="2" customFormat="1" x14ac:dyDescent="0.3">
      <c r="B24" s="61"/>
      <c r="C24" s="61"/>
      <c r="D24" s="61"/>
      <c r="I24" s="61"/>
      <c r="J24" s="61"/>
      <c r="K24" s="61"/>
      <c r="L24" s="61"/>
      <c r="M24" s="61"/>
      <c r="N24" s="61"/>
      <c r="S24" s="23" t="s">
        <v>4</v>
      </c>
      <c r="T24" s="65">
        <v>30</v>
      </c>
      <c r="U24" s="61"/>
    </row>
    <row r="25" spans="1:22" s="2" customFormat="1" ht="17.25" thickBot="1" x14ac:dyDescent="0.35">
      <c r="B25" s="61"/>
      <c r="C25" s="61"/>
      <c r="D25" s="61"/>
      <c r="I25" s="61"/>
      <c r="J25" s="61"/>
      <c r="S25" s="24" t="s">
        <v>34</v>
      </c>
      <c r="T25" s="65">
        <f>T22*T30</f>
        <v>640</v>
      </c>
      <c r="U25" s="61"/>
    </row>
    <row r="26" spans="1:22" s="2" customFormat="1" ht="17.25" thickBot="1" x14ac:dyDescent="0.35">
      <c r="B26" s="61"/>
      <c r="C26" s="61"/>
      <c r="D26" s="61"/>
      <c r="I26" s="61"/>
      <c r="J26" s="61"/>
      <c r="T26" s="66"/>
      <c r="U26" s="61"/>
    </row>
    <row r="27" spans="1:22" s="2" customFormat="1" ht="17.25" thickBot="1" x14ac:dyDescent="0.35">
      <c r="S27" s="26" t="s">
        <v>7</v>
      </c>
      <c r="T27" s="67">
        <f>ROUND(AC8,0)</f>
        <v>4</v>
      </c>
      <c r="U27" s="61"/>
    </row>
    <row r="28" spans="1:22" s="2" customFormat="1" x14ac:dyDescent="0.3">
      <c r="S28" s="27" t="s">
        <v>55</v>
      </c>
      <c r="T28" s="22">
        <v>8</v>
      </c>
      <c r="U28" s="61"/>
    </row>
    <row r="29" spans="1:22" s="2" customFormat="1" x14ac:dyDescent="0.3">
      <c r="S29" s="28" t="s">
        <v>56</v>
      </c>
      <c r="T29" s="23">
        <v>20</v>
      </c>
      <c r="U29" s="61"/>
    </row>
    <row r="30" spans="1:22" s="2" customFormat="1" ht="17.25" thickBot="1" x14ac:dyDescent="0.35">
      <c r="S30" s="28" t="s">
        <v>57</v>
      </c>
      <c r="T30" s="23">
        <f>T28*T29</f>
        <v>160</v>
      </c>
      <c r="U30" s="61"/>
    </row>
    <row r="31" spans="1:22" s="2" customFormat="1" ht="17.25" thickBot="1" x14ac:dyDescent="0.35">
      <c r="S31" s="29" t="s">
        <v>58</v>
      </c>
      <c r="T31" s="67">
        <f>T30/T27</f>
        <v>40</v>
      </c>
      <c r="U31" s="61"/>
    </row>
    <row r="32" spans="1:22" ht="17.25" thickBot="1" x14ac:dyDescent="0.35">
      <c r="S32" s="28" t="s">
        <v>59</v>
      </c>
      <c r="T32" s="23">
        <v>10</v>
      </c>
    </row>
    <row r="33" spans="13:20" ht="17.25" thickBot="1" x14ac:dyDescent="0.35">
      <c r="S33" s="30" t="s">
        <v>60</v>
      </c>
      <c r="T33" s="67">
        <f>T32/T27</f>
        <v>2.5</v>
      </c>
    </row>
    <row r="39" spans="13:20" x14ac:dyDescent="0.3">
      <c r="M39" s="1">
        <f>208/13</f>
        <v>16</v>
      </c>
    </row>
  </sheetData>
  <pageMargins left="0.75" right="0.75" top="1" bottom="1" header="0.5" footer="0.5"/>
  <pageSetup scale="76" orientation="portrait" horizontalDpi="300" verticalDpi="300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1.AggregatePlanBaseLP-Ard</vt:lpstr>
      <vt:lpstr>'1.AggregatePlanBaseLP-Ard'!Print_Area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</dc:creator>
  <cp:lastModifiedBy>Asef-Vaziri, Ardavan</cp:lastModifiedBy>
  <dcterms:created xsi:type="dcterms:W3CDTF">2003-10-08T17:14:45Z</dcterms:created>
  <dcterms:modified xsi:type="dcterms:W3CDTF">2021-09-22T15:12:03Z</dcterms:modified>
</cp:coreProperties>
</file>