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516" windowWidth="24600" windowHeight="17480" activeTab="0"/>
  </bookViews>
  <sheets>
    <sheet name="Conversions" sheetId="1" r:id="rId1"/>
  </sheets>
  <externalReferences>
    <externalReference r:id="rId4"/>
  </externalReferences>
  <definedNames>
    <definedName name="Acceleration">'Conversions'!$B$147</definedName>
    <definedName name="Area">'Conversions'!$B$24</definedName>
    <definedName name="Data">'Conversions'!$B$177</definedName>
    <definedName name="Dry_Volume">'Conversions'!$B$65</definedName>
    <definedName name="Energy">'Conversions'!$B$102</definedName>
    <definedName name="Force">'Conversions'!$B$117</definedName>
    <definedName name="Length">'Conversions'!$B$6</definedName>
    <definedName name="Mass">'Conversions'!$B$74</definedName>
    <definedName name="Power">'Conversions'!$B$88</definedName>
    <definedName name="Temperature">'Conversions'!$B$126</definedName>
    <definedName name="Time">'Conversions'!$B$158</definedName>
    <definedName name="Updates">'Conversions'!#REF!</definedName>
    <definedName name="Velocity">'Conversions'!$B$133</definedName>
    <definedName name="Volume">'Conversions'!$B$42</definedName>
  </definedNames>
  <calcPr fullCalcOnLoad="1"/>
</workbook>
</file>

<file path=xl/comments1.xml><?xml version="1.0" encoding="utf-8"?>
<comments xmlns="http://schemas.openxmlformats.org/spreadsheetml/2006/main">
  <authors>
    <author>Bill Nale</author>
    <author>Norman Herr</author>
  </authors>
  <commentList>
    <comment ref="B12" authorId="0">
      <text>
        <r>
          <rPr>
            <sz val="10"/>
            <rFont val="Tahoma"/>
            <family val="0"/>
          </rPr>
          <t xml:space="preserve">1852m or 6076 ft.  Standardized in 1959 as the average length of one minute of arc on a great circle of the earth.
</t>
        </r>
      </text>
    </comment>
    <comment ref="B18" authorId="0">
      <text>
        <r>
          <rPr>
            <sz val="10"/>
            <rFont val="Tahoma"/>
            <family val="0"/>
          </rPr>
          <t>1/8 mile
220 yards
660 feet
40 rods</t>
        </r>
      </text>
    </comment>
    <comment ref="B19" authorId="0">
      <text>
        <r>
          <rPr>
            <b/>
            <sz val="10"/>
            <rFont val="Tahoma"/>
            <family val="0"/>
          </rPr>
          <t>16.5 feet</t>
        </r>
      </text>
    </comment>
    <comment ref="B20" authorId="0">
      <text>
        <r>
          <rPr>
            <sz val="10"/>
            <rFont val="Tahoma"/>
            <family val="0"/>
          </rPr>
          <t>distance that light travels in one year
speed of light: exactly 299,792,458 m/s
1 yr = 365d, 5h, 48m, 46s in this definition.  Others use 365.25d</t>
        </r>
      </text>
    </comment>
    <comment ref="B36" authorId="0">
      <text>
        <r>
          <rPr>
            <sz val="10"/>
            <rFont val="Tahoma"/>
            <family val="0"/>
          </rPr>
          <t>10,000 sq meters</t>
        </r>
      </text>
    </comment>
    <comment ref="B103" authorId="0">
      <text>
        <r>
          <rPr>
            <sz val="10"/>
            <rFont val="Tahoma"/>
            <family val="0"/>
          </rPr>
          <t>1 dyne of mass moving through 1cm.
1 joule = 10,000,000 ergs</t>
        </r>
      </text>
    </comment>
    <comment ref="B127" authorId="0">
      <text>
        <r>
          <rPr>
            <b/>
            <sz val="10"/>
            <rFont val="Tahoma"/>
            <family val="0"/>
          </rPr>
          <t>Bill Nale:</t>
        </r>
        <r>
          <rPr>
            <sz val="10"/>
            <rFont val="Tahoma"/>
            <family val="0"/>
          </rPr>
          <t xml:space="preserve">
Degrees Celsuis + 273.16</t>
        </r>
      </text>
    </comment>
    <comment ref="B30" authorId="0">
      <text>
        <r>
          <rPr>
            <sz val="10"/>
            <rFont val="Tahoma"/>
            <family val="0"/>
          </rPr>
          <t>Based on 'US Survey foot', which is accounted for by a factor of 0.999998 squared in the equations
640 acres per US Survey square mile
43560 US Survey sq feet</t>
        </r>
      </text>
    </comment>
    <comment ref="B172" authorId="0">
      <text>
        <r>
          <rPr>
            <sz val="10"/>
            <rFont val="Tahoma"/>
            <family val="0"/>
          </rPr>
          <t>defined here as 365 days, 5 hours, 48 minutes, and 46 seconds</t>
        </r>
      </text>
    </comment>
    <comment ref="B168" authorId="0">
      <text>
        <r>
          <rPr>
            <sz val="10"/>
            <rFont val="Tahoma"/>
            <family val="0"/>
          </rPr>
          <t>14 Days</t>
        </r>
      </text>
    </comment>
    <comment ref="P30" authorId="0">
      <text>
        <r>
          <rPr>
            <sz val="10"/>
            <rFont val="Tahoma"/>
            <family val="0"/>
          </rPr>
          <t>640 acres per square mile
43560 sq feet</t>
        </r>
      </text>
    </comment>
    <comment ref="P36" authorId="0">
      <text>
        <r>
          <rPr>
            <sz val="10"/>
            <rFont val="Tahoma"/>
            <family val="0"/>
          </rPr>
          <t>10,000 sq meters</t>
        </r>
      </text>
    </comment>
    <comment ref="B143" authorId="0">
      <text>
        <r>
          <rPr>
            <sz val="10"/>
            <rFont val="Tahoma"/>
            <family val="0"/>
          </rPr>
          <t>speed of light: exactly 299,792,458 m/s
The meter is officially defined by this number as of 1983</t>
        </r>
      </text>
    </comment>
    <comment ref="B138" authorId="0">
      <text>
        <r>
          <rPr>
            <sz val="10"/>
            <rFont val="Tahoma"/>
            <family val="0"/>
          </rPr>
          <t>nautical mile per hour</t>
        </r>
      </text>
    </comment>
    <comment ref="B52" authorId="0">
      <text>
        <r>
          <rPr>
            <sz val="10"/>
            <rFont val="Tahoma"/>
            <family val="0"/>
          </rPr>
          <t>3.7854118 liters (not exact)
213 cubic inches (not exact)</t>
        </r>
      </text>
    </comment>
    <comment ref="B53" authorId="0">
      <text>
        <r>
          <rPr>
            <sz val="10"/>
            <rFont val="Tahoma"/>
            <family val="0"/>
          </rPr>
          <t>42 gallons</t>
        </r>
      </text>
    </comment>
    <comment ref="B47" authorId="0">
      <text>
        <r>
          <rPr>
            <sz val="10"/>
            <rFont val="Tahoma"/>
            <family val="0"/>
          </rPr>
          <t>2 tablespoons per fluid ounce</t>
        </r>
      </text>
    </comment>
    <comment ref="B46" authorId="0">
      <text>
        <r>
          <rPr>
            <b/>
            <sz val="10"/>
            <rFont val="Tahoma"/>
            <family val="0"/>
          </rPr>
          <t>Bill Nale:</t>
        </r>
        <r>
          <rPr>
            <sz val="10"/>
            <rFont val="Tahoma"/>
            <family val="0"/>
          </rPr>
          <t xml:space="preserve">
3 teaspoons per tablespoon</t>
        </r>
      </text>
    </comment>
    <comment ref="B54" authorId="0">
      <text>
        <r>
          <rPr>
            <b/>
            <sz val="10"/>
            <rFont val="Tahoma"/>
            <family val="0"/>
          </rPr>
          <t>Bill Nale:</t>
        </r>
        <r>
          <rPr>
            <sz val="10"/>
            <rFont val="Tahoma"/>
            <family val="0"/>
          </rPr>
          <t xml:space="preserve">
One foot of water over one acre of area.
Calculated as cubic feet / 43560 (sq feet per acre)</t>
        </r>
      </text>
    </comment>
    <comment ref="B139" authorId="0">
      <text>
        <r>
          <rPr>
            <sz val="10"/>
            <rFont val="Tahoma"/>
            <family val="0"/>
          </rPr>
          <t>Miles per hour * 8 * 24 * 14
(furlongs per mile * hours/day) * days per fortnight)</t>
        </r>
      </text>
    </comment>
    <comment ref="B154" authorId="0">
      <text>
        <r>
          <rPr>
            <sz val="10"/>
            <rFont val="Tahoma"/>
            <family val="0"/>
          </rPr>
          <t>9.80665 m/s/s exactly</t>
        </r>
      </text>
    </comment>
    <comment ref="B76" authorId="0">
      <text>
        <r>
          <rPr>
            <sz val="10"/>
            <rFont val="Tahoma"/>
            <family val="0"/>
          </rPr>
          <t>28.349523125 grams</t>
        </r>
      </text>
    </comment>
    <comment ref="B79" authorId="0">
      <text>
        <r>
          <rPr>
            <sz val="10"/>
            <rFont val="Tahoma"/>
            <family val="0"/>
          </rPr>
          <t>31.1034768 grams
12 troy ounces per troy pound
480 grains per troy ounce</t>
        </r>
      </text>
    </comment>
    <comment ref="B75" authorId="0">
      <text>
        <r>
          <rPr>
            <sz val="10"/>
            <rFont val="Tahoma"/>
            <family val="0"/>
          </rPr>
          <t xml:space="preserve">0.06479891 gram
7000 grains per pound
5760 grains per troy pound
</t>
        </r>
      </text>
    </comment>
    <comment ref="B92" authorId="0">
      <text>
        <r>
          <rPr>
            <sz val="10"/>
            <rFont val="Tahoma"/>
            <family val="0"/>
          </rPr>
          <t xml:space="preserve">746 watts, exactly.
</t>
        </r>
      </text>
    </comment>
    <comment ref="B94" authorId="0">
      <text>
        <r>
          <rPr>
            <sz val="10"/>
            <rFont val="Tahoma"/>
            <family val="0"/>
          </rPr>
          <t xml:space="preserve">1.3558179483314004 watts </t>
        </r>
      </text>
    </comment>
    <comment ref="B119" authorId="0">
      <text>
        <r>
          <rPr>
            <sz val="10"/>
            <rFont val="Tahoma"/>
            <family val="0"/>
          </rPr>
          <t>4.4482216152605 newtons exactly</t>
        </r>
      </text>
    </comment>
    <comment ref="B120" authorId="0">
      <text>
        <r>
          <rPr>
            <sz val="10"/>
            <rFont val="Tahoma"/>
            <family val="0"/>
          </rPr>
          <t>10-5 newtons</t>
        </r>
      </text>
    </comment>
    <comment ref="B91" authorId="0">
      <text>
        <r>
          <rPr>
            <sz val="10"/>
            <rFont val="Tahoma"/>
            <family val="0"/>
          </rPr>
          <t xml:space="preserve">550 foot lbs / sec, which is 745.69987158227022 watts
</t>
        </r>
      </text>
    </comment>
    <comment ref="B93" authorId="0">
      <text>
        <r>
          <rPr>
            <sz val="10"/>
            <rFont val="Tahoma"/>
            <family val="0"/>
          </rPr>
          <t>BTU = 1055.05585262 joules</t>
        </r>
      </text>
    </comment>
    <comment ref="B107" authorId="0">
      <text>
        <r>
          <rPr>
            <sz val="10"/>
            <rFont val="Tahoma"/>
            <family val="0"/>
          </rPr>
          <t>BTU = 1055.05585262 joules (exact)
International Table value</t>
        </r>
      </text>
    </comment>
    <comment ref="B110" authorId="0">
      <text>
        <r>
          <rPr>
            <sz val="10"/>
            <rFont val="Tahoma"/>
            <family val="0"/>
          </rPr>
          <t>4.1868 Joule
International Table conversion</t>
        </r>
      </text>
    </comment>
    <comment ref="B108" authorId="0">
      <text>
        <r>
          <rPr>
            <sz val="10"/>
            <rFont val="Tahoma"/>
            <family val="0"/>
          </rPr>
          <t>US version.  Used by natual gas industry
105,480,400 joules</t>
        </r>
      </text>
    </comment>
    <comment ref="B109" authorId="0">
      <text>
        <r>
          <rPr>
            <sz val="10"/>
            <rFont val="Tahoma"/>
            <family val="0"/>
          </rPr>
          <t xml:space="preserve">1.3558179483314004 joules
</t>
        </r>
      </text>
    </comment>
    <comment ref="B122" authorId="0">
      <text>
        <r>
          <rPr>
            <sz val="10"/>
            <rFont val="Tahoma"/>
            <family val="0"/>
          </rPr>
          <t>9.80665 newtons exactly</t>
        </r>
      </text>
    </comment>
    <comment ref="B69" authorId="0">
      <text>
        <r>
          <rPr>
            <sz val="10"/>
            <rFont val="Tahoma"/>
            <family val="0"/>
          </rPr>
          <t xml:space="preserve">8 dry US Gallons
</t>
        </r>
      </text>
    </comment>
    <comment ref="B68" authorId="0">
      <text>
        <r>
          <rPr>
            <sz val="10"/>
            <rFont val="Tahoma"/>
            <family val="0"/>
          </rPr>
          <t>1/4 bushel
8 quarts
2 gallons
Primarily a unit of pickeled peppers</t>
        </r>
      </text>
    </comment>
    <comment ref="L154" authorId="0">
      <text>
        <r>
          <rPr>
            <sz val="10"/>
            <rFont val="Tahoma"/>
            <family val="0"/>
          </rPr>
          <t>9.80665 m/s/s ecactly</t>
        </r>
      </text>
    </comment>
    <comment ref="J91" authorId="0">
      <text>
        <r>
          <rPr>
            <sz val="10"/>
            <rFont val="Tahoma"/>
            <family val="0"/>
          </rPr>
          <t xml:space="preserve">550 foot lbs / sec, which is 745.69987158227022 watts
</t>
        </r>
      </text>
    </comment>
    <comment ref="J92" authorId="0">
      <text>
        <r>
          <rPr>
            <sz val="10"/>
            <rFont val="Tahoma"/>
            <family val="0"/>
          </rPr>
          <t xml:space="preserve">746 watts, exactly.
</t>
        </r>
      </text>
    </comment>
    <comment ref="J93" authorId="0">
      <text>
        <r>
          <rPr>
            <sz val="10"/>
            <rFont val="Tahoma"/>
            <family val="0"/>
          </rPr>
          <t>BTU = 1055.05585262 joules</t>
        </r>
      </text>
    </comment>
    <comment ref="J94" authorId="0">
      <text>
        <r>
          <rPr>
            <sz val="10"/>
            <rFont val="Tahoma"/>
            <family val="0"/>
          </rPr>
          <t xml:space="preserve">1.3558179483314004 watts </t>
        </r>
      </text>
    </comment>
    <comment ref="N171" authorId="0">
      <text>
        <r>
          <rPr>
            <sz val="10"/>
            <rFont val="Tahoma"/>
            <family val="0"/>
          </rPr>
          <t xml:space="preserve">Kept at 12 months for each year type
</t>
        </r>
      </text>
    </comment>
    <comment ref="N172" authorId="0">
      <text>
        <r>
          <rPr>
            <sz val="10"/>
            <rFont val="Tahoma"/>
            <family val="0"/>
          </rPr>
          <t>Kept at 12 months for each year type</t>
        </r>
      </text>
    </comment>
    <comment ref="P169" authorId="0">
      <text>
        <r>
          <rPr>
            <sz val="10"/>
            <rFont val="Tahoma"/>
            <family val="0"/>
          </rPr>
          <t>Kept at 12 months for each year type</t>
        </r>
      </text>
    </comment>
    <comment ref="Q169" authorId="0">
      <text>
        <r>
          <rPr>
            <sz val="10"/>
            <rFont val="Tahoma"/>
            <family val="0"/>
          </rPr>
          <t>Kept at 12 months for each year type</t>
        </r>
      </text>
    </comment>
    <comment ref="B2" authorId="1">
      <text>
        <r>
          <rPr>
            <sz val="9"/>
            <rFont val="Arial"/>
            <family val="0"/>
          </rPr>
          <t xml:space="preserve">
NOTE:  THIS IS MODIFIED FROM:  Bill's Conversion Spreadsheet    Revision 1.01, 10/31/03     
source: http://www.elivermore.com/         
Enter a number in the yellow box which is in the same row as the unit which you want to convert from.  The conversion to all other units appears in that column.         
Each cell converts directly from the yellow cell in that column, without the use of intermediate cell values.  This makes it easy to copy a formula from the spreadsheet for use elsewhere.         
The formula in each cell is written in a format to provide clarity of how the conversion is done. I.E. converting inches to miles is done as *12*5280 rather than *63360.         
Protection is enabled preventing modification of the cells other than the yellow input cells.  This is done to prevent accidental changes.           
   It can be disabled by selecting Tools - Protection.  There is no password.         
Calculations are as exact as could be found.  Exactness is noted in each case.  Excel stores and calculates with 15 significant digits of precision.         
A red triangle in the upper right of a cell indicates that it contains a comment.         
Send corrections, suggestion, etc. to webservant@elivermore.com         </t>
        </r>
      </text>
    </comment>
  </commentList>
</comments>
</file>

<file path=xl/sharedStrings.xml><?xml version="1.0" encoding="utf-8"?>
<sst xmlns="http://schemas.openxmlformats.org/spreadsheetml/2006/main" count="427" uniqueCount="294">
  <si>
    <t>The calculations here convert between the acre and international units.  To convert acre to and from the old 'US Survey' areas, remove the (0.999998)^2 factor</t>
  </si>
  <si>
    <t>In the English system dry unit is 1.1636… times larger than the equivalent liquid unit</t>
  </si>
  <si>
    <t>Month to year conversion is defined as exactly 12, for all 3 year types.</t>
  </si>
  <si>
    <t>from
cu Inches</t>
  </si>
  <si>
    <t>from
cu Feet</t>
  </si>
  <si>
    <t>from
cu Yards</t>
  </si>
  <si>
    <t>from
Sq Kilometers</t>
  </si>
  <si>
    <t>UNIT CONVERSION</t>
  </si>
  <si>
    <t>INFORMATION /REF</t>
  </si>
  <si>
    <t>from
therms</t>
  </si>
  <si>
    <t>from
foot-pounds</t>
  </si>
  <si>
    <t>from
calorie (heat)</t>
  </si>
  <si>
    <t>from
calorie (food)</t>
  </si>
  <si>
    <t>kilowatt hour (KWH)</t>
  </si>
  <si>
    <t>from
ounce</t>
  </si>
  <si>
    <t>from
pound</t>
  </si>
  <si>
    <t>from
dyne</t>
  </si>
  <si>
    <t>from
newton</t>
  </si>
  <si>
    <t>from
Kelvin</t>
  </si>
  <si>
    <t>from
Celsius</t>
  </si>
  <si>
    <t>from
Fahrenheit</t>
  </si>
  <si>
    <t>from
ips</t>
  </si>
  <si>
    <t>from
fps</t>
  </si>
  <si>
    <t>from
miles/sec</t>
  </si>
  <si>
    <t>from
mph</t>
  </si>
  <si>
    <t>from
knots</t>
  </si>
  <si>
    <t>from
ful/fort</t>
  </si>
  <si>
    <t>from
m/s</t>
  </si>
  <si>
    <t>from
Km/s</t>
  </si>
  <si>
    <t>from
Km/h</t>
  </si>
  <si>
    <t>from
c</t>
  </si>
  <si>
    <t>from
i/s/s</t>
  </si>
  <si>
    <t>from
f/s/s</t>
  </si>
  <si>
    <t>from
mph/s</t>
  </si>
  <si>
    <t>from
m/s/s</t>
  </si>
  <si>
    <t>from
Km/s/s</t>
  </si>
  <si>
    <t>from
G</t>
  </si>
  <si>
    <t>from
Km/h/s</t>
  </si>
  <si>
    <t>feet per second (fps)</t>
  </si>
  <si>
    <t>Conversions between metric and English units are accurate to about 10 significant digits.</t>
  </si>
  <si>
    <t>Troy</t>
  </si>
  <si>
    <t>Horsepower has several definitions.  The 550 ft-lb and electric are the most common, and are very close numerically.  Both are provided here.</t>
  </si>
  <si>
    <t>Conversions within watt, kilowatt, and Horsepower (electric) and BTUs per hour are exact.  Between Horsepower (550 ft-lb) &amp; Foot-lb per sec are also exact</t>
  </si>
  <si>
    <t>Conversions between two sets of units lsted above are good to 15 or more significant digits.</t>
  </si>
  <si>
    <t>All conversions are exact, with the possible exception of conversions between foot-pounds and other units, which is accurate to at least 15 significant digits.</t>
  </si>
  <si>
    <t>International Table units are used in all cases.  Thermochemical units are slighly different by about 0.067%)</t>
  </si>
  <si>
    <t>All conversions are exact</t>
  </si>
  <si>
    <t>All conversions are exact, with the stated definitions</t>
  </si>
  <si>
    <t>All conversions are exact, with the stated definitions.</t>
  </si>
  <si>
    <t>The official definition of the acre is still based on the 'US Survey foot', which was defined as 1200/3937 meters (making the inch 25.4000508..mm).  The difference is only a factor of 0.999998 linearly, or 2 parts per million.</t>
  </si>
  <si>
    <t>All units except the acre are in international units in which 1 inch = 25.4mm exactly.  This has been the official definition since 1959.</t>
  </si>
  <si>
    <t>All units except Acre-Feet are in international units, in which 1 inch = 25.4mm exactly.  See notes on "Area" above.</t>
  </si>
  <si>
    <t>For Acre-Feet, the definition is based on the "US Survey foot', which is accounted for by the (0.999998)^3 factor in the equations involving Acre-Feet.</t>
  </si>
  <si>
    <t>pint (dry)</t>
  </si>
  <si>
    <t>quart (dry)</t>
  </si>
  <si>
    <t>Conversion to and from liters is accurate to about 6 digits.  Each conversion to/from liters uses its own factor from the US Dept of Commerce National Institute of Standards.</t>
  </si>
  <si>
    <t>Dry Volume</t>
  </si>
  <si>
    <t>pint (liquid)</t>
  </si>
  <si>
    <t>quart (liquid)</t>
  </si>
  <si>
    <t>from
teaspoons</t>
  </si>
  <si>
    <t>from
tablespoons</t>
  </si>
  <si>
    <t>from
Fluid Ounces</t>
  </si>
  <si>
    <t>from
cups</t>
  </si>
  <si>
    <t>from
pints</t>
  </si>
  <si>
    <t>from
quarts</t>
  </si>
  <si>
    <t>from
gallons</t>
  </si>
  <si>
    <t>from
barrels</t>
  </si>
  <si>
    <t>from
acre feet</t>
  </si>
  <si>
    <t>from
cubic mm</t>
  </si>
  <si>
    <t>from
cubic cc</t>
  </si>
  <si>
    <t>from
cubic meters</t>
  </si>
  <si>
    <t>from
mililiters</t>
  </si>
  <si>
    <t>from
liters</t>
  </si>
  <si>
    <t>from
quart (dry)</t>
  </si>
  <si>
    <t>from
peck</t>
  </si>
  <si>
    <t>from
bushel</t>
  </si>
  <si>
    <t>from
liter</t>
  </si>
  <si>
    <t>from
pint (dry)</t>
  </si>
  <si>
    <t>from
grain</t>
  </si>
  <si>
    <t>from
Ounce</t>
  </si>
  <si>
    <t>from
Pound</t>
  </si>
  <si>
    <t>from
ton</t>
  </si>
  <si>
    <t>from
troy ounce</t>
  </si>
  <si>
    <t>from
troy pound</t>
  </si>
  <si>
    <t>from
milligram</t>
  </si>
  <si>
    <t>from
gram</t>
  </si>
  <si>
    <t>from
kilogram</t>
  </si>
  <si>
    <t>from
metric ton</t>
  </si>
  <si>
    <t>from
bits</t>
  </si>
  <si>
    <t>from
nibbles</t>
  </si>
  <si>
    <t>from
bytes</t>
  </si>
  <si>
    <t>from
kilobytes</t>
  </si>
  <si>
    <t>from
megabytes</t>
  </si>
  <si>
    <t>from
gigabytes</t>
  </si>
  <si>
    <t>from
terabytes</t>
  </si>
  <si>
    <t>from
ps</t>
  </si>
  <si>
    <t>from
ns</t>
  </si>
  <si>
    <t>from
microsecond</t>
  </si>
  <si>
    <t>from
ms</t>
  </si>
  <si>
    <t>from
seconds</t>
  </si>
  <si>
    <t>from
minutes</t>
  </si>
  <si>
    <t>from
hours</t>
  </si>
  <si>
    <t>from
days</t>
  </si>
  <si>
    <t>from
weeks</t>
  </si>
  <si>
    <t>from
fortnights</t>
  </si>
  <si>
    <t>from
months</t>
  </si>
  <si>
    <t>from
leap years</t>
  </si>
  <si>
    <t>from
year (mean)</t>
  </si>
  <si>
    <t>from
years (365)</t>
  </si>
  <si>
    <t>picosecond (ps)</t>
  </si>
  <si>
    <t>nanosecond (ns)</t>
  </si>
  <si>
    <t>microsecond (us)</t>
  </si>
  <si>
    <t>millisecond (ms)</t>
  </si>
  <si>
    <t>kilobyte (KB)</t>
  </si>
  <si>
    <t>megabyte (MB)</t>
  </si>
  <si>
    <t>gigabyte (GB)</t>
  </si>
  <si>
    <t>terabyte (TB)</t>
  </si>
  <si>
    <t>bit (b)</t>
  </si>
  <si>
    <t>byte (B)</t>
  </si>
  <si>
    <t>kilometers per second</t>
  </si>
  <si>
    <t>Cubic Inches (ci)</t>
  </si>
  <si>
    <t>teaspoon (tsp)</t>
  </si>
  <si>
    <t>tablespoon (tbsp)</t>
  </si>
  <si>
    <t>from
watts</t>
  </si>
  <si>
    <t>from
kilowatts</t>
  </si>
  <si>
    <t>from
HP (elec)</t>
  </si>
  <si>
    <t>from
HP (550ft-lb)</t>
  </si>
  <si>
    <t>from
BTU/hr</t>
  </si>
  <si>
    <t>from
ft-lb/sec</t>
  </si>
  <si>
    <t>kilowatt (KW)</t>
  </si>
  <si>
    <t>from
erg</t>
  </si>
  <si>
    <t>from
joule</t>
  </si>
  <si>
    <t>from
watt-hour</t>
  </si>
  <si>
    <t>from
KWH</t>
  </si>
  <si>
    <t>from
BTU</t>
  </si>
  <si>
    <t>BTUs per hour</t>
  </si>
  <si>
    <t>Note: all conversion into and out of the English Fluid section use 231 cubic inches per gallon as the basis.  This is accurate to about 7 or 8 significant digits.</t>
  </si>
  <si>
    <t>Jump to conversion:</t>
  </si>
  <si>
    <t>weeks</t>
  </si>
  <si>
    <t>months (1/12th yr (365 day, except for last 2)</t>
  </si>
  <si>
    <t>Months</t>
  </si>
  <si>
    <t>Engilsh</t>
  </si>
  <si>
    <t>calorie (heat)</t>
  </si>
  <si>
    <t>Troy Ounce</t>
  </si>
  <si>
    <t>Grain</t>
  </si>
  <si>
    <t>peck</t>
  </si>
  <si>
    <t>bushel</t>
  </si>
  <si>
    <t>liter</t>
  </si>
  <si>
    <t>Troy Pound</t>
  </si>
  <si>
    <t>Horsepower (electric)</t>
  </si>
  <si>
    <t>foot-pounds</t>
  </si>
  <si>
    <t>Horsepower (550 ft-lb)</t>
  </si>
  <si>
    <t>Ounce (av)</t>
  </si>
  <si>
    <t>Pound (av)</t>
  </si>
  <si>
    <t>av = avoirdupois</t>
  </si>
  <si>
    <t>joule (watt second)</t>
  </si>
  <si>
    <t>therm (US)</t>
  </si>
  <si>
    <t>Newton-Meters is the same numerically as joules</t>
  </si>
  <si>
    <t>pound-force</t>
  </si>
  <si>
    <t>kilogram-force</t>
  </si>
  <si>
    <t>ounce-force</t>
  </si>
  <si>
    <t>newton-meters per second is the same numerically as watts</t>
  </si>
  <si>
    <t>from centimeters</t>
  </si>
  <si>
    <t xml:space="preserve">  Disk drives are not manufactured in power of 2 data quantities, and are generally measured in base 10, where a megabyte=1,000,000 bytes, and a gigabyte=1,000,000,000 bytes as this allows the marketing department to quote slightly higher numbers.</t>
  </si>
  <si>
    <t>from
mils</t>
  </si>
  <si>
    <t>from
inches</t>
  </si>
  <si>
    <t>from
feet</t>
  </si>
  <si>
    <t>from
yards</t>
  </si>
  <si>
    <t>from
miles</t>
  </si>
  <si>
    <t>from
 nautical miles</t>
  </si>
  <si>
    <t>from
microns</t>
  </si>
  <si>
    <t>from
millimeters</t>
  </si>
  <si>
    <t>from
meters</t>
  </si>
  <si>
    <t>from
kilometers</t>
  </si>
  <si>
    <t>from
Furlong</t>
  </si>
  <si>
    <t>from
rods</t>
  </si>
  <si>
    <t>from
light years</t>
  </si>
  <si>
    <t>from
Sq Mils</t>
  </si>
  <si>
    <t>from
Sq Inches</t>
  </si>
  <si>
    <t>from
Sq Feet</t>
  </si>
  <si>
    <t>from
Sq Yards</t>
  </si>
  <si>
    <t>from
Sq Miles</t>
  </si>
  <si>
    <t>from
Acres</t>
  </si>
  <si>
    <t>from
Sq Microns</t>
  </si>
  <si>
    <t>from
Sq mm</t>
  </si>
  <si>
    <t>from
Sq cm</t>
  </si>
  <si>
    <t>from
Sq meters</t>
  </si>
  <si>
    <t>from
Hectares</t>
  </si>
  <si>
    <t>Sq Inches (sq in)</t>
  </si>
  <si>
    <t>Length</t>
  </si>
  <si>
    <t>mils</t>
  </si>
  <si>
    <t>inches</t>
  </si>
  <si>
    <t>feet</t>
  </si>
  <si>
    <t>yards</t>
  </si>
  <si>
    <t>Microns (um)</t>
  </si>
  <si>
    <t>millimeters (mm)</t>
  </si>
  <si>
    <t>Centimeters (cm)</t>
  </si>
  <si>
    <t>meters</t>
  </si>
  <si>
    <t>Miles</t>
  </si>
  <si>
    <t>Kilometers (km)</t>
  </si>
  <si>
    <t>light years</t>
  </si>
  <si>
    <t>rods</t>
  </si>
  <si>
    <t>nautical miles</t>
  </si>
  <si>
    <t>Furlong</t>
  </si>
  <si>
    <t>Area</t>
  </si>
  <si>
    <t>Sq Mils</t>
  </si>
  <si>
    <t>Sq Inches</t>
  </si>
  <si>
    <t>Sq Feet</t>
  </si>
  <si>
    <t>Sq Yards</t>
  </si>
  <si>
    <t>Sq Miles</t>
  </si>
  <si>
    <t>Sq Microns</t>
  </si>
  <si>
    <t>Sq millimeters</t>
  </si>
  <si>
    <t>Sq Centimeters</t>
  </si>
  <si>
    <t>Sq Meters</t>
  </si>
  <si>
    <t>Sq Kilometers</t>
  </si>
  <si>
    <t>Hectares</t>
  </si>
  <si>
    <t>Acre</t>
  </si>
  <si>
    <t>Volume</t>
  </si>
  <si>
    <t>Cubic Feet</t>
  </si>
  <si>
    <t>Cubic Inches</t>
  </si>
  <si>
    <t>Cubic Yards</t>
  </si>
  <si>
    <t>cup</t>
  </si>
  <si>
    <t>pint</t>
  </si>
  <si>
    <t>quart</t>
  </si>
  <si>
    <t>gallon</t>
  </si>
  <si>
    <t>acre feet</t>
  </si>
  <si>
    <t>tablespoon</t>
  </si>
  <si>
    <t>cubic millimeters</t>
  </si>
  <si>
    <t>cubic centimeters (cc)</t>
  </si>
  <si>
    <t>cubic meters</t>
  </si>
  <si>
    <t>milliliters (ml)</t>
  </si>
  <si>
    <t>liters</t>
  </si>
  <si>
    <t>Mass</t>
  </si>
  <si>
    <t>Energy</t>
  </si>
  <si>
    <t>Temperature</t>
  </si>
  <si>
    <t>Acceleration</t>
  </si>
  <si>
    <t>Time</t>
  </si>
  <si>
    <t>Force</t>
  </si>
  <si>
    <t>Power</t>
  </si>
  <si>
    <t>Ton</t>
  </si>
  <si>
    <t>milligram</t>
  </si>
  <si>
    <t>gram</t>
  </si>
  <si>
    <t>kilogram</t>
  </si>
  <si>
    <t>Metric ton</t>
  </si>
  <si>
    <t>erg</t>
  </si>
  <si>
    <t>watt</t>
  </si>
  <si>
    <t>foot-pounds per second</t>
  </si>
  <si>
    <t>watt hour</t>
  </si>
  <si>
    <t>BTU</t>
  </si>
  <si>
    <t>dyne</t>
  </si>
  <si>
    <t>newton</t>
  </si>
  <si>
    <t>Degrees Kelvin</t>
  </si>
  <si>
    <t>Degrees Celsius</t>
  </si>
  <si>
    <t>Degrees Fahrenheit</t>
  </si>
  <si>
    <t>inches per second (ips)</t>
  </si>
  <si>
    <t>feet per second</t>
  </si>
  <si>
    <t>miles per second</t>
  </si>
  <si>
    <t>miles per hour (mph)</t>
  </si>
  <si>
    <t>meters per second</t>
  </si>
  <si>
    <t>kilometers per hour</t>
  </si>
  <si>
    <t>inches per second per second</t>
  </si>
  <si>
    <t>feet per second per second</t>
  </si>
  <si>
    <t>miles per hour per second</t>
  </si>
  <si>
    <t>meters per second per second</t>
  </si>
  <si>
    <t>kilometers per second per second</t>
  </si>
  <si>
    <t>kilometers per hour per second</t>
  </si>
  <si>
    <t>G (gravitational pull)</t>
  </si>
  <si>
    <t>Velocity</t>
  </si>
  <si>
    <t>seconds</t>
  </si>
  <si>
    <t>minutes</t>
  </si>
  <si>
    <t>hours</t>
  </si>
  <si>
    <t>days</t>
  </si>
  <si>
    <t>year (leap)</t>
  </si>
  <si>
    <t>nibble</t>
  </si>
  <si>
    <t>Data</t>
  </si>
  <si>
    <t>year (365 day)</t>
  </si>
  <si>
    <t>year (mean)</t>
  </si>
  <si>
    <t>Fortnight</t>
  </si>
  <si>
    <t>Furlongs per fortnight</t>
  </si>
  <si>
    <t>Note:</t>
  </si>
  <si>
    <t xml:space="preserve">  System memory and flash memory are generally manufactured in power of 2 data quantities, and confrom to the numbers above.</t>
  </si>
  <si>
    <t>teaspoon</t>
  </si>
  <si>
    <t>c (speed of light)</t>
  </si>
  <si>
    <t>knot</t>
  </si>
  <si>
    <t>Barrel</t>
  </si>
  <si>
    <t>Fluid Ounce</t>
  </si>
  <si>
    <t>Metric</t>
  </si>
  <si>
    <t>English</t>
  </si>
  <si>
    <t>English Fluid</t>
  </si>
  <si>
    <t>All other conversions are exact.</t>
  </si>
  <si>
    <t>Note: all conversions are exact.</t>
  </si>
  <si>
    <t>Note:  Light years uses speed of light as 299,792,458 m/s and 1 yr = 365d, 5h, 48m, 46s.</t>
  </si>
  <si>
    <t>calorie (food)</t>
  </si>
  <si>
    <t>Note: year (mean) defined here as: defined here as 365 days, 5 hours, 48 minutes, and 46 seconds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</si>
</sst>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E+0"/>
  </numFmts>
  <fonts count="16">
    <font>
      <sz val="10"/>
      <name val="Arial"/>
      <family val="0"/>
    </font>
    <font>
      <b/>
      <sz val="12"/>
      <name val="Arial"/>
      <family val="2"/>
    </font>
    <font>
      <sz val="10"/>
      <name val="Tahoma"/>
      <family val="0"/>
    </font>
    <font>
      <b/>
      <sz val="10"/>
      <name val="Tahoma"/>
      <family val="0"/>
    </font>
    <font>
      <b/>
      <sz val="10"/>
      <name val="Arial"/>
      <family val="2"/>
    </font>
    <font>
      <u val="single"/>
      <sz val="10"/>
      <color indexed="12"/>
      <name val="Arial"/>
      <family val="0"/>
    </font>
    <font>
      <u val="single"/>
      <sz val="10"/>
      <color indexed="36"/>
      <name val="Arial"/>
      <family val="0"/>
    </font>
    <font>
      <b/>
      <u val="single"/>
      <sz val="14"/>
      <color indexed="12"/>
      <name val="Arial"/>
      <family val="2"/>
    </font>
    <font>
      <b/>
      <sz val="18"/>
      <name val="Arial"/>
      <family val="2"/>
    </font>
    <font>
      <b/>
      <u val="single"/>
      <sz val="12"/>
      <color indexed="12"/>
      <name val="Arial"/>
      <family val="2"/>
    </font>
    <font>
      <b/>
      <sz val="9"/>
      <name val="Arial"/>
      <family val="2"/>
    </font>
    <font>
      <b/>
      <sz val="14"/>
      <name val="Arial"/>
      <family val="2"/>
    </font>
    <font>
      <b/>
      <sz val="20"/>
      <name val="Arial"/>
      <family val="0"/>
    </font>
    <font>
      <sz val="9"/>
      <name val="Arial"/>
      <family val="0"/>
    </font>
    <font>
      <sz val="10"/>
      <color indexed="9"/>
      <name val="Arial"/>
      <family val="0"/>
    </font>
    <font>
      <b/>
      <sz val="8"/>
      <name val="Arial"/>
      <family val="2"/>
    </font>
  </fonts>
  <fills count="7">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14"/>
        <bgColor indexed="64"/>
      </patternFill>
    </fill>
  </fills>
  <borders count="31">
    <border>
      <left/>
      <right/>
      <top/>
      <bottom/>
      <diagonal/>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ck"/>
      <bottom>
        <color indexed="63"/>
      </bottom>
    </border>
    <border>
      <left>
        <color indexed="63"/>
      </left>
      <right>
        <color indexed="63"/>
      </right>
      <top style="medium"/>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ck"/>
      <bottom>
        <color indexed="63"/>
      </bottom>
    </border>
    <border>
      <left style="medium"/>
      <right>
        <color indexed="63"/>
      </right>
      <top>
        <color indexed="63"/>
      </top>
      <bottom>
        <color indexed="63"/>
      </bottom>
    </border>
    <border>
      <left style="medium">
        <color indexed="10"/>
      </left>
      <right style="medium"/>
      <top style="thick"/>
      <bottom>
        <color indexed="63"/>
      </bottom>
    </border>
    <border>
      <left style="medium">
        <color indexed="10"/>
      </left>
      <right style="medium"/>
      <top>
        <color indexed="63"/>
      </top>
      <bottom>
        <color indexed="63"/>
      </bottom>
    </border>
    <border>
      <left style="medium">
        <color indexed="10"/>
      </left>
      <right style="medium"/>
      <top>
        <color indexed="63"/>
      </top>
      <bottom style="medium"/>
    </border>
    <border>
      <left style="medium"/>
      <right>
        <color indexed="63"/>
      </right>
      <top>
        <color indexed="63"/>
      </top>
      <bottom style="medium"/>
    </border>
    <border>
      <left>
        <color indexed="63"/>
      </left>
      <right>
        <color indexed="63"/>
      </right>
      <top style="thick"/>
      <bottom style="medium"/>
    </border>
    <border>
      <left style="medium"/>
      <right style="medium"/>
      <top style="thick"/>
      <bottom style="medium"/>
    </border>
    <border>
      <left style="medium"/>
      <right>
        <color indexed="63"/>
      </right>
      <top style="thick"/>
      <bottom style="medium"/>
    </border>
    <border>
      <left style="medium">
        <color indexed="10"/>
      </left>
      <right style="medium"/>
      <top style="thick"/>
      <bottom style="mediu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color indexed="10"/>
      </left>
      <right style="medium"/>
      <top style="medium"/>
      <bottom>
        <color indexed="63"/>
      </bottom>
    </border>
    <border>
      <left style="medium">
        <color indexed="10"/>
      </left>
      <right>
        <color indexed="63"/>
      </right>
      <top style="thick"/>
      <bottom style="medium"/>
    </border>
    <border>
      <left style="medium">
        <color indexed="10"/>
      </left>
      <right>
        <color indexed="63"/>
      </right>
      <top>
        <color indexed="63"/>
      </top>
      <bottom>
        <color indexed="63"/>
      </bottom>
    </border>
    <border>
      <left style="medium">
        <color indexed="10"/>
      </left>
      <right>
        <color indexed="63"/>
      </right>
      <top>
        <color indexed="63"/>
      </top>
      <bottom style="medium"/>
    </border>
    <border>
      <left>
        <color indexed="63"/>
      </left>
      <right style="medium"/>
      <top>
        <color indexed="63"/>
      </top>
      <bottom style="medium"/>
    </border>
    <border>
      <left>
        <color indexed="63"/>
      </left>
      <right style="medium"/>
      <top style="thick"/>
      <bottom style="medium"/>
    </border>
    <border>
      <left style="medium"/>
      <right style="medium"/>
      <top style="medium"/>
      <bottom style="medium"/>
    </border>
    <border>
      <left style="medium"/>
      <right>
        <color indexed="63"/>
      </right>
      <top style="medium"/>
      <bottom style="medium"/>
    </border>
    <border>
      <left style="medium">
        <color indexed="10"/>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0" xfId="0" applyFont="1" applyAlignment="1">
      <alignment/>
    </xf>
    <xf numFmtId="0" fontId="0" fillId="0" borderId="0" xfId="0" applyFill="1" applyAlignment="1">
      <alignment/>
    </xf>
    <xf numFmtId="0" fontId="0" fillId="0" borderId="1" xfId="0" applyBorder="1" applyAlignment="1">
      <alignment/>
    </xf>
    <xf numFmtId="0" fontId="0" fillId="0" borderId="2" xfId="0" applyBorder="1" applyAlignment="1">
      <alignment/>
    </xf>
    <xf numFmtId="0" fontId="0" fillId="0" borderId="0" xfId="0" applyNumberFormat="1" applyFill="1" applyAlignment="1">
      <alignment/>
    </xf>
    <xf numFmtId="0" fontId="4" fillId="0" borderId="0" xfId="0" applyFont="1" applyBorder="1" applyAlignment="1">
      <alignment vertical="center" textRotation="180"/>
    </xf>
    <xf numFmtId="0" fontId="4" fillId="0" borderId="0" xfId="0" applyFont="1" applyFill="1" applyAlignment="1">
      <alignment/>
    </xf>
    <xf numFmtId="0" fontId="0" fillId="0" borderId="2" xfId="0" applyFill="1" applyBorder="1" applyAlignment="1">
      <alignment/>
    </xf>
    <xf numFmtId="0" fontId="0" fillId="0" borderId="3" xfId="0" applyBorder="1" applyAlignment="1">
      <alignment/>
    </xf>
    <xf numFmtId="0" fontId="8" fillId="0" borderId="3" xfId="0" applyFont="1" applyBorder="1" applyAlignment="1">
      <alignment/>
    </xf>
    <xf numFmtId="0" fontId="1" fillId="0" borderId="3" xfId="0" applyFont="1" applyBorder="1" applyAlignment="1">
      <alignment/>
    </xf>
    <xf numFmtId="0" fontId="0" fillId="0" borderId="0" xfId="0" applyFill="1" applyBorder="1" applyAlignment="1">
      <alignment/>
    </xf>
    <xf numFmtId="0" fontId="4" fillId="0" borderId="4" xfId="0" applyFont="1" applyBorder="1" applyAlignment="1">
      <alignment vertical="center" textRotation="180"/>
    </xf>
    <xf numFmtId="0" fontId="4" fillId="0" borderId="2" xfId="0" applyFont="1" applyBorder="1" applyAlignment="1">
      <alignment vertical="center" textRotation="180"/>
    </xf>
    <xf numFmtId="0" fontId="0" fillId="2" borderId="0" xfId="0" applyFill="1" applyAlignment="1">
      <alignment/>
    </xf>
    <xf numFmtId="0" fontId="0" fillId="2" borderId="0" xfId="0" applyFill="1" applyBorder="1" applyAlignment="1">
      <alignment/>
    </xf>
    <xf numFmtId="0" fontId="0" fillId="2" borderId="2" xfId="0" applyFill="1" applyBorder="1" applyAlignment="1">
      <alignment/>
    </xf>
    <xf numFmtId="0" fontId="0" fillId="2" borderId="0" xfId="0" applyFont="1" applyFill="1" applyAlignment="1">
      <alignment/>
    </xf>
    <xf numFmtId="0" fontId="0" fillId="0" borderId="5" xfId="0" applyBorder="1" applyAlignment="1">
      <alignment horizontal="center" wrapText="1"/>
    </xf>
    <xf numFmtId="0" fontId="0" fillId="2" borderId="6" xfId="0" applyFill="1" applyBorder="1" applyAlignment="1">
      <alignment/>
    </xf>
    <xf numFmtId="0" fontId="0" fillId="2" borderId="6" xfId="0" applyNumberFormat="1" applyFill="1" applyBorder="1" applyAlignment="1">
      <alignment/>
    </xf>
    <xf numFmtId="0" fontId="0" fillId="0" borderId="6" xfId="0" applyNumberFormat="1" applyFill="1" applyBorder="1" applyAlignment="1">
      <alignment/>
    </xf>
    <xf numFmtId="0" fontId="0" fillId="0" borderId="6" xfId="0" applyFill="1" applyBorder="1" applyAlignment="1">
      <alignment/>
    </xf>
    <xf numFmtId="0" fontId="0" fillId="2" borderId="7" xfId="0" applyNumberFormat="1" applyFill="1" applyBorder="1" applyAlignment="1">
      <alignment/>
    </xf>
    <xf numFmtId="0" fontId="0" fillId="2" borderId="7" xfId="0" applyFill="1" applyBorder="1" applyAlignment="1">
      <alignment/>
    </xf>
    <xf numFmtId="0" fontId="0" fillId="0" borderId="7" xfId="0" applyNumberFormat="1" applyFill="1" applyBorder="1" applyAlignment="1">
      <alignment/>
    </xf>
    <xf numFmtId="0" fontId="0" fillId="0" borderId="7" xfId="0" applyFill="1" applyBorder="1" applyAlignment="1">
      <alignment/>
    </xf>
    <xf numFmtId="0" fontId="0" fillId="0" borderId="6" xfId="0" applyBorder="1" applyAlignment="1">
      <alignment/>
    </xf>
    <xf numFmtId="0" fontId="4" fillId="2" borderId="6" xfId="0" applyFont="1" applyFill="1" applyBorder="1" applyAlignment="1">
      <alignment/>
    </xf>
    <xf numFmtId="0" fontId="4" fillId="0" borderId="6" xfId="0" applyFont="1" applyFill="1" applyBorder="1" applyAlignment="1">
      <alignment/>
    </xf>
    <xf numFmtId="0" fontId="4" fillId="2" borderId="7" xfId="0" applyFont="1" applyFill="1" applyBorder="1" applyAlignment="1">
      <alignment/>
    </xf>
    <xf numFmtId="0" fontId="0" fillId="2" borderId="4" xfId="0" applyFill="1" applyBorder="1" applyAlignment="1">
      <alignment/>
    </xf>
    <xf numFmtId="0" fontId="0" fillId="0" borderId="4" xfId="0" applyBorder="1" applyAlignment="1">
      <alignment/>
    </xf>
    <xf numFmtId="0" fontId="0" fillId="2" borderId="8" xfId="0" applyFill="1" applyBorder="1" applyAlignment="1">
      <alignment/>
    </xf>
    <xf numFmtId="0" fontId="0" fillId="0" borderId="7" xfId="0" applyBorder="1" applyAlignment="1">
      <alignment/>
    </xf>
    <xf numFmtId="0" fontId="0" fillId="0" borderId="0" xfId="0" applyBorder="1" applyAlignment="1">
      <alignment/>
    </xf>
    <xf numFmtId="0" fontId="0" fillId="0" borderId="9" xfId="0" applyBorder="1" applyAlignment="1">
      <alignment horizontal="center" wrapText="1"/>
    </xf>
    <xf numFmtId="0" fontId="0" fillId="2" borderId="10" xfId="0" applyFill="1" applyBorder="1" applyAlignment="1">
      <alignment/>
    </xf>
    <xf numFmtId="0" fontId="0" fillId="0" borderId="10" xfId="0" applyBorder="1" applyAlignment="1">
      <alignment/>
    </xf>
    <xf numFmtId="0" fontId="11" fillId="0" borderId="11" xfId="0" applyFont="1" applyBorder="1" applyAlignment="1">
      <alignment/>
    </xf>
    <xf numFmtId="0" fontId="0" fillId="2" borderId="12" xfId="0" applyFill="1" applyBorder="1" applyAlignment="1">
      <alignment/>
    </xf>
    <xf numFmtId="0" fontId="0" fillId="0" borderId="12" xfId="0" applyBorder="1" applyAlignment="1">
      <alignment/>
    </xf>
    <xf numFmtId="0" fontId="0" fillId="0" borderId="13" xfId="0" applyBorder="1" applyAlignment="1">
      <alignment/>
    </xf>
    <xf numFmtId="0" fontId="0" fillId="2" borderId="14" xfId="0" applyFill="1" applyBorder="1" applyAlignment="1">
      <alignment/>
    </xf>
    <xf numFmtId="0" fontId="0" fillId="2" borderId="13" xfId="0" applyFill="1" applyBorder="1" applyAlignment="1">
      <alignment/>
    </xf>
    <xf numFmtId="0" fontId="0" fillId="0" borderId="15" xfId="0" applyBorder="1" applyAlignment="1">
      <alignment/>
    </xf>
    <xf numFmtId="0" fontId="8" fillId="0" borderId="15" xfId="0" applyFont="1" applyBorder="1" applyAlignment="1">
      <alignment/>
    </xf>
    <xf numFmtId="0" fontId="0" fillId="0" borderId="16" xfId="0" applyBorder="1" applyAlignment="1">
      <alignment horizontal="center" wrapText="1"/>
    </xf>
    <xf numFmtId="0" fontId="0" fillId="0" borderId="17" xfId="0" applyBorder="1" applyAlignment="1">
      <alignment horizontal="center" wrapText="1"/>
    </xf>
    <xf numFmtId="0" fontId="11" fillId="0" borderId="18" xfId="0" applyFont="1" applyBorder="1" applyAlignment="1">
      <alignment/>
    </xf>
    <xf numFmtId="0" fontId="0" fillId="0" borderId="10" xfId="0" applyFill="1" applyBorder="1" applyAlignment="1">
      <alignment/>
    </xf>
    <xf numFmtId="0" fontId="0" fillId="0" borderId="14" xfId="0" applyFill="1" applyBorder="1" applyAlignment="1">
      <alignment/>
    </xf>
    <xf numFmtId="0" fontId="0" fillId="3" borderId="12" xfId="0" applyFill="1" applyBorder="1" applyAlignment="1">
      <alignment/>
    </xf>
    <xf numFmtId="0" fontId="0" fillId="0" borderId="12" xfId="0" applyFill="1" applyBorder="1" applyAlignment="1">
      <alignment/>
    </xf>
    <xf numFmtId="0" fontId="0" fillId="3" borderId="13" xfId="0" applyFill="1" applyBorder="1" applyAlignment="1">
      <alignment/>
    </xf>
    <xf numFmtId="0" fontId="0" fillId="0" borderId="13" xfId="0" applyFill="1" applyBorder="1" applyAlignment="1">
      <alignment/>
    </xf>
    <xf numFmtId="0" fontId="4" fillId="2" borderId="10" xfId="0" applyFont="1" applyFill="1" applyBorder="1" applyAlignment="1">
      <alignment/>
    </xf>
    <xf numFmtId="0" fontId="0" fillId="0" borderId="19" xfId="0" applyBorder="1" applyAlignment="1">
      <alignment/>
    </xf>
    <xf numFmtId="0" fontId="0" fillId="0" borderId="0" xfId="0" applyFont="1" applyFill="1" applyAlignment="1">
      <alignment/>
    </xf>
    <xf numFmtId="0" fontId="4" fillId="0" borderId="0" xfId="0" applyFont="1" applyFill="1" applyBorder="1" applyAlignment="1">
      <alignment/>
    </xf>
    <xf numFmtId="0" fontId="0" fillId="0" borderId="0" xfId="0" applyFont="1" applyFill="1" applyBorder="1" applyAlignment="1">
      <alignment/>
    </xf>
    <xf numFmtId="0" fontId="0" fillId="0" borderId="20" xfId="0" applyBorder="1" applyAlignment="1">
      <alignment/>
    </xf>
    <xf numFmtId="0" fontId="0" fillId="2" borderId="21" xfId="0" applyFill="1" applyBorder="1" applyAlignment="1">
      <alignment/>
    </xf>
    <xf numFmtId="0" fontId="0" fillId="2" borderId="22" xfId="0" applyFill="1" applyBorder="1" applyAlignment="1">
      <alignment/>
    </xf>
    <xf numFmtId="0" fontId="11" fillId="0" borderId="23" xfId="0" applyFont="1" applyBorder="1" applyAlignment="1">
      <alignment/>
    </xf>
    <xf numFmtId="0" fontId="0" fillId="0" borderId="14" xfId="0" applyBorder="1" applyAlignment="1">
      <alignment/>
    </xf>
    <xf numFmtId="0" fontId="0" fillId="2" borderId="24" xfId="0" applyFill="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2" borderId="25" xfId="0" applyFill="1" applyBorder="1" applyAlignment="1">
      <alignment/>
    </xf>
    <xf numFmtId="0" fontId="0" fillId="0" borderId="27" xfId="0" applyBorder="1" applyAlignment="1">
      <alignment/>
    </xf>
    <xf numFmtId="0" fontId="0" fillId="2" borderId="0" xfId="0" applyFont="1" applyFill="1" applyBorder="1" applyAlignment="1">
      <alignment/>
    </xf>
    <xf numFmtId="0" fontId="0" fillId="0" borderId="0" xfId="0" applyFont="1" applyBorder="1" applyAlignment="1">
      <alignment/>
    </xf>
    <xf numFmtId="3" fontId="0" fillId="0" borderId="6" xfId="0" applyNumberFormat="1" applyFill="1" applyBorder="1" applyAlignment="1">
      <alignment/>
    </xf>
    <xf numFmtId="3" fontId="0" fillId="2" borderId="6" xfId="0" applyNumberFormat="1" applyFill="1" applyBorder="1" applyAlignment="1">
      <alignment/>
    </xf>
    <xf numFmtId="0" fontId="0" fillId="0" borderId="28" xfId="0" applyFill="1" applyBorder="1" applyAlignment="1">
      <alignment/>
    </xf>
    <xf numFmtId="3" fontId="0" fillId="0" borderId="28" xfId="0" applyNumberFormat="1" applyFill="1" applyBorder="1" applyAlignment="1">
      <alignment/>
    </xf>
    <xf numFmtId="0" fontId="0" fillId="4" borderId="6" xfId="0" applyFill="1" applyBorder="1" applyAlignment="1">
      <alignment/>
    </xf>
    <xf numFmtId="3" fontId="0" fillId="2" borderId="10" xfId="0" applyNumberFormat="1" applyFill="1" applyBorder="1" applyAlignment="1">
      <alignment/>
    </xf>
    <xf numFmtId="3" fontId="0" fillId="0" borderId="29" xfId="0" applyNumberFormat="1" applyFill="1" applyBorder="1" applyAlignment="1">
      <alignment/>
    </xf>
    <xf numFmtId="3" fontId="0" fillId="0" borderId="10" xfId="0" applyNumberFormat="1" applyFill="1" applyBorder="1" applyAlignment="1">
      <alignment/>
    </xf>
    <xf numFmtId="0" fontId="0" fillId="0" borderId="12" xfId="0" applyFont="1" applyBorder="1" applyAlignment="1">
      <alignment/>
    </xf>
    <xf numFmtId="0" fontId="0" fillId="3" borderId="12" xfId="0" applyFont="1" applyFill="1" applyBorder="1" applyAlignment="1">
      <alignment/>
    </xf>
    <xf numFmtId="0" fontId="0" fillId="0" borderId="30" xfId="0" applyBorder="1" applyAlignment="1">
      <alignment/>
    </xf>
    <xf numFmtId="0" fontId="0" fillId="5" borderId="6" xfId="0" applyNumberFormat="1" applyFill="1" applyBorder="1" applyAlignment="1" applyProtection="1">
      <alignment/>
      <protection locked="0"/>
    </xf>
    <xf numFmtId="0" fontId="0" fillId="5" borderId="6" xfId="0" applyFill="1" applyBorder="1" applyAlignment="1" applyProtection="1">
      <alignment/>
      <protection locked="0"/>
    </xf>
    <xf numFmtId="0" fontId="0" fillId="5" borderId="7" xfId="0" applyFill="1" applyBorder="1" applyAlignment="1" applyProtection="1">
      <alignment/>
      <protection locked="0"/>
    </xf>
    <xf numFmtId="0" fontId="0" fillId="5" borderId="14" xfId="0" applyFill="1" applyBorder="1" applyAlignment="1" applyProtection="1">
      <alignment/>
      <protection locked="0"/>
    </xf>
    <xf numFmtId="0" fontId="0" fillId="5" borderId="8" xfId="0" applyFill="1" applyBorder="1" applyAlignment="1" applyProtection="1">
      <alignment/>
      <protection locked="0"/>
    </xf>
    <xf numFmtId="0" fontId="0" fillId="5" borderId="28" xfId="0" applyFill="1" applyBorder="1" applyAlignment="1" applyProtection="1">
      <alignment/>
      <protection locked="0"/>
    </xf>
    <xf numFmtId="0" fontId="4" fillId="0" borderId="4" xfId="0" applyFont="1" applyBorder="1" applyAlignment="1">
      <alignment horizontal="center" textRotation="180"/>
    </xf>
    <xf numFmtId="0" fontId="4" fillId="0" borderId="0" xfId="0" applyFont="1" applyBorder="1" applyAlignment="1">
      <alignment horizontal="center" textRotation="180"/>
    </xf>
    <xf numFmtId="0" fontId="4" fillId="0" borderId="2" xfId="0" applyFont="1" applyBorder="1" applyAlignment="1">
      <alignment horizontal="center" textRotation="180"/>
    </xf>
    <xf numFmtId="0" fontId="10" fillId="0" borderId="4" xfId="0" applyFont="1" applyBorder="1" applyAlignment="1">
      <alignment horizontal="center" textRotation="180"/>
    </xf>
    <xf numFmtId="0" fontId="10" fillId="0" borderId="0" xfId="0" applyFont="1" applyBorder="1" applyAlignment="1">
      <alignment horizontal="center" textRotation="180"/>
    </xf>
    <xf numFmtId="0" fontId="10" fillId="0" borderId="2" xfId="0" applyFont="1" applyBorder="1" applyAlignment="1">
      <alignment horizontal="center" textRotation="180"/>
    </xf>
    <xf numFmtId="0" fontId="4" fillId="0" borderId="4" xfId="0" applyFont="1" applyBorder="1" applyAlignment="1">
      <alignment vertical="center" textRotation="180"/>
    </xf>
    <xf numFmtId="0" fontId="4" fillId="0" borderId="0" xfId="0" applyFont="1" applyBorder="1" applyAlignment="1">
      <alignment vertical="center" textRotation="180"/>
    </xf>
    <xf numFmtId="0" fontId="4" fillId="0" borderId="2" xfId="0" applyFont="1" applyBorder="1" applyAlignment="1">
      <alignment vertical="center" textRotation="180"/>
    </xf>
    <xf numFmtId="0" fontId="4" fillId="0" borderId="4" xfId="0" applyFont="1" applyBorder="1" applyAlignment="1">
      <alignment horizontal="center" vertical="center" textRotation="180"/>
    </xf>
    <xf numFmtId="0" fontId="4" fillId="0" borderId="0" xfId="0" applyFont="1" applyBorder="1" applyAlignment="1">
      <alignment horizontal="center" vertical="center" textRotation="180"/>
    </xf>
    <xf numFmtId="0" fontId="4" fillId="0" borderId="2" xfId="0" applyFont="1" applyBorder="1" applyAlignment="1">
      <alignment horizontal="center" vertical="center" textRotation="180"/>
    </xf>
    <xf numFmtId="0" fontId="4" fillId="0" borderId="0" xfId="0" applyFont="1" applyAlignment="1">
      <alignment horizontal="center" vertical="center" textRotation="180"/>
    </xf>
    <xf numFmtId="0" fontId="0" fillId="0" borderId="0" xfId="0" applyAlignment="1">
      <alignment vertical="center" textRotation="180"/>
    </xf>
    <xf numFmtId="0" fontId="0" fillId="0" borderId="2" xfId="0" applyBorder="1" applyAlignment="1">
      <alignment vertical="center" textRotation="180"/>
    </xf>
    <xf numFmtId="0" fontId="4" fillId="0" borderId="0" xfId="0" applyFont="1" applyAlignment="1">
      <alignment vertical="center" textRotation="180"/>
    </xf>
    <xf numFmtId="0" fontId="12" fillId="5" borderId="0" xfId="0" applyFont="1" applyFill="1" applyAlignment="1">
      <alignment/>
    </xf>
    <xf numFmtId="0" fontId="14" fillId="6" borderId="0" xfId="0" applyFont="1" applyFill="1" applyAlignment="1">
      <alignment/>
    </xf>
    <xf numFmtId="0" fontId="4" fillId="0" borderId="0" xfId="0" applyFont="1" applyBorder="1" applyAlignment="1">
      <alignment/>
    </xf>
    <xf numFmtId="0" fontId="9" fillId="0" borderId="0" xfId="20" applyFont="1" applyBorder="1" applyAlignment="1">
      <alignment horizontal="center"/>
    </xf>
    <xf numFmtId="0" fontId="7" fillId="0" borderId="0" xfId="20" applyFont="1" applyBorder="1" applyAlignment="1">
      <alignment horizontal="center"/>
    </xf>
    <xf numFmtId="0" fontId="1"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BACKUP\%20BOOKS\BOOK-1%20SOURCEBOOK\chapters_in_progress\spreadsheets\calc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ction time"/>
      <sheetName val="bacterial growth"/>
      <sheetName val="mitosis"/>
      <sheetName val="CFC CO2"/>
      <sheetName val="solar system"/>
      <sheetName val="periodicity"/>
      <sheetName val="radioactive decay"/>
      <sheetName val="bond energy"/>
    </sheetNames>
    <sheetDataSet>
      <sheetData sheetId="4">
        <row r="15">
          <cell r="B15">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FC200"/>
  <sheetViews>
    <sheetView tabSelected="1" workbookViewId="0" topLeftCell="A93">
      <selection activeCell="D17" sqref="D17"/>
    </sheetView>
  </sheetViews>
  <sheetFormatPr defaultColWidth="11.421875" defaultRowHeight="12.75"/>
  <cols>
    <col min="1" max="1" width="3.7109375" style="0" customWidth="1"/>
    <col min="2" max="2" width="17.7109375" style="0" customWidth="1"/>
    <col min="3" max="3" width="2.00390625" style="0" customWidth="1"/>
    <col min="4" max="5" width="12.421875" style="0" bestFit="1" customWidth="1"/>
    <col min="6" max="6" width="12.7109375" style="0" bestFit="1" customWidth="1"/>
    <col min="7" max="8" width="14.140625" style="0" bestFit="1" customWidth="1"/>
    <col min="9" max="9" width="15.8515625" style="0" bestFit="1" customWidth="1"/>
    <col min="10" max="10" width="14.421875" style="0" bestFit="1" customWidth="1"/>
    <col min="11" max="11" width="15.8515625" style="0" bestFit="1" customWidth="1"/>
    <col min="12" max="12" width="12.8515625" style="0" bestFit="1" customWidth="1"/>
    <col min="13" max="13" width="14.140625" style="0" bestFit="1" customWidth="1"/>
    <col min="14" max="14" width="14.00390625" style="0" bestFit="1" customWidth="1"/>
    <col min="15" max="15" width="15.421875" style="0" bestFit="1" customWidth="1"/>
    <col min="16" max="16" width="13.8515625" style="0" customWidth="1"/>
    <col min="17" max="17" width="14.140625" style="0" customWidth="1"/>
    <col min="18" max="22" width="12.421875" style="0" bestFit="1" customWidth="1"/>
    <col min="23" max="26" width="8.8515625" style="0" customWidth="1"/>
    <col min="27" max="27" width="11.00390625" style="0" bestFit="1" customWidth="1"/>
    <col min="28" max="16384" width="8.8515625" style="0" customWidth="1"/>
  </cols>
  <sheetData>
    <row r="1" s="108" customFormat="1" ht="26.25">
      <c r="B1" s="108" t="s">
        <v>7</v>
      </c>
    </row>
    <row r="2" ht="12.75">
      <c r="B2" s="109" t="s">
        <v>8</v>
      </c>
    </row>
    <row r="3" spans="2:13" s="36" customFormat="1" ht="18">
      <c r="B3" s="110" t="s">
        <v>137</v>
      </c>
      <c r="D3" s="111" t="str">
        <f>HYPERLINK("[bills_conversions.xls]Conversions!Length",B6)</f>
        <v>Length</v>
      </c>
      <c r="E3" s="111" t="str">
        <f>HYPERLINK("[bills_conversions.xls]Conversions!Area",B24)</f>
        <v>Area</v>
      </c>
      <c r="F3" s="111" t="str">
        <f>HYPERLINK("[bills_conversions.xls]Conversions!Volume",$B42)</f>
        <v>Volume</v>
      </c>
      <c r="G3" s="111" t="str">
        <f>HYPERLINK("[bills_conversions.xls]Conversions!Dry_Volume",$B65)</f>
        <v>Dry Volume</v>
      </c>
      <c r="H3" s="111" t="str">
        <f>HYPERLINK("[bills_conversions.xls]Conversions!Mass",$B74)</f>
        <v>Mass</v>
      </c>
      <c r="I3" s="111" t="str">
        <f>HYPERLINK("[bills_conversions.xls]Conversions!Power",Power)</f>
        <v>Power</v>
      </c>
      <c r="J3" s="111" t="str">
        <f>HYPERLINK("[bills_conversions.xls]Conversions!Energy",Energy)</f>
        <v>Energy</v>
      </c>
      <c r="K3" s="111"/>
      <c r="L3" s="111" t="e">
        <f>HYPERLINK("[bills_conversions.xls]Conversions!Updates",Updates)</f>
        <v>#REF!</v>
      </c>
      <c r="M3" s="112"/>
    </row>
    <row r="4" spans="4:12" s="36" customFormat="1" ht="15.75">
      <c r="D4" s="111" t="str">
        <f>HYPERLINK("[bills_conversions.xls]Conversions!Force",Force)</f>
        <v>Force</v>
      </c>
      <c r="E4" s="111" t="str">
        <f>HYPERLINK("[bills_conversions.xls]Conversions!Temperature",Temperature)</f>
        <v>Temperature</v>
      </c>
      <c r="F4" s="111" t="str">
        <f>HYPERLINK("[bills_conversions.xls]Conversions!Velocity",Velocity)</f>
        <v>Velocity</v>
      </c>
      <c r="G4" s="111" t="str">
        <f>HYPERLINK("[bills_conversions.xls]Conversions!Acceleration",Acceleration)</f>
        <v>Acceleration</v>
      </c>
      <c r="H4" s="111" t="str">
        <f>HYPERLINK("[bills_conversions.xls]Conversions!Time",Time)</f>
        <v>Time</v>
      </c>
      <c r="I4" s="111" t="str">
        <f>HYPERLINK("[bills_conversions.xls]Conversions!Data",Data)</f>
        <v>Data</v>
      </c>
      <c r="J4" s="113"/>
      <c r="K4" s="113"/>
      <c r="L4" s="113"/>
    </row>
    <row r="5" ht="13.5" thickBot="1"/>
    <row r="6" spans="1:53" ht="26.25" thickTop="1">
      <c r="A6" s="9"/>
      <c r="B6" s="10" t="s">
        <v>189</v>
      </c>
      <c r="C6" s="9"/>
      <c r="D6" s="19" t="s">
        <v>164</v>
      </c>
      <c r="E6" s="19" t="s">
        <v>165</v>
      </c>
      <c r="F6" s="19" t="s">
        <v>166</v>
      </c>
      <c r="G6" s="19" t="s">
        <v>167</v>
      </c>
      <c r="H6" s="19" t="s">
        <v>168</v>
      </c>
      <c r="I6" s="19" t="s">
        <v>169</v>
      </c>
      <c r="J6" s="19" t="s">
        <v>170</v>
      </c>
      <c r="K6" s="19" t="s">
        <v>171</v>
      </c>
      <c r="L6" s="19" t="s">
        <v>162</v>
      </c>
      <c r="M6" s="19" t="s">
        <v>172</v>
      </c>
      <c r="N6" s="19" t="s">
        <v>173</v>
      </c>
      <c r="O6" s="19" t="s">
        <v>174</v>
      </c>
      <c r="P6" s="19" t="s">
        <v>175</v>
      </c>
      <c r="Q6" s="37" t="s">
        <v>176</v>
      </c>
      <c r="R6" s="40" t="s">
        <v>189</v>
      </c>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1:18" ht="12.75">
      <c r="A7" s="107" t="s">
        <v>287</v>
      </c>
      <c r="B7" s="15" t="s">
        <v>190</v>
      </c>
      <c r="D7" s="86">
        <v>1</v>
      </c>
      <c r="E7" s="20">
        <f>E$8*1000</f>
        <v>1000</v>
      </c>
      <c r="F7" s="20">
        <f>F$9*12*1000</f>
        <v>73199.99999999999</v>
      </c>
      <c r="G7" s="20">
        <f>G$10*36*1000</f>
        <v>36000</v>
      </c>
      <c r="H7" s="20">
        <f>H$11*5280*12*1000</f>
        <v>63360000</v>
      </c>
      <c r="I7" s="20">
        <f>I$12*6076*12*1000</f>
        <v>72912000</v>
      </c>
      <c r="J7" s="20">
        <f>J$13/25.4</f>
        <v>0.03937007874015748</v>
      </c>
      <c r="K7" s="20">
        <f>K$14/25.4*1000</f>
        <v>39.37007874015748</v>
      </c>
      <c r="L7" s="20">
        <f>L$15/2.54*1000</f>
        <v>393.70078740157476</v>
      </c>
      <c r="M7" s="20">
        <f>M$16/25.4*1000*1000</f>
        <v>39370.07874015748</v>
      </c>
      <c r="N7" s="20">
        <f>N$17/25.4*1000*1000*1000</f>
        <v>39370078.74015748</v>
      </c>
      <c r="O7" s="20">
        <f>O$18*660*12*1000</f>
        <v>7920000</v>
      </c>
      <c r="P7" s="20">
        <f>P$19*16.5*12*1000</f>
        <v>198000</v>
      </c>
      <c r="Q7" s="38">
        <f>Q$20*299792458*(365*24*60*60+5*60*60+48*600+46)*1000*1000/25.4</f>
        <v>3.7276767846360115E+20</v>
      </c>
      <c r="R7" s="53" t="s">
        <v>190</v>
      </c>
    </row>
    <row r="8" spans="1:18" ht="12.75">
      <c r="A8" s="107"/>
      <c r="B8" s="15" t="s">
        <v>191</v>
      </c>
      <c r="D8" s="21">
        <f>D$7/1000</f>
        <v>0.001</v>
      </c>
      <c r="E8" s="87">
        <v>1</v>
      </c>
      <c r="F8" s="20">
        <f>F$9*12</f>
        <v>73.19999999999999</v>
      </c>
      <c r="G8" s="20">
        <f>G$10*36</f>
        <v>36</v>
      </c>
      <c r="H8" s="20">
        <f>H$11*5280*12</f>
        <v>63360</v>
      </c>
      <c r="I8" s="20">
        <f>I$12*6076*12</f>
        <v>72912</v>
      </c>
      <c r="J8" s="20">
        <f>J$13/25.4/1000</f>
        <v>3.937007874015748E-05</v>
      </c>
      <c r="K8" s="20">
        <f>K$14/25.4</f>
        <v>0.03937007874015748</v>
      </c>
      <c r="L8" s="20">
        <f>L$15/2.54</f>
        <v>0.39370078740157477</v>
      </c>
      <c r="M8" s="20">
        <f>M$16/25.4*1000</f>
        <v>39.37007874015748</v>
      </c>
      <c r="N8" s="20">
        <f>N$17/25.4*1000*1000</f>
        <v>39370.07874015748</v>
      </c>
      <c r="O8" s="20">
        <f>O$18*660*12</f>
        <v>7920</v>
      </c>
      <c r="P8" s="20">
        <f>P$19*16.5*12</f>
        <v>198</v>
      </c>
      <c r="Q8" s="38">
        <f>Q$20*299792458*(365*24*60*60+5*60*60+48*600+46)*1000/25.4</f>
        <v>3.7276767846360115E+17</v>
      </c>
      <c r="R8" s="53" t="s">
        <v>191</v>
      </c>
    </row>
    <row r="9" spans="1:18" ht="12.75">
      <c r="A9" s="107"/>
      <c r="B9" s="2" t="s">
        <v>192</v>
      </c>
      <c r="D9" s="22">
        <f>D$7/1000/12</f>
        <v>8.333333333333333E-05</v>
      </c>
      <c r="E9" s="23">
        <f>E$8/12</f>
        <v>0.08333333333333333</v>
      </c>
      <c r="F9" s="87">
        <v>6.1</v>
      </c>
      <c r="G9" s="23">
        <f>G$10*3</f>
        <v>3</v>
      </c>
      <c r="H9" s="23">
        <f>H$11*5280</f>
        <v>5280</v>
      </c>
      <c r="I9" s="23">
        <f>I$12*6076</f>
        <v>6076</v>
      </c>
      <c r="J9" s="23">
        <f>J$13/25.4/1000/12</f>
        <v>3.280839895013123E-06</v>
      </c>
      <c r="K9" s="23">
        <f>K$14/25.4/12</f>
        <v>0.0032808398950131233</v>
      </c>
      <c r="L9" s="23">
        <f>L$15/2.54/12</f>
        <v>0.03280839895013123</v>
      </c>
      <c r="M9" s="23">
        <f>M$16/25.4*1000/12</f>
        <v>3.2808398950131235</v>
      </c>
      <c r="N9" s="23">
        <f>N$17/25.4*1000*1000/12</f>
        <v>3280.839895013123</v>
      </c>
      <c r="O9" s="23">
        <f>O$18*660</f>
        <v>660</v>
      </c>
      <c r="P9" s="23">
        <f>P$19*16.5</f>
        <v>16.5</v>
      </c>
      <c r="Q9" s="51">
        <f>Q$20*299792458*(365*24*60*60+5*60*60+48*600+46)*1000/25.4/12</f>
        <v>31063973205300096</v>
      </c>
      <c r="R9" s="54" t="s">
        <v>192</v>
      </c>
    </row>
    <row r="10" spans="1:18" ht="12.75">
      <c r="A10" s="107"/>
      <c r="B10" s="2" t="s">
        <v>193</v>
      </c>
      <c r="D10" s="22">
        <f>D$7/1000/12/3</f>
        <v>2.7777777777777776E-05</v>
      </c>
      <c r="E10" s="23">
        <f>E$8/36</f>
        <v>0.027777777777777776</v>
      </c>
      <c r="F10" s="23">
        <f>F$9/3</f>
        <v>2.033333333333333</v>
      </c>
      <c r="G10" s="87">
        <v>1</v>
      </c>
      <c r="H10" s="23">
        <f>H$11*1760</f>
        <v>1760</v>
      </c>
      <c r="I10" s="23">
        <f>I$12*6076/3</f>
        <v>2025.3333333333333</v>
      </c>
      <c r="J10" s="23">
        <f>J$13/25.4/1000/36</f>
        <v>1.0936132983377078E-06</v>
      </c>
      <c r="K10" s="23">
        <f>K$14/25.4/36</f>
        <v>0.0010936132983377078</v>
      </c>
      <c r="L10" s="23">
        <f>L$15/2.54/36</f>
        <v>0.010936132983377077</v>
      </c>
      <c r="M10" s="23">
        <f>M$16/25.4*1000/36</f>
        <v>1.0936132983377078</v>
      </c>
      <c r="N10" s="23">
        <f>N$17/25.4*1000*1000/36</f>
        <v>1093.6132983377076</v>
      </c>
      <c r="O10" s="23">
        <f>O$18*220</f>
        <v>220</v>
      </c>
      <c r="P10" s="23">
        <f>P$19*16.5/3</f>
        <v>5.5</v>
      </c>
      <c r="Q10" s="51">
        <f>Q$20*299792458*(365*24*60*60+5*60*60+48*600+46)*1000/25.4/36</f>
        <v>10354657735100032</v>
      </c>
      <c r="R10" s="54" t="s">
        <v>193</v>
      </c>
    </row>
    <row r="11" spans="1:18" ht="12.75">
      <c r="A11" s="107"/>
      <c r="B11" s="15" t="s">
        <v>198</v>
      </c>
      <c r="D11" s="21">
        <f>D$7/1000/12/5280</f>
        <v>1.5782828282828283E-08</v>
      </c>
      <c r="E11" s="20">
        <f>E$8/12/5280</f>
        <v>1.5782828282828283E-05</v>
      </c>
      <c r="F11" s="20">
        <f>F$9/5280</f>
        <v>0.0011553030303030302</v>
      </c>
      <c r="G11" s="20">
        <f>G$10/1760</f>
        <v>0.0005681818181818182</v>
      </c>
      <c r="H11" s="87">
        <v>1</v>
      </c>
      <c r="I11" s="20">
        <f>I$12*6076/5280</f>
        <v>1.1507575757575759</v>
      </c>
      <c r="J11" s="20">
        <f>J$13/25.4/1000/12/5280</f>
        <v>6.21371192237334E-10</v>
      </c>
      <c r="K11" s="20">
        <f>K$14/25.4/12/5280</f>
        <v>6.21371192237334E-07</v>
      </c>
      <c r="L11" s="20">
        <f>L$15/2.54/12/5280</f>
        <v>6.213711922373339E-06</v>
      </c>
      <c r="M11" s="20">
        <f>M$16/25.4*1000/12/5280</f>
        <v>0.000621371192237334</v>
      </c>
      <c r="N11" s="20">
        <f>N$17/25.4*1000*1000/12/5280</f>
        <v>0.621371192237334</v>
      </c>
      <c r="O11" s="20">
        <f>O$18/8</f>
        <v>0.125</v>
      </c>
      <c r="P11" s="20">
        <f>P$19*16.5/5280</f>
        <v>0.003125</v>
      </c>
      <c r="Q11" s="38">
        <f>Q$20*299792458*(365*24*60*60+5*60*60+48*600+46)*1000/25.4/12/5280</f>
        <v>5883328258579.563</v>
      </c>
      <c r="R11" s="53" t="s">
        <v>198</v>
      </c>
    </row>
    <row r="12" spans="1:53" ht="13.5" thickBot="1">
      <c r="A12" s="100"/>
      <c r="B12" s="17" t="s">
        <v>202</v>
      </c>
      <c r="C12" s="4"/>
      <c r="D12" s="24">
        <f>D$7/1000/12/6076</f>
        <v>1.3715163484748738E-08</v>
      </c>
      <c r="E12" s="25">
        <f>E$8/12/6076</f>
        <v>1.3715163484748737E-05</v>
      </c>
      <c r="F12" s="25">
        <f>F$9/6076</f>
        <v>0.0010039499670836075</v>
      </c>
      <c r="G12" s="25">
        <f>G$10*3/6076</f>
        <v>0.0004937458854509546</v>
      </c>
      <c r="H12" s="25">
        <f>H$11*5280/6076</f>
        <v>0.8689927583936801</v>
      </c>
      <c r="I12" s="88">
        <v>1</v>
      </c>
      <c r="J12" s="25">
        <f>J$13/25.4/1000/12/6076</f>
        <v>5.399670663286904E-10</v>
      </c>
      <c r="K12" s="25">
        <f>K$14/25.4/12/6076</f>
        <v>5.399670663286905E-07</v>
      </c>
      <c r="L12" s="25">
        <f>L$15/2.54/12/6076</f>
        <v>5.399670663286905E-06</v>
      </c>
      <c r="M12" s="25">
        <f>M$16/25.4*1000/12/6076</f>
        <v>0.0005399670663286905</v>
      </c>
      <c r="N12" s="25">
        <f>N$17/25.4*1000*1000/12/6076</f>
        <v>0.5399670663286904</v>
      </c>
      <c r="O12" s="25">
        <f>O$18*660/6076</f>
        <v>0.10862409479921001</v>
      </c>
      <c r="P12" s="25">
        <f>P$19*16.5/6076</f>
        <v>0.00271560236998025</v>
      </c>
      <c r="Q12" s="44">
        <f>Q$20*299792458*(365*24*60*60+5*60*60+48*600+46)*1000/25.4/12/6076</f>
        <v>5112569651958.541</v>
      </c>
      <c r="R12" s="55" t="s">
        <v>202</v>
      </c>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row>
    <row r="13" spans="1:53" ht="12.75">
      <c r="A13" s="98" t="s">
        <v>286</v>
      </c>
      <c r="B13" s="12" t="s">
        <v>194</v>
      </c>
      <c r="C13" s="36"/>
      <c r="D13" s="22">
        <f>D$7*25.4</f>
        <v>25.4</v>
      </c>
      <c r="E13" s="23">
        <f>E$8*25.4*1000</f>
        <v>25400</v>
      </c>
      <c r="F13" s="23">
        <f>F$9*12*1000*25.4</f>
        <v>1859279.9999999995</v>
      </c>
      <c r="G13" s="23">
        <f>G$10*36*1000*25.4</f>
        <v>914400</v>
      </c>
      <c r="H13" s="23">
        <f>H$11*5280*12*1000*25.4</f>
        <v>1609344000</v>
      </c>
      <c r="I13" s="23">
        <f>I$12*6076*12*1000*25.4</f>
        <v>1851964800</v>
      </c>
      <c r="J13" s="87">
        <v>1</v>
      </c>
      <c r="K13" s="23">
        <f>K$14*1000</f>
        <v>1000</v>
      </c>
      <c r="L13" s="23">
        <f>L$15*10*1000</f>
        <v>10000</v>
      </c>
      <c r="M13" s="23">
        <f>M$16*1000*1000</f>
        <v>1000000</v>
      </c>
      <c r="N13" s="23">
        <f>N$17*1000*1000*1000</f>
        <v>1000000000</v>
      </c>
      <c r="O13" s="23">
        <f>O$18*660*12*1000*25.4</f>
        <v>201168000</v>
      </c>
      <c r="P13" s="23">
        <f>P$19*16.5*12*1000*25.4</f>
        <v>5029200</v>
      </c>
      <c r="Q13" s="51">
        <f>Q$20*299792458*(365*24*60*60+5*60*60+48*600+46)*1000*1000</f>
        <v>9.468299032975469E+21</v>
      </c>
      <c r="R13" s="54" t="s">
        <v>194</v>
      </c>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row>
    <row r="14" spans="1:18" ht="12.75">
      <c r="A14" s="107"/>
      <c r="B14" s="2" t="s">
        <v>195</v>
      </c>
      <c r="D14" s="22">
        <f>D$7*25.4/1000</f>
        <v>0.0254</v>
      </c>
      <c r="E14" s="23">
        <f>E$8*25.4</f>
        <v>25.4</v>
      </c>
      <c r="F14" s="23">
        <f>F$9*12*25.4</f>
        <v>1859.2799999999995</v>
      </c>
      <c r="G14" s="23">
        <f>G$10*36*25.4</f>
        <v>914.4</v>
      </c>
      <c r="H14" s="23">
        <f>H$11*5280*12*25.4</f>
        <v>1609344</v>
      </c>
      <c r="I14" s="23">
        <f>I$12*6076*12*25.4</f>
        <v>1851964.7999999998</v>
      </c>
      <c r="J14" s="23">
        <f>J$13/1000</f>
        <v>0.001</v>
      </c>
      <c r="K14" s="87">
        <v>1</v>
      </c>
      <c r="L14" s="23">
        <f>L$15*10</f>
        <v>10</v>
      </c>
      <c r="M14" s="23">
        <f>M$16*1000</f>
        <v>1000</v>
      </c>
      <c r="N14" s="23">
        <f>N$17*1000*1000</f>
        <v>1000000</v>
      </c>
      <c r="O14" s="23">
        <f>O$18*660*12*25.4</f>
        <v>201168</v>
      </c>
      <c r="P14" s="23">
        <f>P$19*16.5*12*25.4</f>
        <v>5029.2</v>
      </c>
      <c r="Q14" s="51">
        <f>Q$20*299792458*(365*24*60*60+5*60*60+48*600+46)*1000</f>
        <v>9.468299032975469E+18</v>
      </c>
      <c r="R14" s="54" t="s">
        <v>195</v>
      </c>
    </row>
    <row r="15" spans="1:18" ht="13.5" thickBot="1">
      <c r="A15" s="107"/>
      <c r="B15" s="15" t="s">
        <v>196</v>
      </c>
      <c r="D15" s="21">
        <f>D$7*25.4/1000/10</f>
        <v>0.0025399999999999997</v>
      </c>
      <c r="E15" s="20">
        <f>E$8*25.4/10</f>
        <v>2.54</v>
      </c>
      <c r="F15" s="20">
        <f>F$9*12*2.54</f>
        <v>185.92799999999997</v>
      </c>
      <c r="G15" s="20">
        <f>G$10*36*2.54</f>
        <v>91.44</v>
      </c>
      <c r="H15" s="20">
        <f>H$11*5280*12*2.54</f>
        <v>160934.4</v>
      </c>
      <c r="I15" s="20">
        <f>I$12*6076*12*2.54</f>
        <v>185196.48</v>
      </c>
      <c r="J15" s="20">
        <f>J$13/1000/10</f>
        <v>0.0001</v>
      </c>
      <c r="K15" s="20">
        <f>K$14/10</f>
        <v>0.1</v>
      </c>
      <c r="L15" s="87">
        <v>1</v>
      </c>
      <c r="M15" s="20">
        <f>M$16*100</f>
        <v>100</v>
      </c>
      <c r="N15" s="20">
        <f>N$17*1000*100</f>
        <v>100000</v>
      </c>
      <c r="O15" s="20">
        <f>O$18*660*12*2.54</f>
        <v>20116.8</v>
      </c>
      <c r="P15" s="20">
        <f>P$19*16.5*12*2.54</f>
        <v>502.92</v>
      </c>
      <c r="Q15" s="38">
        <f>Q$20*299792458*(365*24*60*60+5*60*60+48*600+46)*100</f>
        <v>9.468299032975468E+17</v>
      </c>
      <c r="R15" s="53" t="s">
        <v>196</v>
      </c>
    </row>
    <row r="16" spans="1:53" s="9" customFormat="1" ht="13.5" thickTop="1">
      <c r="A16" s="107"/>
      <c r="B16" s="15" t="s">
        <v>197</v>
      </c>
      <c r="C16"/>
      <c r="D16" s="21">
        <f>D$7*25.4/1000/1000</f>
        <v>2.5399999999999997E-05</v>
      </c>
      <c r="E16" s="20">
        <f>E$8*25.4/1000</f>
        <v>0.0254</v>
      </c>
      <c r="F16" s="20">
        <f>F$9*12*25.4/1000</f>
        <v>1.8592799999999996</v>
      </c>
      <c r="G16" s="20">
        <f>G$10*36*25.4/1000</f>
        <v>0.9144</v>
      </c>
      <c r="H16" s="20">
        <f>H$11*5280*12*25.4/1000</f>
        <v>1609.344</v>
      </c>
      <c r="I16" s="20">
        <f>I$12*6076*12*25.4/1000</f>
        <v>1851.9647999999997</v>
      </c>
      <c r="J16" s="20">
        <f>J$13/1000/1000</f>
        <v>1E-06</v>
      </c>
      <c r="K16" s="20">
        <f>K$14/1000</f>
        <v>0.001</v>
      </c>
      <c r="L16" s="20">
        <f>L$15/100</f>
        <v>0.01</v>
      </c>
      <c r="M16" s="87">
        <v>1</v>
      </c>
      <c r="N16" s="20">
        <f>N$17*1000</f>
        <v>1000</v>
      </c>
      <c r="O16" s="20">
        <f>O$18*660*12*25.4/1000</f>
        <v>201.168</v>
      </c>
      <c r="P16" s="20">
        <f>P$19*16.5*12*25.4/1000</f>
        <v>5.0291999999999994</v>
      </c>
      <c r="Q16" s="38">
        <f>Q$20*299792458*(365*24*60*60+5*60*60+48*600+46)</f>
        <v>9468299032975468</v>
      </c>
      <c r="R16" s="53" t="s">
        <v>197</v>
      </c>
      <c r="S16"/>
      <c r="T16"/>
      <c r="U16"/>
      <c r="V16"/>
      <c r="W16"/>
      <c r="X16"/>
      <c r="Y16"/>
      <c r="Z16"/>
      <c r="AA16"/>
      <c r="AB16"/>
      <c r="AC16"/>
      <c r="AD16"/>
      <c r="AE16"/>
      <c r="AF16"/>
      <c r="AG16"/>
      <c r="AH16"/>
      <c r="AI16"/>
      <c r="AJ16"/>
      <c r="AK16"/>
      <c r="AL16"/>
      <c r="AM16"/>
      <c r="AN16"/>
      <c r="AO16"/>
      <c r="AP16"/>
      <c r="AQ16"/>
      <c r="AR16"/>
      <c r="AS16"/>
      <c r="AT16"/>
      <c r="AU16"/>
      <c r="AV16"/>
      <c r="AW16"/>
      <c r="AX16"/>
      <c r="AY16"/>
      <c r="AZ16"/>
      <c r="BA16"/>
    </row>
    <row r="17" spans="1:53" ht="13.5" thickBot="1">
      <c r="A17" s="100"/>
      <c r="B17" s="8" t="s">
        <v>199</v>
      </c>
      <c r="C17" s="4"/>
      <c r="D17" s="26">
        <f>D$7*25.4/1000/1000/1000</f>
        <v>2.5399999999999996E-08</v>
      </c>
      <c r="E17" s="27">
        <f>E$8*25.4/1000/1000</f>
        <v>2.5399999999999997E-05</v>
      </c>
      <c r="F17" s="27">
        <f>F$9*12*25.4/1000/1000</f>
        <v>0.0018592799999999996</v>
      </c>
      <c r="G17" s="27">
        <f>G$10*36*25.4/1000/1000</f>
        <v>0.0009144</v>
      </c>
      <c r="H17" s="27">
        <f>H$11*5280*12*25.4/1000/1000</f>
        <v>1.609344</v>
      </c>
      <c r="I17" s="27">
        <f>I$12*6076*12*25.4/1000/1000</f>
        <v>1.8519647999999997</v>
      </c>
      <c r="J17" s="27">
        <f>J$13/1000/1000/1000</f>
        <v>9.999999999999999E-10</v>
      </c>
      <c r="K17" s="27">
        <f>K$14/1000/1000</f>
        <v>1E-06</v>
      </c>
      <c r="L17" s="27">
        <f>L$15/100/1000</f>
        <v>1E-05</v>
      </c>
      <c r="M17" s="27">
        <f>M$16/1000</f>
        <v>0.001</v>
      </c>
      <c r="N17" s="88">
        <v>1</v>
      </c>
      <c r="O17" s="27">
        <f>O$18*660*12*25.4/1000/1000</f>
        <v>0.201168</v>
      </c>
      <c r="P17" s="27">
        <f>P$19*16.5*12*25.4/1000/1000</f>
        <v>0.005029199999999999</v>
      </c>
      <c r="Q17" s="52">
        <f>Q$20*299792458*(365*24*60*60+5*60*60+48*600+46)/1000</f>
        <v>9468299032975.469</v>
      </c>
      <c r="R17" s="56" t="s">
        <v>199</v>
      </c>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row>
    <row r="18" spans="2:18" ht="12.75">
      <c r="B18" s="2" t="s">
        <v>203</v>
      </c>
      <c r="D18" s="22">
        <f>D$7/1000/12/660</f>
        <v>1.2626262626262626E-07</v>
      </c>
      <c r="E18" s="23">
        <f>E$8/12/660</f>
        <v>0.00012626262626262626</v>
      </c>
      <c r="F18" s="23">
        <f>F$9/660</f>
        <v>0.009242424242424241</v>
      </c>
      <c r="G18" s="23">
        <f>G$10/220</f>
        <v>0.004545454545454545</v>
      </c>
      <c r="H18" s="23">
        <f>H$11*8</f>
        <v>8</v>
      </c>
      <c r="I18" s="23">
        <f>I$12*6076/660</f>
        <v>9.206060606060607</v>
      </c>
      <c r="J18" s="23">
        <f>J$13/25.4/1000/12/660</f>
        <v>4.970969537898672E-09</v>
      </c>
      <c r="K18" s="23">
        <f>K$14/25.4/12/660</f>
        <v>4.970969537898672E-06</v>
      </c>
      <c r="L18" s="23">
        <f>L$15/2.54/12/660</f>
        <v>4.9709695378986714E-05</v>
      </c>
      <c r="M18" s="23">
        <f>M$16/25.4*1000/12/660</f>
        <v>0.004970969537898672</v>
      </c>
      <c r="N18" s="23">
        <f>N$17/25.4*1000*1000/12/660</f>
        <v>4.970969537898672</v>
      </c>
      <c r="O18" s="87">
        <v>1</v>
      </c>
      <c r="P18" s="23">
        <f>P$19/40</f>
        <v>0.025</v>
      </c>
      <c r="Q18" s="51">
        <f>Q$20*299792458*(365*24*60*60+5*60*60+48*600+46)*1000/25.4/12/5280*8</f>
        <v>47066626068636.51</v>
      </c>
      <c r="R18" s="54" t="s">
        <v>203</v>
      </c>
    </row>
    <row r="19" spans="2:18" ht="12.75">
      <c r="B19" s="15" t="s">
        <v>201</v>
      </c>
      <c r="D19" s="21">
        <f>D$7/1000/12/16.5</f>
        <v>5.050505050505051E-06</v>
      </c>
      <c r="E19" s="20">
        <f>E$8/12/16.5</f>
        <v>0.00505050505050505</v>
      </c>
      <c r="F19" s="20">
        <f>F$9/16.5</f>
        <v>0.3696969696969697</v>
      </c>
      <c r="G19" s="20">
        <f>G$10*3/16.5</f>
        <v>0.18181818181818182</v>
      </c>
      <c r="H19" s="20">
        <f>H$11*5280/16.5</f>
        <v>320</v>
      </c>
      <c r="I19" s="20">
        <f>I$12*6076/16.5</f>
        <v>368.24242424242425</v>
      </c>
      <c r="J19" s="20">
        <f>J$13/25.4/1000/12/16.5</f>
        <v>1.9883878151594685E-07</v>
      </c>
      <c r="K19" s="20">
        <f>K$14/25.4/12/16.5</f>
        <v>0.00019883878151594686</v>
      </c>
      <c r="L19" s="20">
        <f>L9/16.5</f>
        <v>0.001988387815159469</v>
      </c>
      <c r="M19" s="20">
        <f>M$16/25.4*1000/12/16.5</f>
        <v>0.1988387815159469</v>
      </c>
      <c r="N19" s="20">
        <f>N$17/25.4*1000*1000/12/16.5</f>
        <v>198.83878151594686</v>
      </c>
      <c r="O19" s="20">
        <f>O$18*40</f>
        <v>40</v>
      </c>
      <c r="P19" s="87">
        <v>1</v>
      </c>
      <c r="Q19" s="51">
        <f>Q$20*299792458*(365*24*60*60+5*60*60+48*600+46)*1000/25.4/12/16.5</f>
        <v>1882665042745460.2</v>
      </c>
      <c r="R19" s="53" t="s">
        <v>201</v>
      </c>
    </row>
    <row r="20" spans="1:53" ht="13.5" thickBot="1">
      <c r="A20" s="4"/>
      <c r="B20" s="17" t="s">
        <v>200</v>
      </c>
      <c r="C20" s="4"/>
      <c r="D20" s="24">
        <f>D$7*25.4/1000/1000/299792458/(365*24*60*60+5*60*60+48*600+46)</f>
        <v>2.6826360164100034E-21</v>
      </c>
      <c r="E20" s="24">
        <f>E$8*25.4/1000/299792458/(365*24*60*60+5*60*60+48*600+46)</f>
        <v>2.6826360164100036E-18</v>
      </c>
      <c r="F20" s="25">
        <f>F$9*12*25.4/1000/299792458/(365*24*60*60+5*60*60+48*600+46)</f>
        <v>1.9636895640121223E-16</v>
      </c>
      <c r="G20" s="25">
        <f>G$10*36*25.4/1000/299792458/(365*24*60*60+5*60*60+48*600+46)</f>
        <v>9.657489659076013E-17</v>
      </c>
      <c r="H20" s="25">
        <f>H$11*5280*12*25.4/1000/299792458/(365*24*60*60+5*60*60+48*600+46)</f>
        <v>1.6997181799973784E-13</v>
      </c>
      <c r="I20" s="25">
        <f>I$12*6076*12*25.4/1000/299792458/(365*24*60*60+5*60*60+48*600+46)</f>
        <v>1.9559635722848617E-13</v>
      </c>
      <c r="J20" s="25">
        <f>J$13/1000/1000/299792458/(365*24*60*60+5*60*60+48*600+46)</f>
        <v>1.0561559119724424E-22</v>
      </c>
      <c r="K20" s="25">
        <f>K$14/1000/299792458/(365*24*60*60+5*60*60+48*600+46)</f>
        <v>1.0561559119724424E-19</v>
      </c>
      <c r="L20" s="25">
        <f>L$15/100/299792458/(365*24*60*60+5*60*60+48*600+46)</f>
        <v>1.0561559119724425E-18</v>
      </c>
      <c r="M20" s="25">
        <f>M$16/299792458/(365*24*60*60+5*60*60+48*600+46)</f>
        <v>1.0561559119724425E-16</v>
      </c>
      <c r="N20" s="25">
        <f>N$17*1000/299792458/(365*24*60*60+5*60*60+48*600+46)</f>
        <v>1.0561559119724424E-13</v>
      </c>
      <c r="O20" s="25">
        <f>O$18*660*12*25.4/1000/299792458/(365*24*60*60+5*60*60+48*600+46)</f>
        <v>2.124647724996723E-14</v>
      </c>
      <c r="P20" s="25">
        <f>P$19*16.5*12*25.4/1000/299792458/(365*24*60*60+5*60*60+48*600+46)</f>
        <v>5.311619312491807E-16</v>
      </c>
      <c r="Q20" s="89">
        <v>1</v>
      </c>
      <c r="R20" s="55" t="s">
        <v>200</v>
      </c>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row>
    <row r="21" spans="4:5" ht="12.75">
      <c r="D21" s="5" t="s">
        <v>291</v>
      </c>
      <c r="E21" s="2"/>
    </row>
    <row r="22" spans="1:53" s="36" customFormat="1" ht="12.75">
      <c r="A22"/>
      <c r="B22"/>
      <c r="C22"/>
      <c r="D22" t="s">
        <v>48</v>
      </c>
      <c r="E22" s="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s="36" customFormat="1" ht="13.5" thickBot="1">
      <c r="A23"/>
      <c r="B23"/>
      <c r="C23"/>
      <c r="D23" s="5"/>
      <c r="E23" s="5"/>
      <c r="F23"/>
      <c r="G23"/>
      <c r="H23"/>
      <c r="I23"/>
      <c r="J23" s="2"/>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ht="27" thickBot="1" thickTop="1">
      <c r="A24" s="46"/>
      <c r="B24" s="47" t="s">
        <v>204</v>
      </c>
      <c r="C24" s="46"/>
      <c r="D24" s="48" t="s">
        <v>177</v>
      </c>
      <c r="E24" s="48" t="s">
        <v>178</v>
      </c>
      <c r="F24" s="48" t="s">
        <v>179</v>
      </c>
      <c r="G24" s="48" t="s">
        <v>180</v>
      </c>
      <c r="H24" s="48" t="s">
        <v>181</v>
      </c>
      <c r="I24" s="48" t="s">
        <v>182</v>
      </c>
      <c r="J24" s="48" t="s">
        <v>183</v>
      </c>
      <c r="K24" s="48" t="s">
        <v>184</v>
      </c>
      <c r="L24" s="48" t="s">
        <v>185</v>
      </c>
      <c r="M24" s="48" t="s">
        <v>186</v>
      </c>
      <c r="N24" s="48" t="s">
        <v>6</v>
      </c>
      <c r="O24" s="49" t="s">
        <v>187</v>
      </c>
      <c r="P24" s="50" t="s">
        <v>204</v>
      </c>
      <c r="Q24" s="9"/>
      <c r="R24" s="11"/>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1:16" ht="12.75">
      <c r="A25" s="107" t="s">
        <v>287</v>
      </c>
      <c r="B25" s="15" t="s">
        <v>205</v>
      </c>
      <c r="D25" s="87">
        <v>1</v>
      </c>
      <c r="E25" s="20">
        <f>E$26*1000000</f>
        <v>1000000</v>
      </c>
      <c r="F25" s="20">
        <f>F$27*(12*1000)^2</f>
        <v>144000000</v>
      </c>
      <c r="G25" s="20">
        <f>G$28*(3*12*1000)^2</f>
        <v>1296000000</v>
      </c>
      <c r="H25" s="20">
        <f>H$29*(5280*12*1000)^2</f>
        <v>4014489600000000</v>
      </c>
      <c r="I25" s="20">
        <f>I$30/(0.999998)^2*43560*(12*1000)^2</f>
        <v>6272665090635.2705</v>
      </c>
      <c r="J25" s="20">
        <f>J$31/(25.4)^2</f>
        <v>0.0015500031000062</v>
      </c>
      <c r="K25" s="20">
        <f>K$32*(1000/25.4)^2</f>
        <v>1550.0031000062002</v>
      </c>
      <c r="L25" s="20">
        <f>L$33*(1000/2.54)^2</f>
        <v>155000.31000062</v>
      </c>
      <c r="M25" s="20">
        <f>M$34*(1000*1000/25.4)^2</f>
        <v>1550003100.0062003</v>
      </c>
      <c r="N25" s="20">
        <f>N$35*(1000*1000*1000/25.4)^2</f>
        <v>1550003100006200.5</v>
      </c>
      <c r="O25" s="38">
        <f>O$36*10000*(1000*1000/25.4)^2</f>
        <v>15500031000062.004</v>
      </c>
      <c r="P25" s="41" t="s">
        <v>205</v>
      </c>
    </row>
    <row r="26" spans="1:16" ht="12.75">
      <c r="A26" s="107"/>
      <c r="B26" s="15" t="s">
        <v>188</v>
      </c>
      <c r="D26" s="20">
        <f>D$25/1000000</f>
        <v>1E-06</v>
      </c>
      <c r="E26" s="87">
        <v>1</v>
      </c>
      <c r="F26" s="20">
        <f>F$27*(12)^2</f>
        <v>144</v>
      </c>
      <c r="G26" s="20">
        <f>G$28*(3*12)^2</f>
        <v>1296</v>
      </c>
      <c r="H26" s="20">
        <f>H$29*(5280*12)^2</f>
        <v>4014489600</v>
      </c>
      <c r="I26" s="20">
        <f>I$30/(0.999998)^2*43560*(12)^2</f>
        <v>6272665.090635271</v>
      </c>
      <c r="J26" s="20">
        <f>J$31/(25.4*1000)^2</f>
        <v>1.5500031000062001E-09</v>
      </c>
      <c r="K26" s="20">
        <f>K$32/(25.4)^2</f>
        <v>0.0015500031000062</v>
      </c>
      <c r="L26" s="20">
        <f>L$33/(2.54)^2</f>
        <v>0.15500031000062</v>
      </c>
      <c r="M26" s="20">
        <f>M$34*(1000/25.4)^2</f>
        <v>1550.0031000062002</v>
      </c>
      <c r="N26" s="20">
        <f>N$35*(1000*1000/25.4)^2</f>
        <v>1550003100.0062003</v>
      </c>
      <c r="O26" s="38">
        <f>O$36*10000*(1000/25.4)^2</f>
        <v>15500031.000062002</v>
      </c>
      <c r="P26" s="41" t="s">
        <v>206</v>
      </c>
    </row>
    <row r="27" spans="1:53" s="36" customFormat="1" ht="12.75">
      <c r="A27" s="107"/>
      <c r="B27" t="s">
        <v>207</v>
      </c>
      <c r="C27"/>
      <c r="D27" s="23">
        <f>D$25/(1000*12)^2</f>
        <v>6.944444444444444E-09</v>
      </c>
      <c r="E27" s="23">
        <f>E$26/144</f>
        <v>0.006944444444444444</v>
      </c>
      <c r="F27" s="87">
        <v>1</v>
      </c>
      <c r="G27" s="23">
        <f>G$28*(3)^2</f>
        <v>9</v>
      </c>
      <c r="H27" s="23">
        <f>H$29*(5280)^2</f>
        <v>27878400</v>
      </c>
      <c r="I27" s="23">
        <f>I$30/(0.999998)^2*43560</f>
        <v>43560.17424052271</v>
      </c>
      <c r="J27" s="23">
        <f>J$31/(25.4*1000*12)^2</f>
        <v>1.0763910416709723E-11</v>
      </c>
      <c r="K27" s="23">
        <f>K$32/(25.4*12)^2</f>
        <v>1.0763910416709725E-05</v>
      </c>
      <c r="L27" s="23">
        <f>L$33/(2.54*12)^2</f>
        <v>0.0010763910416709723</v>
      </c>
      <c r="M27" s="23">
        <f>M$34*(1000/25.4/12)^2</f>
        <v>10.763910416709724</v>
      </c>
      <c r="N27" s="23">
        <f>N$35*(1000*1000/25.4/12)^2</f>
        <v>10763910.416709725</v>
      </c>
      <c r="O27" s="39">
        <f>O$36*10000*(1000/25.4/12)^2</f>
        <v>107639.10416709723</v>
      </c>
      <c r="P27" s="42" t="s">
        <v>207</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row>
    <row r="28" spans="1:16" ht="12.75">
      <c r="A28" s="107"/>
      <c r="B28" t="s">
        <v>208</v>
      </c>
      <c r="D28" s="23">
        <f>D$25/(1000*12*3)^2</f>
        <v>7.71604938271605E-10</v>
      </c>
      <c r="E28" s="23">
        <f>E$26/(12*3)^2</f>
        <v>0.0007716049382716049</v>
      </c>
      <c r="F28" s="23">
        <f>F$27/(3)^2</f>
        <v>0.1111111111111111</v>
      </c>
      <c r="G28" s="87">
        <v>1</v>
      </c>
      <c r="H28" s="23">
        <f>H$29*(1760)^2</f>
        <v>3097600</v>
      </c>
      <c r="I28" s="23">
        <f>I$30/(0.999998)^2/640*(1760)^2</f>
        <v>4840.01936005808</v>
      </c>
      <c r="J28" s="23">
        <f>J$31/(25.4*1000*36)^2</f>
        <v>1.1959900463010802E-12</v>
      </c>
      <c r="K28" s="23">
        <f>K$32/(25.4*36)^2</f>
        <v>1.1959900463010804E-06</v>
      </c>
      <c r="L28" s="23">
        <f>L$33/(2.54*36)^2</f>
        <v>0.00011959900463010801</v>
      </c>
      <c r="M28" s="23">
        <f>M$34*(1000/25.4/36)^2</f>
        <v>1.1959900463010804</v>
      </c>
      <c r="N28" s="23">
        <f>N$35*(1000*1000/25.4/36)^2</f>
        <v>1195990.0463010804</v>
      </c>
      <c r="O28" s="39">
        <f>O$36*10000*(1000/25.4/36)^2</f>
        <v>11959.900463010805</v>
      </c>
      <c r="P28" s="42" t="s">
        <v>208</v>
      </c>
    </row>
    <row r="29" spans="1:16" ht="12.75">
      <c r="A29" s="107"/>
      <c r="B29" s="15" t="s">
        <v>209</v>
      </c>
      <c r="D29" s="20">
        <f>D$25/(1000*12*5280)^2</f>
        <v>2.4909766860524434E-16</v>
      </c>
      <c r="E29" s="20">
        <f>E$26/(12*5280)^2</f>
        <v>2.4909766860524435E-10</v>
      </c>
      <c r="F29" s="20">
        <f>F$27/(5280)^2</f>
        <v>3.587006427915519E-08</v>
      </c>
      <c r="G29" s="20">
        <f>G$28/(1760)^2</f>
        <v>3.228305785123967E-07</v>
      </c>
      <c r="H29" s="87">
        <v>1</v>
      </c>
      <c r="I29" s="20">
        <f>I$30/(0.999998)^2/640</f>
        <v>0.0015625062500187498</v>
      </c>
      <c r="J29" s="20">
        <f>J$31/(25.4*1000*12*5280)^2</f>
        <v>3.8610215854244584E-19</v>
      </c>
      <c r="K29" s="20">
        <f>K$32/(25.4*12*5280)^2</f>
        <v>3.8610215854244597E-13</v>
      </c>
      <c r="L29" s="20">
        <f>L$33/(2.54*12*5280)^2</f>
        <v>3.861021585424459E-11</v>
      </c>
      <c r="M29" s="20">
        <f>M$34*(1000/25.4/12/5280)^2</f>
        <v>3.861021585424459E-07</v>
      </c>
      <c r="N29" s="20">
        <f>N$35*(1000*1000/25.4/12/5280)^2</f>
        <v>0.38610215854244595</v>
      </c>
      <c r="O29" s="38">
        <f>O$36*10000*(1000/25.4/12/5280)^2</f>
        <v>0.0038610215854244594</v>
      </c>
      <c r="P29" s="41" t="s">
        <v>209</v>
      </c>
    </row>
    <row r="30" spans="1:16" s="36" customFormat="1" ht="13.5" thickBot="1">
      <c r="A30" s="100"/>
      <c r="B30" s="17" t="s">
        <v>216</v>
      </c>
      <c r="C30" s="4"/>
      <c r="D30" s="25">
        <f>D$25/(1000*12*5280)^2*640*(0.999998)^2</f>
        <v>1.5942187021796244E-13</v>
      </c>
      <c r="E30" s="25">
        <f>E$26/(12*5280)^2*640*(0.999998)^2</f>
        <v>1.5942187021796245E-07</v>
      </c>
      <c r="F30" s="25">
        <f>F$27/43560*(0.999998)^2</f>
        <v>2.2956749311386595E-05</v>
      </c>
      <c r="G30" s="25">
        <f>G$28/(1760)^2*640*(0.999998)^2</f>
        <v>0.00020661074380247938</v>
      </c>
      <c r="H30" s="25">
        <f>H$29*640*(0.999998)^2</f>
        <v>639.9974400025601</v>
      </c>
      <c r="I30" s="88">
        <v>1</v>
      </c>
      <c r="J30" s="25">
        <f>J$31/(25.4*1000*12)^2/43560*(0.999998)^2</f>
        <v>2.471043930466279E-16</v>
      </c>
      <c r="K30" s="25">
        <f>K$32/(25.4*12)^2/43560*(0.999998)^2</f>
        <v>2.4710439304662797E-10</v>
      </c>
      <c r="L30" s="25">
        <f>L$33/(2.54*12)^2/43560*(0.999998)^2</f>
        <v>2.4710439304662794E-08</v>
      </c>
      <c r="M30" s="25">
        <f>M$34*(1000/25.4/12)^2/43560*(0.999998)^2</f>
        <v>0.00024710439304662796</v>
      </c>
      <c r="N30" s="25">
        <f>N$35*(1000*1000/25.4/12)^2/43560*(0.999998)^2</f>
        <v>247.10439304662796</v>
      </c>
      <c r="O30" s="44">
        <f>O$36*10000*(1000/25.4/12)^2/43560*(0.999998)^2</f>
        <v>2.4710439304662795</v>
      </c>
      <c r="P30" s="45" t="s">
        <v>216</v>
      </c>
    </row>
    <row r="31" spans="1:36" ht="12.75">
      <c r="A31" s="98" t="s">
        <v>286</v>
      </c>
      <c r="B31" t="s">
        <v>210</v>
      </c>
      <c r="D31" s="23">
        <f>D$25*(25.4)^2</f>
        <v>645.16</v>
      </c>
      <c r="E31" s="23">
        <f>E$26*(25.4)^2*1000000</f>
        <v>645160000</v>
      </c>
      <c r="F31" s="23">
        <f>F$27*(12*25.4*1000)^2</f>
        <v>92903039999.99997</v>
      </c>
      <c r="G31" s="23">
        <f>G$28*(25.4*3*12*1000)^2</f>
        <v>836127359999.9998</v>
      </c>
      <c r="H31" s="23">
        <f>H$29*(25.4*5280*12*1000)^2</f>
        <v>2.589988110336E+18</v>
      </c>
      <c r="I31" s="23">
        <f>I$30/(0.999998)^2*43560*(25.4*12*1000)^2</f>
        <v>4046872609874250</v>
      </c>
      <c r="J31" s="87">
        <v>1</v>
      </c>
      <c r="K31" s="23">
        <f>K$32*(1000)^2</f>
        <v>1000000</v>
      </c>
      <c r="L31" s="23">
        <f>L$33*(10*1000)^2</f>
        <v>100000000</v>
      </c>
      <c r="M31" s="23">
        <f>M$34*(1000*1000)^2</f>
        <v>1000000000000</v>
      </c>
      <c r="N31" s="23">
        <f>N$35*(1000*1000*1000)^2</f>
        <v>1E+18</v>
      </c>
      <c r="O31" s="39">
        <f>O$36*10000*(1000*1000)^2</f>
        <v>10000000000000000</v>
      </c>
      <c r="P31" s="42" t="s">
        <v>210</v>
      </c>
      <c r="U31" s="36"/>
      <c r="V31" s="36"/>
      <c r="W31" s="36"/>
      <c r="X31" s="36"/>
      <c r="Y31" s="36"/>
      <c r="Z31" s="36"/>
      <c r="AA31" s="36"/>
      <c r="AB31" s="36"/>
      <c r="AC31" s="36"/>
      <c r="AD31" s="36"/>
      <c r="AE31" s="36"/>
      <c r="AF31" s="36"/>
      <c r="AG31" s="36"/>
      <c r="AH31" s="36"/>
      <c r="AI31" s="36"/>
      <c r="AJ31" s="36"/>
    </row>
    <row r="32" spans="1:16" ht="12.75">
      <c r="A32" s="99"/>
      <c r="B32" t="s">
        <v>211</v>
      </c>
      <c r="D32" s="23">
        <f>D$25*(25.4/1000)^2</f>
        <v>0.00064516</v>
      </c>
      <c r="E32" s="23">
        <f>E$26*(25.4)^2</f>
        <v>645.16</v>
      </c>
      <c r="F32" s="23">
        <f>F$27*(12*25.4)^2</f>
        <v>92903.03999999998</v>
      </c>
      <c r="G32" s="23">
        <f>G$28*(25.4*3*12)^2</f>
        <v>836127.3599999998</v>
      </c>
      <c r="H32" s="23">
        <f>H$29*(25.4*5280*12)^2</f>
        <v>2589988110336</v>
      </c>
      <c r="I32" s="23">
        <f>I$30/(0.999998)^2*43560*(25.4*12)^2</f>
        <v>4046872609.8742504</v>
      </c>
      <c r="J32" s="23">
        <f>J$31/(1000)^2</f>
        <v>1E-06</v>
      </c>
      <c r="K32" s="87">
        <v>1</v>
      </c>
      <c r="L32" s="23">
        <f>L$33*(10)^2</f>
        <v>100</v>
      </c>
      <c r="M32" s="23">
        <f>M$34*(1000)^2</f>
        <v>1000000</v>
      </c>
      <c r="N32" s="23">
        <f>N$35*(1000*1000)^2</f>
        <v>1000000000000</v>
      </c>
      <c r="O32" s="39">
        <f>O$36*10000*(1000)^2</f>
        <v>10000000000</v>
      </c>
      <c r="P32" s="42" t="s">
        <v>211</v>
      </c>
    </row>
    <row r="33" spans="1:16" ht="13.5" thickBot="1">
      <c r="A33" s="99"/>
      <c r="B33" s="15" t="s">
        <v>212</v>
      </c>
      <c r="D33" s="20">
        <f>D$25*(25.4/10000)^2</f>
        <v>6.4515999999999985E-06</v>
      </c>
      <c r="E33" s="20">
        <f>E$26*(25.4)^2/100</f>
        <v>6.4516</v>
      </c>
      <c r="F33" s="20">
        <f>F$27*(12*25.4/10)^2</f>
        <v>929.0303999999998</v>
      </c>
      <c r="G33" s="20">
        <f>G$28*(25.4*3*12/10)^2</f>
        <v>8361.273599999997</v>
      </c>
      <c r="H33" s="20">
        <f>H$29*(25.4*5280*12/10)^2</f>
        <v>25899881103.359997</v>
      </c>
      <c r="I33" s="20">
        <f>I$30/(0.999998)^2*43560*(25.4*12/10)^2</f>
        <v>40468726.0987425</v>
      </c>
      <c r="J33" s="20">
        <f>J$31/(1000*10)^2</f>
        <v>1E-08</v>
      </c>
      <c r="K33" s="20">
        <f>K$32/(10)^2</f>
        <v>0.01</v>
      </c>
      <c r="L33" s="87">
        <v>1</v>
      </c>
      <c r="M33" s="20">
        <f>M$34*(100)^2</f>
        <v>10000</v>
      </c>
      <c r="N33" s="20">
        <f>N$35*(1000*100)^2</f>
        <v>10000000000</v>
      </c>
      <c r="O33" s="38">
        <f>O$36*10000*(100)^2</f>
        <v>100000000</v>
      </c>
      <c r="P33" s="41" t="s">
        <v>212</v>
      </c>
    </row>
    <row r="34" spans="1:53" s="9" customFormat="1" ht="13.5" thickTop="1">
      <c r="A34" s="99"/>
      <c r="B34" s="15" t="s">
        <v>213</v>
      </c>
      <c r="C34"/>
      <c r="D34" s="20">
        <f>D$25*(25.4/1000/1000)^2</f>
        <v>6.451599999999999E-10</v>
      </c>
      <c r="E34" s="20">
        <f>E$26*(25.4)^2/1000000</f>
        <v>0.00064516</v>
      </c>
      <c r="F34" s="20">
        <f>F$27*(12*25.4/1000)^2</f>
        <v>0.09290303999999998</v>
      </c>
      <c r="G34" s="20">
        <f>G$28*(25.4*3*12/1000)^2</f>
        <v>0.8361273599999998</v>
      </c>
      <c r="H34" s="20">
        <f>H$29*(25.4*5280*12/1000)^2</f>
        <v>2589988.110336</v>
      </c>
      <c r="I34" s="20">
        <f>I$30/(0.999998)^2*43560*(25.4*12/1000)^2</f>
        <v>4046.8726098742504</v>
      </c>
      <c r="J34" s="20">
        <f>J$31/(1000*1000)^2</f>
        <v>1E-12</v>
      </c>
      <c r="K34" s="20">
        <f>K$32/(1000)^2</f>
        <v>1E-06</v>
      </c>
      <c r="L34" s="20">
        <f>L$33/(100)^2</f>
        <v>0.0001</v>
      </c>
      <c r="M34" s="87">
        <v>1</v>
      </c>
      <c r="N34" s="20">
        <f>N$35*(1000)^2</f>
        <v>1000000</v>
      </c>
      <c r="O34" s="38">
        <f>O$36*10000</f>
        <v>10000</v>
      </c>
      <c r="P34" s="41" t="s">
        <v>213</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row>
    <row r="35" spans="1:36" ht="12.75">
      <c r="A35" s="99"/>
      <c r="B35" t="s">
        <v>214</v>
      </c>
      <c r="D35" s="23">
        <f>D$25*(25.4/1000/1000/1000)^2</f>
        <v>6.451599999999998E-16</v>
      </c>
      <c r="E35" s="23">
        <f>E$26*(25.4)^2/1000000^2</f>
        <v>6.4516E-10</v>
      </c>
      <c r="F35" s="23">
        <f>F$27*(12*25.4/1000/1000)^2</f>
        <v>9.290304E-08</v>
      </c>
      <c r="G35" s="23">
        <f>G$28*(25.4*3*12/1000/1000)^2</f>
        <v>8.361273599999998E-07</v>
      </c>
      <c r="H35" s="23">
        <f>H$29*(25.4*5280*12/1000/1000)^2</f>
        <v>2.5899881103360003</v>
      </c>
      <c r="I35" s="23">
        <f>I$30/(0.999998)^2*43560*(25.4*12/1000/1000)^2</f>
        <v>0.004046872609874251</v>
      </c>
      <c r="J35" s="23">
        <f>J$31/(1000*1000*1000)^2</f>
        <v>1E-18</v>
      </c>
      <c r="K35" s="23">
        <f>K$32/(1000*1000)^2</f>
        <v>1E-12</v>
      </c>
      <c r="L35" s="23">
        <f>L$33/(100*1000)^2</f>
        <v>1E-10</v>
      </c>
      <c r="M35" s="23">
        <f>M$34/(1000)^2</f>
        <v>1E-06</v>
      </c>
      <c r="N35" s="87">
        <v>1</v>
      </c>
      <c r="O35" s="39">
        <f>O$36/100</f>
        <v>0.01</v>
      </c>
      <c r="P35" s="42" t="s">
        <v>214</v>
      </c>
      <c r="U35" s="36"/>
      <c r="V35" s="36"/>
      <c r="W35" s="36"/>
      <c r="X35" s="36"/>
      <c r="Y35" s="36"/>
      <c r="Z35" s="36"/>
      <c r="AA35" s="36"/>
      <c r="AB35" s="36"/>
      <c r="AC35" s="36"/>
      <c r="AD35" s="36"/>
      <c r="AE35" s="36"/>
      <c r="AF35" s="36"/>
      <c r="AG35" s="36"/>
      <c r="AH35" s="36"/>
      <c r="AI35" s="36"/>
      <c r="AJ35" s="36"/>
    </row>
    <row r="36" spans="1:53" ht="13.5" thickBot="1">
      <c r="A36" s="100"/>
      <c r="B36" s="4" t="s">
        <v>215</v>
      </c>
      <c r="C36" s="4"/>
      <c r="D36" s="27">
        <f>D$25*(25.4/1000/1000)^2/10000</f>
        <v>6.451599999999999E-14</v>
      </c>
      <c r="E36" s="27">
        <f>E$26*(25.4)^2/1000000/10000</f>
        <v>6.4516E-08</v>
      </c>
      <c r="F36" s="27">
        <f>F$27*(12*25.4/1000)^2/10000</f>
        <v>9.290303999999997E-06</v>
      </c>
      <c r="G36" s="27">
        <f>G$28*(25.4*3*12/1000)^2/10000</f>
        <v>8.361273599999997E-05</v>
      </c>
      <c r="H36" s="27">
        <f>H$29*(25.4*5280*12/1000)^2/10000</f>
        <v>258.9988110336</v>
      </c>
      <c r="I36" s="27">
        <f>I$30/(0.999998)^2*43560*(25.4*12/1000)^2/10000</f>
        <v>0.404687260987425</v>
      </c>
      <c r="J36" s="27">
        <f>J$31/(1000*1000)^2/10000</f>
        <v>1E-16</v>
      </c>
      <c r="K36" s="27">
        <f>K$32/(1000)^2/10000</f>
        <v>9.999999999999999E-11</v>
      </c>
      <c r="L36" s="27">
        <f>L$33/(100)^2/10000</f>
        <v>1E-08</v>
      </c>
      <c r="M36" s="27">
        <f>M$34/10000</f>
        <v>0.0001</v>
      </c>
      <c r="N36" s="27">
        <f>N$35*100</f>
        <v>100</v>
      </c>
      <c r="O36" s="89">
        <v>1</v>
      </c>
      <c r="P36" s="43" t="s">
        <v>215</v>
      </c>
      <c r="Q36" s="36"/>
      <c r="R36" s="36"/>
      <c r="S36" s="36"/>
      <c r="T36" s="36"/>
      <c r="AK36" s="36"/>
      <c r="AL36" s="36"/>
      <c r="AM36" s="36"/>
      <c r="AN36" s="36"/>
      <c r="AO36" s="36"/>
      <c r="AP36" s="36"/>
      <c r="AQ36" s="36"/>
      <c r="AR36" s="36"/>
      <c r="AS36" s="36"/>
      <c r="AT36" s="36"/>
      <c r="AU36" s="36"/>
      <c r="AV36" s="36"/>
      <c r="AW36" s="36"/>
      <c r="AX36" s="36"/>
      <c r="AY36" s="36"/>
      <c r="AZ36" s="36"/>
      <c r="BA36" s="36"/>
    </row>
    <row r="37" ht="12.75">
      <c r="D37" t="s">
        <v>290</v>
      </c>
    </row>
    <row r="38" spans="4:22" ht="12.75">
      <c r="D38" t="s">
        <v>50</v>
      </c>
      <c r="U38" s="36"/>
      <c r="V38" s="36"/>
    </row>
    <row r="39" ht="12.75">
      <c r="D39" t="s">
        <v>49</v>
      </c>
    </row>
    <row r="40" spans="1:53" s="36" customFormat="1" ht="12.75">
      <c r="A40"/>
      <c r="B40"/>
      <c r="C40"/>
      <c r="D40" t="s">
        <v>0</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ht="13.5" thickBot="1"/>
    <row r="42" spans="1:53" ht="39" thickTop="1">
      <c r="A42" s="9"/>
      <c r="B42" s="10" t="s">
        <v>217</v>
      </c>
      <c r="C42" s="9"/>
      <c r="D42" s="19" t="s">
        <v>3</v>
      </c>
      <c r="E42" s="19" t="s">
        <v>4</v>
      </c>
      <c r="F42" s="19" t="s">
        <v>5</v>
      </c>
      <c r="G42" s="19" t="s">
        <v>59</v>
      </c>
      <c r="H42" s="19" t="s">
        <v>60</v>
      </c>
      <c r="I42" s="19" t="s">
        <v>61</v>
      </c>
      <c r="J42" s="19" t="s">
        <v>62</v>
      </c>
      <c r="K42" s="19" t="s">
        <v>63</v>
      </c>
      <c r="L42" s="19" t="s">
        <v>64</v>
      </c>
      <c r="M42" s="19" t="s">
        <v>65</v>
      </c>
      <c r="N42" s="19" t="s">
        <v>66</v>
      </c>
      <c r="O42" s="19" t="s">
        <v>67</v>
      </c>
      <c r="P42" s="19" t="s">
        <v>68</v>
      </c>
      <c r="Q42" s="19" t="s">
        <v>69</v>
      </c>
      <c r="R42" s="19" t="s">
        <v>70</v>
      </c>
      <c r="S42" s="19" t="s">
        <v>71</v>
      </c>
      <c r="T42" s="37" t="s">
        <v>72</v>
      </c>
      <c r="U42" s="40" t="s">
        <v>217</v>
      </c>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row>
    <row r="43" spans="1:22" ht="12.75">
      <c r="A43" s="99" t="s">
        <v>287</v>
      </c>
      <c r="B43" s="15" t="s">
        <v>120</v>
      </c>
      <c r="D43" s="87">
        <v>1</v>
      </c>
      <c r="E43" s="20">
        <f>E$44*(12)^3</f>
        <v>1728</v>
      </c>
      <c r="F43" s="20">
        <f>F$45*(36)^3</f>
        <v>46656</v>
      </c>
      <c r="G43" s="20">
        <f>G$46/6/128*231</f>
        <v>0.30078125</v>
      </c>
      <c r="H43" s="20">
        <f>H$47/2/128*231</f>
        <v>0.90234375</v>
      </c>
      <c r="I43" s="20">
        <f>I$48/128*231</f>
        <v>1.8046875</v>
      </c>
      <c r="J43" s="20">
        <f>J$49/16*231</f>
        <v>14.4375</v>
      </c>
      <c r="K43" s="20">
        <f>K$50/8*231</f>
        <v>28.875</v>
      </c>
      <c r="L43" s="20">
        <f>L$51/4*231</f>
        <v>57.75</v>
      </c>
      <c r="M43" s="29">
        <f>M$52*231</f>
        <v>231</v>
      </c>
      <c r="N43" s="20">
        <f>N$53*42*231</f>
        <v>9702</v>
      </c>
      <c r="O43" s="20">
        <f>O$54/(0.999998)^3*43560*(12)^3</f>
        <v>75272131.63188651</v>
      </c>
      <c r="P43" s="20">
        <f>P$55/(25.4)^3</f>
        <v>6.102374409473229E-05</v>
      </c>
      <c r="Q43" s="29">
        <f>Q$56*1000/(25.4)^3</f>
        <v>0.06102374409473229</v>
      </c>
      <c r="R43" s="20">
        <f>R$57*(1000/25.4)^3</f>
        <v>61023.74409473229</v>
      </c>
      <c r="S43" s="20">
        <f>S$58*(10/25.4)^3</f>
        <v>0.06102374409473229</v>
      </c>
      <c r="T43" s="57">
        <f>T$59*1000*(10/25.4)^3</f>
        <v>61.02374409473229</v>
      </c>
      <c r="U43" s="41" t="s">
        <v>219</v>
      </c>
      <c r="V43" s="39"/>
    </row>
    <row r="44" spans="1:22" ht="12.75">
      <c r="A44" s="99"/>
      <c r="B44" s="15" t="s">
        <v>218</v>
      </c>
      <c r="D44" s="20">
        <f>D$43*(1/12)^3</f>
        <v>0.0005787037037037037</v>
      </c>
      <c r="E44" s="87">
        <v>1</v>
      </c>
      <c r="F44" s="20">
        <f>F$45*(3)^3</f>
        <v>27</v>
      </c>
      <c r="G44" s="20">
        <f>G$46/6/128*231/(12)^3</f>
        <v>0.00017406322337962962</v>
      </c>
      <c r="H44" s="20">
        <f>H$47/2/128*231/(12)^3</f>
        <v>0.0005221896701388889</v>
      </c>
      <c r="I44" s="20">
        <f>I$48/128*231/(12)^3</f>
        <v>0.0010443793402777778</v>
      </c>
      <c r="J44" s="20">
        <f>J$49/16*231/(12)^3</f>
        <v>0.008355034722222222</v>
      </c>
      <c r="K44" s="20">
        <f>K$50/8*231/(12)^3</f>
        <v>0.016710069444444444</v>
      </c>
      <c r="L44" s="20">
        <f>L$51/4*231/(12)^3</f>
        <v>0.03342013888888889</v>
      </c>
      <c r="M44" s="20">
        <f>M$52*231/(12)^3</f>
        <v>0.13368055555555555</v>
      </c>
      <c r="N44" s="20">
        <f>N$53*42*231/(12)^3</f>
        <v>5.614583333333333</v>
      </c>
      <c r="O44" s="20">
        <f>O$54/(0.999998)^3*43560</f>
        <v>43560.261361045435</v>
      </c>
      <c r="P44" s="20">
        <f>P$55/(25.4*12)^3</f>
        <v>3.5314666721488604E-08</v>
      </c>
      <c r="Q44" s="20">
        <f>Q$56*1000/(25.4*12)^3</f>
        <v>3.531466672148861E-05</v>
      </c>
      <c r="R44" s="20">
        <f>R$57*(1000/25.4/12)^3</f>
        <v>35.31466672148859</v>
      </c>
      <c r="S44" s="20">
        <f>S$58*(10/25.4/12)^3</f>
        <v>3.5314666721488586E-05</v>
      </c>
      <c r="T44" s="38">
        <f>T$59*1000*(10/25.4/12)^3</f>
        <v>0.035314666721488586</v>
      </c>
      <c r="U44" s="41" t="s">
        <v>218</v>
      </c>
      <c r="V44" s="39"/>
    </row>
    <row r="45" spans="1:53" ht="13.5" thickBot="1">
      <c r="A45" s="100"/>
      <c r="B45" s="4" t="s">
        <v>220</v>
      </c>
      <c r="C45" s="4"/>
      <c r="D45" s="27">
        <f>D$43*(1/36)^3</f>
        <v>2.143347050754458E-05</v>
      </c>
      <c r="E45" s="27">
        <f>E$44/(3)^3</f>
        <v>0.037037037037037035</v>
      </c>
      <c r="F45" s="88">
        <v>1</v>
      </c>
      <c r="G45" s="27">
        <f>G$46/6/128*231/(36)^3</f>
        <v>6.446786051097394E-06</v>
      </c>
      <c r="H45" s="27">
        <f>H$47/2/128*231/(36)^3</f>
        <v>1.934035815329218E-05</v>
      </c>
      <c r="I45" s="27">
        <f>I$48/128*231/(36)^3</f>
        <v>3.868071630658436E-05</v>
      </c>
      <c r="J45" s="27">
        <f>J$49/16*231/(36)^3</f>
        <v>0.0003094457304526749</v>
      </c>
      <c r="K45" s="27">
        <f>K$50/8*231/(36)^3</f>
        <v>0.0006188914609053498</v>
      </c>
      <c r="L45" s="27">
        <f>L$51/4*231/(36)^3</f>
        <v>0.0012377829218106996</v>
      </c>
      <c r="M45" s="27">
        <f>M$52*231/(36)^3</f>
        <v>0.004951131687242798</v>
      </c>
      <c r="N45" s="27">
        <f>N$53*42*231/(36)^3</f>
        <v>0.20794753086419754</v>
      </c>
      <c r="O45" s="27">
        <f>O$54/(0.999998)^3*43560/(3)^3</f>
        <v>1613.343013372053</v>
      </c>
      <c r="P45" s="27">
        <f>P$55/(25.4*36)^3</f>
        <v>1.3079506193143923E-09</v>
      </c>
      <c r="Q45" s="27">
        <f>Q$56*1000/(25.4*36)^3</f>
        <v>1.3079506193143923E-06</v>
      </c>
      <c r="R45" s="27">
        <f>R$57*(1000/25.4/36)^3</f>
        <v>1.3079506193143924</v>
      </c>
      <c r="S45" s="27">
        <f>S$58*(10/25.4/36)^3</f>
        <v>1.3079506193143925E-06</v>
      </c>
      <c r="T45" s="52">
        <f>T$59*1000*(10/25.4/36)^3</f>
        <v>0.0013079506193143925</v>
      </c>
      <c r="U45" s="43" t="s">
        <v>220</v>
      </c>
      <c r="V45" s="39"/>
      <c r="AO45" s="58"/>
      <c r="AP45" s="58"/>
      <c r="AQ45" s="58"/>
      <c r="AR45" s="58"/>
      <c r="AS45" s="58"/>
      <c r="AT45" s="58"/>
      <c r="AU45" s="58"/>
      <c r="AV45" s="58"/>
      <c r="AW45" s="58"/>
      <c r="AX45" s="58"/>
      <c r="AY45" s="58"/>
      <c r="AZ45" s="58"/>
      <c r="BA45" s="58"/>
    </row>
    <row r="46" spans="1:53" s="36" customFormat="1" ht="12.75">
      <c r="A46" s="99" t="s">
        <v>288</v>
      </c>
      <c r="B46" t="s">
        <v>121</v>
      </c>
      <c r="C46"/>
      <c r="D46" s="23">
        <f>D$43/231*128*6</f>
        <v>3.324675324675325</v>
      </c>
      <c r="E46" s="23">
        <f>E$44*(12)^3/231*128*6</f>
        <v>5745.038961038961</v>
      </c>
      <c r="F46" s="23">
        <f>F$45*(36)^3/231*128*6</f>
        <v>155116.05194805196</v>
      </c>
      <c r="G46" s="87">
        <v>1</v>
      </c>
      <c r="H46" s="23">
        <f>H$47*3</f>
        <v>3</v>
      </c>
      <c r="I46" s="23">
        <f>I$48*6</f>
        <v>6</v>
      </c>
      <c r="J46" s="23">
        <f>J$49*8*6</f>
        <v>48</v>
      </c>
      <c r="K46" s="23">
        <f>K$50*16*6</f>
        <v>96</v>
      </c>
      <c r="L46" s="23">
        <f>L$51*32*6</f>
        <v>192</v>
      </c>
      <c r="M46" s="23">
        <f>M$52*128*6</f>
        <v>768</v>
      </c>
      <c r="N46" s="23">
        <f>N$53*42*128*6</f>
        <v>32256</v>
      </c>
      <c r="O46" s="23">
        <f>O$54/(0.999998)^3*43560*(12)^3/231*128*6</f>
        <v>250255398.67224607</v>
      </c>
      <c r="P46" s="23">
        <f>P$55/(25.4)^3/231*128*6</f>
        <v>0.00020288413621105802</v>
      </c>
      <c r="Q46" s="23">
        <f>Q$56*1000/(25.4)^3/231*128*6</f>
        <v>0.202884136211058</v>
      </c>
      <c r="R46" s="23">
        <f>R$57*(1000/25.4)^3/231*128*6</f>
        <v>202884.136211058</v>
      </c>
      <c r="S46" s="23">
        <f>S$58*(10/25.4)^3/231*128*6</f>
        <v>0.202884136211058</v>
      </c>
      <c r="T46" s="51">
        <f>T$59*1000*(10/25.4)^3/231*128*6</f>
        <v>202.884136211058</v>
      </c>
      <c r="U46" s="42" t="s">
        <v>281</v>
      </c>
      <c r="V46" s="39"/>
      <c r="W46"/>
      <c r="X46"/>
      <c r="Y46"/>
      <c r="Z46"/>
      <c r="AA46"/>
      <c r="AB46"/>
      <c r="AC46"/>
      <c r="AD46"/>
      <c r="AE46"/>
      <c r="AF46"/>
      <c r="AG46"/>
      <c r="AH46"/>
      <c r="AI46"/>
      <c r="AJ46"/>
      <c r="AK46"/>
      <c r="AL46"/>
      <c r="AM46"/>
      <c r="AN46"/>
      <c r="AO46"/>
      <c r="AP46"/>
      <c r="AQ46"/>
      <c r="AR46"/>
      <c r="AS46"/>
      <c r="AT46"/>
      <c r="AU46"/>
      <c r="AV46"/>
      <c r="AW46"/>
      <c r="AX46"/>
      <c r="AY46"/>
      <c r="AZ46"/>
      <c r="BA46"/>
    </row>
    <row r="47" spans="1:22" ht="12.75">
      <c r="A47" s="105"/>
      <c r="B47" s="15" t="s">
        <v>122</v>
      </c>
      <c r="D47" s="20">
        <f>D$43/231*128*2</f>
        <v>1.1082251082251082</v>
      </c>
      <c r="E47" s="20">
        <f>E$44*(12)^3/231*128*2</f>
        <v>1915.012987012987</v>
      </c>
      <c r="F47" s="20">
        <f>F$45*(36)^3/231*128*2</f>
        <v>51705.35064935065</v>
      </c>
      <c r="G47" s="20">
        <f>G$46/3</f>
        <v>0.3333333333333333</v>
      </c>
      <c r="H47" s="87">
        <v>1</v>
      </c>
      <c r="I47" s="20">
        <f>I$48*2</f>
        <v>2</v>
      </c>
      <c r="J47" s="20">
        <f>J$49*8*2</f>
        <v>16</v>
      </c>
      <c r="K47" s="20">
        <f>K$50*16*2</f>
        <v>32</v>
      </c>
      <c r="L47" s="20">
        <f>L$51*32*2</f>
        <v>64</v>
      </c>
      <c r="M47" s="20">
        <f>M$52*128*2</f>
        <v>256</v>
      </c>
      <c r="N47" s="20">
        <f>N$53*42*128*2</f>
        <v>10752</v>
      </c>
      <c r="O47" s="20">
        <f>O$54/(0.999998)^3*43560*(12)^3/231*128*2</f>
        <v>83418466.22408202</v>
      </c>
      <c r="P47" s="20">
        <f>P$55/(25.4)^3/231*128*2</f>
        <v>6.7628045403686E-05</v>
      </c>
      <c r="Q47" s="20">
        <f>Q$56*1000/(25.4)^3/231*128*2</f>
        <v>0.067628045403686</v>
      </c>
      <c r="R47" s="20">
        <f>R$57*(1000/25.4)^3/231*128*2</f>
        <v>67628.045403686</v>
      </c>
      <c r="S47" s="20">
        <f>S$58*(10/25.4)^3/231*128*2</f>
        <v>0.067628045403686</v>
      </c>
      <c r="T47" s="38">
        <f>T$59*1000*(10/25.4)^3/231*128*2</f>
        <v>67.628045403686</v>
      </c>
      <c r="U47" s="41" t="s">
        <v>226</v>
      </c>
      <c r="V47" s="39"/>
    </row>
    <row r="48" spans="1:22" ht="12.75">
      <c r="A48" s="105"/>
      <c r="B48" s="15" t="s">
        <v>285</v>
      </c>
      <c r="D48" s="20">
        <f>D$43/231*128</f>
        <v>0.5541125541125541</v>
      </c>
      <c r="E48" s="20">
        <f>E$44*(12)^3/231*128</f>
        <v>957.5064935064935</v>
      </c>
      <c r="F48" s="20">
        <f>F$45*(36)^3/231*128</f>
        <v>25852.675324675325</v>
      </c>
      <c r="G48" s="20">
        <f>G$46/6</f>
        <v>0.16666666666666666</v>
      </c>
      <c r="H48" s="20">
        <f>H$47/2</f>
        <v>0.5</v>
      </c>
      <c r="I48" s="87">
        <v>1</v>
      </c>
      <c r="J48" s="20">
        <f>J$49*8</f>
        <v>8</v>
      </c>
      <c r="K48" s="20">
        <f>K$50*16</f>
        <v>16</v>
      </c>
      <c r="L48" s="20">
        <f>L$51*32</f>
        <v>32</v>
      </c>
      <c r="M48" s="29">
        <f>M$52*128</f>
        <v>128</v>
      </c>
      <c r="N48" s="20">
        <f>N$53*42*128</f>
        <v>5376</v>
      </c>
      <c r="O48" s="20">
        <f>O$54/(0.999998)^3*43560*(12)^3/231*128</f>
        <v>41709233.11204101</v>
      </c>
      <c r="P48" s="20">
        <f>P$55/(25.4)^3/231*128</f>
        <v>3.3814022701843E-05</v>
      </c>
      <c r="Q48" s="29">
        <f>Q$56*1000/(25.4)^3/231*128</f>
        <v>0.033814022701843</v>
      </c>
      <c r="R48" s="20">
        <f>R$57*(1000/25.4)^3/231*128</f>
        <v>33814.022701843</v>
      </c>
      <c r="S48" s="20">
        <f>S$58*(10/25.4)^3/231*128</f>
        <v>0.033814022701843</v>
      </c>
      <c r="T48" s="38">
        <f>T$59*1000*(10/25.4)^3/231*128</f>
        <v>33.814022701843</v>
      </c>
      <c r="U48" s="41" t="s">
        <v>285</v>
      </c>
      <c r="V48" s="39"/>
    </row>
    <row r="49" spans="1:22" ht="12.75">
      <c r="A49" s="105"/>
      <c r="B49" t="s">
        <v>221</v>
      </c>
      <c r="D49" s="23">
        <f>D$43/231*16</f>
        <v>0.06926406926406926</v>
      </c>
      <c r="E49" s="23">
        <f>E$44*(12)^3/231*16</f>
        <v>119.68831168831169</v>
      </c>
      <c r="F49" s="23">
        <f>F$45*(36)^3/231*16</f>
        <v>3231.5844155844156</v>
      </c>
      <c r="G49" s="23">
        <f>G$46/6/8</f>
        <v>0.020833333333333332</v>
      </c>
      <c r="H49" s="23">
        <f>H$47/2/8</f>
        <v>0.0625</v>
      </c>
      <c r="I49" s="23">
        <f>I$48/8</f>
        <v>0.125</v>
      </c>
      <c r="J49" s="87">
        <v>1</v>
      </c>
      <c r="K49" s="23">
        <f>K$50*2</f>
        <v>2</v>
      </c>
      <c r="L49" s="23">
        <f>L$51*4</f>
        <v>4</v>
      </c>
      <c r="M49" s="30">
        <f>M$52*16</f>
        <v>16</v>
      </c>
      <c r="N49" s="23">
        <f>N$53*42*16</f>
        <v>672</v>
      </c>
      <c r="O49" s="23">
        <f>O$54/(0.999998)^3*43560*(12)^3/231*16</f>
        <v>5213654.139005126</v>
      </c>
      <c r="P49" s="23">
        <f>P$55/(25.4)^3/231*16</f>
        <v>4.226752837730375E-06</v>
      </c>
      <c r="Q49" s="23">
        <f>Q$56*1000/(25.4)^3/231*16</f>
        <v>0.004226752837730375</v>
      </c>
      <c r="R49" s="23">
        <f>R$57*(1000/25.4)^3/231*16</f>
        <v>4226.752837730375</v>
      </c>
      <c r="S49" s="23">
        <f>S$58*(10/25.4)^3/231*16</f>
        <v>0.004226752837730375</v>
      </c>
      <c r="T49" s="51">
        <f>T$59*1000*(10/25.4)^3/231*16</f>
        <v>4.226752837730375</v>
      </c>
      <c r="U49" s="42" t="s">
        <v>221</v>
      </c>
      <c r="V49" s="39"/>
    </row>
    <row r="50" spans="1:22" ht="12.75">
      <c r="A50" s="105"/>
      <c r="B50" t="s">
        <v>57</v>
      </c>
      <c r="D50" s="23">
        <f>D$43/231*8</f>
        <v>0.03463203463203463</v>
      </c>
      <c r="E50" s="23">
        <f>E$44*(12)^3/231*8</f>
        <v>59.84415584415584</v>
      </c>
      <c r="F50" s="23">
        <f>F$45*(36)^3/231*8</f>
        <v>1615.7922077922078</v>
      </c>
      <c r="G50" s="23">
        <f>G$46/6/16</f>
        <v>0.010416666666666666</v>
      </c>
      <c r="H50" s="23">
        <f>H$47/2/16</f>
        <v>0.03125</v>
      </c>
      <c r="I50" s="23">
        <f>I$48/16</f>
        <v>0.0625</v>
      </c>
      <c r="J50" s="23">
        <f>J$49/2</f>
        <v>0.5</v>
      </c>
      <c r="K50" s="87">
        <v>1</v>
      </c>
      <c r="L50" s="23">
        <f>L$51*2</f>
        <v>2</v>
      </c>
      <c r="M50" s="30">
        <f>M$52*8</f>
        <v>8</v>
      </c>
      <c r="N50" s="23">
        <f>N$53*42*8</f>
        <v>336</v>
      </c>
      <c r="O50" s="23">
        <f>O$54/(0.999998)^3*43560*(12)^3/231*8</f>
        <v>2606827.069502563</v>
      </c>
      <c r="P50" s="23">
        <f>P$55/(25.4)^3/231*8</f>
        <v>2.1133764188651876E-06</v>
      </c>
      <c r="Q50" s="23">
        <f>Q$56*1000/(25.4)^3/231*8</f>
        <v>0.0021133764188651875</v>
      </c>
      <c r="R50" s="23">
        <f>R$57*(1000/25.4)^3/231*8</f>
        <v>2113.3764188651876</v>
      </c>
      <c r="S50" s="23">
        <f>S$58*(10/25.4)^3/231*8</f>
        <v>0.0021133764188651875</v>
      </c>
      <c r="T50" s="51">
        <f>T$59*1000*(10/25.4)^3/231*8</f>
        <v>2.1133764188651876</v>
      </c>
      <c r="U50" s="42" t="s">
        <v>222</v>
      </c>
      <c r="V50" s="39"/>
    </row>
    <row r="51" spans="1:22" ht="13.5" thickBot="1">
      <c r="A51" s="105"/>
      <c r="B51" s="15" t="s">
        <v>58</v>
      </c>
      <c r="D51" s="20">
        <f>D$43/231*4</f>
        <v>0.017316017316017316</v>
      </c>
      <c r="E51" s="20">
        <f>E$44*(12)^3/231*4</f>
        <v>29.92207792207792</v>
      </c>
      <c r="F51" s="20">
        <f>F$45*(36)^3/231*4</f>
        <v>807.8961038961039</v>
      </c>
      <c r="G51" s="20">
        <f>G$46/6/32</f>
        <v>0.005208333333333333</v>
      </c>
      <c r="H51" s="20">
        <f>H$47/2/32</f>
        <v>0.015625</v>
      </c>
      <c r="I51" s="20">
        <f>I$48/32</f>
        <v>0.03125</v>
      </c>
      <c r="J51" s="20">
        <f>J$49/4</f>
        <v>0.25</v>
      </c>
      <c r="K51" s="20">
        <f>K$50/2</f>
        <v>0.5</v>
      </c>
      <c r="L51" s="87">
        <v>1</v>
      </c>
      <c r="M51" s="29">
        <f>M$52*4</f>
        <v>4</v>
      </c>
      <c r="N51" s="20">
        <f>N$53*42*4</f>
        <v>168</v>
      </c>
      <c r="O51" s="20">
        <f>O$54/(0.999998)^3*43560*(12)^3/231*4</f>
        <v>1303413.5347512816</v>
      </c>
      <c r="P51" s="20">
        <f>P$55/(25.4)^3/231*4</f>
        <v>1.0566882094325938E-06</v>
      </c>
      <c r="Q51" s="20">
        <f>Q$56*1000/(25.4)^3/231*4</f>
        <v>0.0010566882094325937</v>
      </c>
      <c r="R51" s="20">
        <f>R$57*(1000/25.4)^3/231*4</f>
        <v>1056.6882094325938</v>
      </c>
      <c r="S51" s="20">
        <f>S$58*(10/25.4)^3/231*4</f>
        <v>0.0010566882094325937</v>
      </c>
      <c r="T51" s="57">
        <f>T$59*1000*(10/25.4)^3/231*4</f>
        <v>1.0566882094325938</v>
      </c>
      <c r="U51" s="41" t="s">
        <v>223</v>
      </c>
      <c r="V51" s="39"/>
    </row>
    <row r="52" spans="1:53" s="9" customFormat="1" ht="13.5" thickTop="1">
      <c r="A52" s="105"/>
      <c r="B52" s="15" t="s">
        <v>224</v>
      </c>
      <c r="C52"/>
      <c r="D52" s="20">
        <f>D$43/231</f>
        <v>0.004329004329004329</v>
      </c>
      <c r="E52" s="29">
        <f>E$44*(12)^3/231</f>
        <v>7.48051948051948</v>
      </c>
      <c r="F52" s="20">
        <f>F$45*(36)^3/231</f>
        <v>201.97402597402598</v>
      </c>
      <c r="G52" s="20">
        <f>G$46/6/128</f>
        <v>0.0013020833333333333</v>
      </c>
      <c r="H52" s="20">
        <f>H$47/2/128</f>
        <v>0.00390625</v>
      </c>
      <c r="I52" s="20">
        <f>I$48/128</f>
        <v>0.0078125</v>
      </c>
      <c r="J52" s="20">
        <f>J$49/16</f>
        <v>0.0625</v>
      </c>
      <c r="K52" s="20">
        <f>K$50/8</f>
        <v>0.125</v>
      </c>
      <c r="L52" s="20">
        <f>L$51/4</f>
        <v>0.25</v>
      </c>
      <c r="M52" s="87">
        <v>1</v>
      </c>
      <c r="N52" s="29">
        <f>N$53*42</f>
        <v>42</v>
      </c>
      <c r="O52" s="29">
        <f>O$54/(0.999998)^3*43560*(12)^3/231</f>
        <v>325853.3836878204</v>
      </c>
      <c r="P52" s="20">
        <f>P$55/(25.4)^3/231</f>
        <v>2.6417205235814845E-07</v>
      </c>
      <c r="Q52" s="20">
        <f>Q$56*1000/(25.4)^3/231</f>
        <v>0.00026417205235814843</v>
      </c>
      <c r="R52" s="20">
        <f>R$57*(1000/25.4)^3/231</f>
        <v>264.17205235814845</v>
      </c>
      <c r="S52" s="20">
        <f>S$58*(10/25.4)^3/231</f>
        <v>0.00026417205235814843</v>
      </c>
      <c r="T52" s="57">
        <f>T$59*1000*(10/25.4)^3/231</f>
        <v>0.26417205235814845</v>
      </c>
      <c r="U52" s="41" t="s">
        <v>224</v>
      </c>
      <c r="V52" s="39"/>
      <c r="W52"/>
      <c r="X52"/>
      <c r="Y52"/>
      <c r="Z52"/>
      <c r="AA52"/>
      <c r="AB52"/>
      <c r="AC52"/>
      <c r="AD52"/>
      <c r="AE52"/>
      <c r="AF52"/>
      <c r="AG52"/>
      <c r="AH52"/>
      <c r="AI52"/>
      <c r="AJ52"/>
      <c r="AK52"/>
      <c r="AL52"/>
      <c r="AM52"/>
      <c r="AN52"/>
      <c r="AO52"/>
      <c r="AP52"/>
      <c r="AQ52"/>
      <c r="AR52"/>
      <c r="AS52"/>
      <c r="AT52"/>
      <c r="AU52"/>
      <c r="AV52"/>
      <c r="AW52"/>
      <c r="AX52"/>
      <c r="AY52"/>
      <c r="AZ52"/>
      <c r="BA52"/>
    </row>
    <row r="53" spans="1:22" ht="12.75">
      <c r="A53" s="105"/>
      <c r="B53" t="s">
        <v>284</v>
      </c>
      <c r="D53" s="23">
        <f>D$43/231/42</f>
        <v>0.00010307153164296021</v>
      </c>
      <c r="E53" s="23">
        <f>E$44*(12)^3/231/42</f>
        <v>0.17810760667903525</v>
      </c>
      <c r="F53" s="23">
        <f>F$45*(36)^3/231/42</f>
        <v>4.808905380333952</v>
      </c>
      <c r="G53" s="23">
        <f>G$46/6/128/42</f>
        <v>3.1001984126984125E-05</v>
      </c>
      <c r="H53" s="23">
        <f>H$47/2/128/42</f>
        <v>9.300595238095238E-05</v>
      </c>
      <c r="I53" s="23">
        <f>I$48/128/42</f>
        <v>0.00018601190476190475</v>
      </c>
      <c r="J53" s="23">
        <f>J$49/16/42</f>
        <v>0.001488095238095238</v>
      </c>
      <c r="K53" s="23">
        <f>K$50/8/42</f>
        <v>0.002976190476190476</v>
      </c>
      <c r="L53" s="23">
        <f>L$51/4/42</f>
        <v>0.005952380952380952</v>
      </c>
      <c r="M53" s="23">
        <f>M$52/42</f>
        <v>0.023809523809523808</v>
      </c>
      <c r="N53" s="87">
        <v>1</v>
      </c>
      <c r="O53" s="23">
        <f>O$54/(0.999998)^3*43560*(12)^3/231/42</f>
        <v>7758.413897329057</v>
      </c>
      <c r="P53" s="23">
        <f>P$55/(25.4)^3/231/42</f>
        <v>6.289810770432106E-09</v>
      </c>
      <c r="Q53" s="23">
        <f>Q$56*1000/(25.4)^3/231/42</f>
        <v>6.289810770432106E-06</v>
      </c>
      <c r="R53" s="23">
        <f>R$57*(1000/25.4)^3/231/42</f>
        <v>6.289810770432106</v>
      </c>
      <c r="S53" s="23">
        <f>S$58*(10/25.4)^3/231/42</f>
        <v>6.289810770432106E-06</v>
      </c>
      <c r="T53" s="51">
        <f>T$59*1000*(10/25.4)^3/231/42</f>
        <v>0.006289810770432106</v>
      </c>
      <c r="U53" s="42" t="s">
        <v>284</v>
      </c>
      <c r="V53" s="39"/>
    </row>
    <row r="54" spans="1:53" ht="13.5" thickBot="1">
      <c r="A54" s="106"/>
      <c r="B54" s="4" t="s">
        <v>225</v>
      </c>
      <c r="C54" s="4"/>
      <c r="D54" s="27">
        <f>D$43*(1/12)^3/43560*(0.999998)^3</f>
        <v>1.3285129281185171E-08</v>
      </c>
      <c r="E54" s="27">
        <f>E$44/43560*(0.999998)^3</f>
        <v>2.2956703397887975E-05</v>
      </c>
      <c r="F54" s="27">
        <f>F$45*(3)^3/43560*(0.999998)^3</f>
        <v>0.0006198309917429754</v>
      </c>
      <c r="G54" s="27">
        <f>G$46/6/128*231/(12)^3/43560*(0.999998)^3</f>
        <v>3.995917791606477E-09</v>
      </c>
      <c r="H54" s="27">
        <f>H$47/2/128*231/(12)^3/43560*(0.999998)^3</f>
        <v>1.1987753374819433E-08</v>
      </c>
      <c r="I54" s="27">
        <f>I$48/128*231/(12)^3/43560*(0.999998)^3</f>
        <v>2.3975506749638866E-08</v>
      </c>
      <c r="J54" s="27">
        <f>J$49/16*231/(12)^3/43560*(0.999998)^3</f>
        <v>1.9180405399711093E-07</v>
      </c>
      <c r="K54" s="27">
        <f>K$50/8*231/(12)^3/43560*(0.999998)^3</f>
        <v>3.8360810799422186E-07</v>
      </c>
      <c r="L54" s="27">
        <f>L$51/4*231/(12)^3/43560*(0.999998)^3</f>
        <v>7.672162159884437E-07</v>
      </c>
      <c r="M54" s="27">
        <f>M$52*231/(12)^3/43560*(0.999998)^3</f>
        <v>3.068864863953775E-06</v>
      </c>
      <c r="N54" s="27">
        <f>N$53*42*231/(12)^3/43560*(0.999998)^3</f>
        <v>0.00012889232428605854</v>
      </c>
      <c r="O54" s="88">
        <v>1</v>
      </c>
      <c r="P54" s="27">
        <f>P$55/(25.4*12)^3/43560*(0.999998)^3</f>
        <v>8.107083295204789E-13</v>
      </c>
      <c r="Q54" s="27">
        <f>Q$56*1000/(25.4*12)^3/43560*(0.999998)^3</f>
        <v>8.107083295204788E-10</v>
      </c>
      <c r="R54" s="27">
        <f>R$57*(1000/25.4/12)^3/43560*(0.999998)^3</f>
        <v>0.0008107083295204787</v>
      </c>
      <c r="S54" s="27">
        <f>S$58*(10/25.4/12)^3/43560*(0.999998)^3</f>
        <v>8.107083295204784E-10</v>
      </c>
      <c r="T54" s="52">
        <f>T$59*1000*(10/25.4/12)^3/43560*(0.999998)^3</f>
        <v>8.107083295204784E-07</v>
      </c>
      <c r="U54" s="43" t="s">
        <v>225</v>
      </c>
      <c r="V54" s="39"/>
      <c r="AO54" s="58"/>
      <c r="AP54" s="58"/>
      <c r="AQ54" s="58"/>
      <c r="AR54" s="58"/>
      <c r="AS54" s="58"/>
      <c r="AT54" s="58"/>
      <c r="AU54" s="58"/>
      <c r="AV54" s="58"/>
      <c r="AW54" s="58"/>
      <c r="AX54" s="58"/>
      <c r="AY54" s="58"/>
      <c r="AZ54" s="58"/>
      <c r="BA54" s="58"/>
    </row>
    <row r="55" spans="1:53" s="58" customFormat="1" ht="12.75">
      <c r="A55" s="98" t="s">
        <v>286</v>
      </c>
      <c r="B55" s="15" t="s">
        <v>227</v>
      </c>
      <c r="C55"/>
      <c r="D55" s="20">
        <f>D$43*(25.4)^3</f>
        <v>16387.064</v>
      </c>
      <c r="E55" s="20">
        <f>E$44*(12*25.4)^3</f>
        <v>28316846.59199999</v>
      </c>
      <c r="F55" s="20">
        <f>F$45*(36*25.4)^3</f>
        <v>764554857.984</v>
      </c>
      <c r="G55" s="20">
        <f>G$46/6/128*231*(25.4)^3</f>
        <v>4928.921593749999</v>
      </c>
      <c r="H55" s="20">
        <f>H$47/2/128*231*(25.4)^3</f>
        <v>14786.764781249998</v>
      </c>
      <c r="I55" s="20">
        <f>I$48/128*231*(25.4)^3</f>
        <v>29573.529562499996</v>
      </c>
      <c r="J55" s="20">
        <f>J$49/16*231*(25.4)^3</f>
        <v>236588.23649999997</v>
      </c>
      <c r="K55" s="20">
        <f>K$50/8*231*(25.4)^3</f>
        <v>473176.47299999994</v>
      </c>
      <c r="L55" s="20">
        <f>L$51/4*231*(25.4)^3</f>
        <v>946352.9459999999</v>
      </c>
      <c r="M55" s="20">
        <f>M$52*231*(25.4)^3</f>
        <v>3785411.7839999995</v>
      </c>
      <c r="N55" s="20">
        <f>N$53*42*231*(25.4)^3</f>
        <v>158987294.92799997</v>
      </c>
      <c r="O55" s="20">
        <f>O$54/(0.999998)^3*43560*(12*25.4)^3</f>
        <v>1233489238468.1482</v>
      </c>
      <c r="P55" s="87">
        <v>1</v>
      </c>
      <c r="Q55" s="20">
        <f>Q$56*1000</f>
        <v>1000</v>
      </c>
      <c r="R55" s="20">
        <f>R$57*(1000)^3</f>
        <v>1000000000</v>
      </c>
      <c r="S55" s="20">
        <f>S$58*(10)^3</f>
        <v>1000</v>
      </c>
      <c r="T55" s="38">
        <f>T$59*1000*(10)^3</f>
        <v>1000000</v>
      </c>
      <c r="U55" s="41" t="s">
        <v>227</v>
      </c>
      <c r="V55" s="39"/>
      <c r="W55"/>
      <c r="X55"/>
      <c r="Y55"/>
      <c r="Z55"/>
      <c r="AA55"/>
      <c r="AB55"/>
      <c r="AC55"/>
      <c r="AD55"/>
      <c r="AE55"/>
      <c r="AF55"/>
      <c r="AG55"/>
      <c r="AH55"/>
      <c r="AI55"/>
      <c r="AJ55"/>
      <c r="AK55"/>
      <c r="AL55"/>
      <c r="AM55"/>
      <c r="AN55"/>
      <c r="AO55"/>
      <c r="AP55"/>
      <c r="AQ55"/>
      <c r="AR55"/>
      <c r="AS55"/>
      <c r="AT55"/>
      <c r="AU55"/>
      <c r="AV55"/>
      <c r="AW55"/>
      <c r="AX55"/>
      <c r="AY55"/>
      <c r="AZ55"/>
      <c r="BA55"/>
    </row>
    <row r="56" spans="1:22" ht="12.75">
      <c r="A56" s="99"/>
      <c r="B56" s="15" t="s">
        <v>228</v>
      </c>
      <c r="D56" s="29">
        <f>D$43*(2.54)^3</f>
        <v>16.387064</v>
      </c>
      <c r="E56" s="20">
        <f>E$44*(12*2.54)^3</f>
        <v>28316.846592</v>
      </c>
      <c r="F56" s="20">
        <f>F$45*(36*2.54)^3</f>
        <v>764554.857984</v>
      </c>
      <c r="G56" s="20">
        <f>G$46/6/128*231*(2.54)^3</f>
        <v>4.928921593749999</v>
      </c>
      <c r="H56" s="20">
        <f>H$47/2/128*231*(2.54)^3</f>
        <v>14.78676478125</v>
      </c>
      <c r="I56" s="20">
        <f>I$48/128*231*(2.54)^3</f>
        <v>29.5735295625</v>
      </c>
      <c r="J56" s="20">
        <f>J$49/16*231*(2.54)^3</f>
        <v>236.5882365</v>
      </c>
      <c r="K56" s="20">
        <f>K$50/8*231*(2.54)^3</f>
        <v>473.176473</v>
      </c>
      <c r="L56" s="20">
        <f>L$51/4*231*(2.54)^3</f>
        <v>946.352946</v>
      </c>
      <c r="M56" s="20">
        <f>M$52*231*(2.54)^3</f>
        <v>3785.411784</v>
      </c>
      <c r="N56" s="20">
        <f>N$53*42*231*(2.54)^3</f>
        <v>158987.294928</v>
      </c>
      <c r="O56" s="20">
        <f>O$54/(0.999998)^3*43560*(12*2.54)^3</f>
        <v>1233489238.4681487</v>
      </c>
      <c r="P56" s="20">
        <f>P$55/1000</f>
        <v>0.001</v>
      </c>
      <c r="Q56" s="87">
        <v>1</v>
      </c>
      <c r="R56" s="20">
        <f>R$57*(100)^3</f>
        <v>1000000</v>
      </c>
      <c r="S56" s="20">
        <f>S$58</f>
        <v>1</v>
      </c>
      <c r="T56" s="38">
        <f>T$59*1000</f>
        <v>1000</v>
      </c>
      <c r="U56" s="41" t="s">
        <v>228</v>
      </c>
      <c r="V56" s="39"/>
    </row>
    <row r="57" spans="1:22" ht="12.75">
      <c r="A57" s="99"/>
      <c r="B57" t="s">
        <v>229</v>
      </c>
      <c r="D57" s="23">
        <f>D$43*(25.4/1000)^3</f>
        <v>1.6387064E-05</v>
      </c>
      <c r="E57" s="23">
        <f>E$44*(12*25.4/1000)^3</f>
        <v>0.02831684659199999</v>
      </c>
      <c r="F57" s="23">
        <f>F$45*(36*25.4/1000)^3</f>
        <v>0.764554857984</v>
      </c>
      <c r="G57" s="23">
        <f>G$46/6/128*231*(25.4/1000)^3</f>
        <v>4.92892159375E-06</v>
      </c>
      <c r="H57" s="23">
        <f>H$47/2/128*231*(25.4/1000)^3</f>
        <v>1.4786764781249999E-05</v>
      </c>
      <c r="I57" s="23">
        <f>I$48/128*231*(25.4/1000)^3</f>
        <v>2.9573529562499998E-05</v>
      </c>
      <c r="J57" s="23">
        <f>J$49/16*231*(25.4/1000)^3</f>
        <v>0.00023658823649999998</v>
      </c>
      <c r="K57" s="23">
        <f>K$50/8*231*(25.4/1000)^3</f>
        <v>0.00047317647299999996</v>
      </c>
      <c r="L57" s="23">
        <f>L$51/4*231*(25.4/1000)^3</f>
        <v>0.0009463529459999999</v>
      </c>
      <c r="M57" s="23">
        <f>M$52*231*(25.4/1000)^3</f>
        <v>0.0037854117839999997</v>
      </c>
      <c r="N57" s="23">
        <f>N$53*42*231*(25.4/1000)^3</f>
        <v>0.15898729492799998</v>
      </c>
      <c r="O57" s="23">
        <f>O$54/(0.999998)^3*43560*(12*25.4/1000)^3</f>
        <v>1233.4892384681484</v>
      </c>
      <c r="P57" s="23">
        <f>P$55/(1000)^3</f>
        <v>1E-09</v>
      </c>
      <c r="Q57" s="23">
        <f>Q$56/(100)^3</f>
        <v>1E-06</v>
      </c>
      <c r="R57" s="87">
        <v>1</v>
      </c>
      <c r="S57" s="23">
        <f>S$58/(100)^3</f>
        <v>1E-06</v>
      </c>
      <c r="T57" s="51">
        <f>T$59/1000</f>
        <v>0.001</v>
      </c>
      <c r="U57" s="42" t="s">
        <v>229</v>
      </c>
      <c r="V57" s="39"/>
    </row>
    <row r="58" spans="1:22" ht="12.75" customHeight="1">
      <c r="A58" s="99"/>
      <c r="B58" t="s">
        <v>230</v>
      </c>
      <c r="D58" s="23">
        <f>D$43*(2.54)^3</f>
        <v>16.387064</v>
      </c>
      <c r="E58" s="23">
        <f>E$44*(12*2.54)^3</f>
        <v>28316.846592</v>
      </c>
      <c r="F58" s="23">
        <f>F$45*(36*2.54)^3</f>
        <v>764554.857984</v>
      </c>
      <c r="G58" s="23">
        <f>G$46/6/128*231*(2.54)^3</f>
        <v>4.928921593749999</v>
      </c>
      <c r="H58" s="23">
        <f>H$47/2/128*231*(2.54)^3</f>
        <v>14.78676478125</v>
      </c>
      <c r="I58" s="23">
        <f>I$48/128*231*(2.54)^3</f>
        <v>29.5735295625</v>
      </c>
      <c r="J58" s="23">
        <f>J$49/16*231*(2.54)^3</f>
        <v>236.5882365</v>
      </c>
      <c r="K58" s="23">
        <f>K$50/8*231*(2.54)^3</f>
        <v>473.176473</v>
      </c>
      <c r="L58" s="23">
        <f>L$51/4*231*(2.54)^3</f>
        <v>946.352946</v>
      </c>
      <c r="M58" s="23">
        <f>M$52*231*(2.54)^3</f>
        <v>3785.411784</v>
      </c>
      <c r="N58" s="23">
        <f>N$53*42*231*(2.54)^3</f>
        <v>158987.294928</v>
      </c>
      <c r="O58" s="23">
        <f>O$54/(0.999998)^3*43560*(12*2.54)^3</f>
        <v>1233489238.4681487</v>
      </c>
      <c r="P58" s="23">
        <f>P$55/1000</f>
        <v>0.001</v>
      </c>
      <c r="Q58" s="23">
        <f>Q$56</f>
        <v>1</v>
      </c>
      <c r="R58" s="23">
        <f>R$57*(100)^3</f>
        <v>1000000</v>
      </c>
      <c r="S58" s="87">
        <v>1</v>
      </c>
      <c r="T58" s="51">
        <f>T$59*1000</f>
        <v>1000</v>
      </c>
      <c r="U58" s="42" t="s">
        <v>230</v>
      </c>
      <c r="V58" s="39"/>
    </row>
    <row r="59" spans="1:53" ht="13.5" thickBot="1">
      <c r="A59" s="100"/>
      <c r="B59" s="17" t="s">
        <v>231</v>
      </c>
      <c r="C59" s="4"/>
      <c r="D59" s="25">
        <f>D$43*(2.54)^3/1000</f>
        <v>0.016387064</v>
      </c>
      <c r="E59" s="25">
        <f>E$44*(12*2.54)^3/1000</f>
        <v>28.316846592</v>
      </c>
      <c r="F59" s="25">
        <f>F$45*(36*2.54)^3/1000</f>
        <v>764.554857984</v>
      </c>
      <c r="G59" s="25">
        <f>G$46/6/128*231*(2.54)^3/1000</f>
        <v>0.004928921593749999</v>
      </c>
      <c r="H59" s="25">
        <f>H$47/2/128*231*(2.54)^3/1000</f>
        <v>0.01478676478125</v>
      </c>
      <c r="I59" s="25">
        <f>I$48/128*231*(2.54)^3/1000</f>
        <v>0.0295735295625</v>
      </c>
      <c r="J59" s="25">
        <f>J$49/16*231*(2.54)^3/1000</f>
        <v>0.2365882365</v>
      </c>
      <c r="K59" s="25">
        <f>K$50/8*231*(2.54)^3/1000</f>
        <v>0.473176473</v>
      </c>
      <c r="L59" s="31">
        <f>L$51/4*231*(2.54)^3/1000</f>
        <v>0.946352946</v>
      </c>
      <c r="M59" s="31">
        <f>M$52*231*(2.54)^3/1000</f>
        <v>3.785411784</v>
      </c>
      <c r="N59" s="31">
        <f>N$53*42*231*(2.54)^3/1000</f>
        <v>158.98729492799998</v>
      </c>
      <c r="O59" s="25">
        <f>O$54/(0.999998)^3*43560*(12*2.54)^3/1000</f>
        <v>1233489.2384681487</v>
      </c>
      <c r="P59" s="25">
        <f>P$55/1000/1000</f>
        <v>1E-06</v>
      </c>
      <c r="Q59" s="25">
        <f>Q$56/1000</f>
        <v>0.001</v>
      </c>
      <c r="R59" s="25">
        <f>R$57*1000</f>
        <v>1000</v>
      </c>
      <c r="S59" s="25">
        <f>S$58/1000</f>
        <v>0.001</v>
      </c>
      <c r="T59" s="89">
        <v>1</v>
      </c>
      <c r="U59" s="45" t="s">
        <v>231</v>
      </c>
      <c r="V59" s="39"/>
      <c r="AO59" s="58"/>
      <c r="AP59" s="58"/>
      <c r="AQ59" s="58"/>
      <c r="AR59" s="58"/>
      <c r="AS59" s="58"/>
      <c r="AT59" s="58"/>
      <c r="AU59" s="58"/>
      <c r="AV59" s="58"/>
      <c r="AW59" s="58"/>
      <c r="AX59" s="58"/>
      <c r="AY59" s="58"/>
      <c r="AZ59" s="58"/>
      <c r="BA59" s="58"/>
    </row>
    <row r="60" spans="1:53" ht="12.75">
      <c r="A60" s="6"/>
      <c r="D60" s="2" t="s">
        <v>136</v>
      </c>
      <c r="E60" s="2"/>
      <c r="F60" s="2"/>
      <c r="G60" s="2"/>
      <c r="H60" s="2"/>
      <c r="I60" s="2"/>
      <c r="J60" s="2"/>
      <c r="K60" s="2"/>
      <c r="L60" s="2"/>
      <c r="M60" s="7"/>
      <c r="N60" s="7"/>
      <c r="O60" s="7"/>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1:53" ht="12.75">
      <c r="A61" s="6"/>
      <c r="D61" s="2" t="s">
        <v>289</v>
      </c>
      <c r="E61" s="2"/>
      <c r="F61" s="2"/>
      <c r="G61" s="2"/>
      <c r="H61" s="2"/>
      <c r="I61" s="2"/>
      <c r="J61" s="2"/>
      <c r="K61" s="2"/>
      <c r="L61" s="2"/>
      <c r="M61" s="7"/>
      <c r="N61" s="7"/>
      <c r="O61" s="7"/>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1:53" ht="12.75">
      <c r="A62" s="6"/>
      <c r="D62" s="2" t="s">
        <v>51</v>
      </c>
      <c r="E62" s="2"/>
      <c r="F62" s="2"/>
      <c r="G62" s="2"/>
      <c r="H62" s="2"/>
      <c r="I62" s="2"/>
      <c r="J62" s="2"/>
      <c r="K62" s="2"/>
      <c r="L62" s="2"/>
      <c r="M62" s="7"/>
      <c r="N62" s="7"/>
      <c r="O62" s="7"/>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1:53" ht="12.75">
      <c r="A63" s="6"/>
      <c r="D63" s="2" t="s">
        <v>52</v>
      </c>
      <c r="E63" s="2"/>
      <c r="F63" s="2"/>
      <c r="G63" s="2"/>
      <c r="H63" s="2"/>
      <c r="I63" s="2"/>
      <c r="J63" s="2"/>
      <c r="K63" s="2"/>
      <c r="L63" s="2"/>
      <c r="M63" s="7"/>
      <c r="N63" s="7"/>
      <c r="O63" s="7"/>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1:53" s="58" customFormat="1" ht="13.5" thickBot="1">
      <c r="A64" s="6"/>
      <c r="B64"/>
      <c r="C64"/>
      <c r="D64" s="2"/>
      <c r="E64" s="2"/>
      <c r="F64" s="2"/>
      <c r="G64" s="2"/>
      <c r="H64" s="2"/>
      <c r="I64" s="2"/>
      <c r="J64" s="2"/>
      <c r="K64" s="2"/>
      <c r="L64" s="2"/>
      <c r="M64" s="7"/>
      <c r="N64" s="7"/>
      <c r="O64" s="7"/>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53" ht="27" thickBot="1" thickTop="1">
      <c r="A65" s="9"/>
      <c r="B65" s="10" t="s">
        <v>56</v>
      </c>
      <c r="C65" s="9"/>
      <c r="D65" s="48" t="s">
        <v>77</v>
      </c>
      <c r="E65" s="48" t="s">
        <v>73</v>
      </c>
      <c r="F65" s="48" t="s">
        <v>74</v>
      </c>
      <c r="G65" s="48" t="s">
        <v>75</v>
      </c>
      <c r="H65" s="49" t="s">
        <v>76</v>
      </c>
      <c r="I65" s="65" t="s">
        <v>56</v>
      </c>
      <c r="J65" s="9"/>
      <c r="K65" s="9"/>
      <c r="L65" s="9"/>
      <c r="M65" s="9"/>
      <c r="N65" s="9"/>
      <c r="O65" s="9"/>
      <c r="P65" s="9"/>
      <c r="Q65" s="9"/>
      <c r="R65" s="11"/>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2.75">
      <c r="A66" s="13"/>
      <c r="B66" s="32" t="s">
        <v>53</v>
      </c>
      <c r="C66" s="33"/>
      <c r="D66" s="90">
        <v>1</v>
      </c>
      <c r="E66" s="34">
        <f>E$67*2</f>
        <v>2</v>
      </c>
      <c r="F66" s="34">
        <f>F$68*2*4*2</f>
        <v>16</v>
      </c>
      <c r="G66" s="34">
        <f>G$69*4*8*2</f>
        <v>64</v>
      </c>
      <c r="H66" s="63">
        <f>H$70/0.5506105</f>
        <v>1.8161658740616098</v>
      </c>
      <c r="I66" s="64" t="s">
        <v>53</v>
      </c>
      <c r="J66" s="36"/>
      <c r="K66" s="12"/>
      <c r="L66" s="12"/>
      <c r="M66" s="60"/>
      <c r="N66" s="60"/>
      <c r="O66" s="60"/>
      <c r="P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row>
    <row r="67" spans="1:53" ht="12.75">
      <c r="A67" s="6"/>
      <c r="B67" s="16" t="s">
        <v>54</v>
      </c>
      <c r="C67" s="36"/>
      <c r="D67" s="20">
        <f>D$66/2</f>
        <v>0.5</v>
      </c>
      <c r="E67" s="87">
        <v>1</v>
      </c>
      <c r="F67" s="20">
        <f>F$68*2*4</f>
        <v>8</v>
      </c>
      <c r="G67" s="20">
        <f>G$69*4*8</f>
        <v>32</v>
      </c>
      <c r="H67" s="38">
        <f>H$70/1.101221</f>
        <v>0.9080829370308049</v>
      </c>
      <c r="I67" s="41" t="s">
        <v>54</v>
      </c>
      <c r="K67" s="2"/>
      <c r="L67" s="2"/>
      <c r="M67" s="59"/>
      <c r="N67" s="59"/>
      <c r="O67" s="59"/>
      <c r="P67" s="59"/>
      <c r="Q67" s="59"/>
      <c r="R67" s="59"/>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row>
    <row r="68" spans="1:53" ht="12.75">
      <c r="A68" s="6"/>
      <c r="B68" s="36" t="s">
        <v>145</v>
      </c>
      <c r="C68" s="36"/>
      <c r="D68" s="23">
        <f>D$66/2/4/2</f>
        <v>0.0625</v>
      </c>
      <c r="E68" s="23">
        <f>E$67/4/2</f>
        <v>0.125</v>
      </c>
      <c r="F68" s="87">
        <v>1</v>
      </c>
      <c r="G68" s="23">
        <f>G$69*4</f>
        <v>4</v>
      </c>
      <c r="H68" s="51">
        <f>H$70/8.809768</f>
        <v>0.11351036712885061</v>
      </c>
      <c r="I68" s="42" t="s">
        <v>145</v>
      </c>
      <c r="K68" s="2"/>
      <c r="L68" s="2"/>
      <c r="M68" s="59"/>
      <c r="N68" s="59"/>
      <c r="O68" s="59"/>
      <c r="P68" s="59"/>
      <c r="Q68" s="59"/>
      <c r="R68" s="59"/>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row>
    <row r="69" spans="1:53" s="58" customFormat="1" ht="12.75">
      <c r="A69" s="6"/>
      <c r="B69" s="36" t="s">
        <v>146</v>
      </c>
      <c r="C69" s="36"/>
      <c r="D69" s="23">
        <f>D$66/2/4/8</f>
        <v>0.015625</v>
      </c>
      <c r="E69" s="23">
        <f>E$67/4/8</f>
        <v>0.03125</v>
      </c>
      <c r="F69" s="23">
        <f>F$68/4</f>
        <v>0.25</v>
      </c>
      <c r="G69" s="87">
        <v>1</v>
      </c>
      <c r="H69" s="51">
        <f>H$70/35.239072</f>
        <v>0.028377591782212653</v>
      </c>
      <c r="I69" s="42" t="s">
        <v>146</v>
      </c>
      <c r="J69"/>
      <c r="K69" s="2"/>
      <c r="L69" s="2"/>
      <c r="M69" s="59"/>
      <c r="N69" s="59"/>
      <c r="O69" s="59"/>
      <c r="P69" s="59"/>
      <c r="Q69" s="59"/>
      <c r="R69" s="59"/>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159" ht="13.5" thickBot="1">
      <c r="A70" s="14"/>
      <c r="B70" s="17" t="s">
        <v>147</v>
      </c>
      <c r="C70" s="4"/>
      <c r="D70" s="25">
        <f>D$66*0.5506105</f>
        <v>0.5506105</v>
      </c>
      <c r="E70" s="25">
        <f>E$67*1.101221</f>
        <v>1.101221</v>
      </c>
      <c r="F70" s="25">
        <f>F$68*8.809768</f>
        <v>8.809768</v>
      </c>
      <c r="G70" s="25">
        <f>G$69*35.239072</f>
        <v>35.239072</v>
      </c>
      <c r="H70" s="89">
        <v>1</v>
      </c>
      <c r="I70" s="45" t="s">
        <v>147</v>
      </c>
      <c r="J70" s="36"/>
      <c r="K70" s="12"/>
      <c r="L70" s="12"/>
      <c r="M70" s="61"/>
      <c r="N70" s="61"/>
      <c r="O70" s="61"/>
      <c r="P70" s="61"/>
      <c r="Q70" s="61"/>
      <c r="R70" s="61"/>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row>
    <row r="71" spans="1:159" ht="12.75">
      <c r="A71" s="6"/>
      <c r="D71" s="2" t="s">
        <v>55</v>
      </c>
      <c r="E71" s="2"/>
      <c r="F71" s="2"/>
      <c r="G71" s="2"/>
      <c r="H71" s="2"/>
      <c r="I71" s="2"/>
      <c r="J71" s="2"/>
      <c r="K71" s="2"/>
      <c r="L71" s="2"/>
      <c r="M71" s="7"/>
      <c r="N71" s="7"/>
      <c r="O71" s="7"/>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row>
    <row r="72" spans="1:159" ht="12.75">
      <c r="A72" s="6"/>
      <c r="D72" s="2" t="s">
        <v>1</v>
      </c>
      <c r="E72" s="2"/>
      <c r="F72" s="2"/>
      <c r="G72" s="2"/>
      <c r="H72" s="2"/>
      <c r="I72" s="2"/>
      <c r="J72" s="2"/>
      <c r="K72" s="2"/>
      <c r="L72" s="2"/>
      <c r="M72" s="7"/>
      <c r="N72" s="7"/>
      <c r="O72" s="7"/>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row>
    <row r="73" spans="54:159" ht="13.5" thickBot="1">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row>
    <row r="74" spans="1:159" ht="27" thickBot="1" thickTop="1">
      <c r="A74" s="9"/>
      <c r="B74" s="47" t="s">
        <v>232</v>
      </c>
      <c r="C74" s="46"/>
      <c r="D74" s="48" t="s">
        <v>78</v>
      </c>
      <c r="E74" s="48" t="s">
        <v>79</v>
      </c>
      <c r="F74" s="48" t="s">
        <v>80</v>
      </c>
      <c r="G74" s="48" t="s">
        <v>81</v>
      </c>
      <c r="H74" s="48" t="s">
        <v>82</v>
      </c>
      <c r="I74" s="48" t="s">
        <v>83</v>
      </c>
      <c r="J74" s="48" t="s">
        <v>84</v>
      </c>
      <c r="K74" s="48" t="s">
        <v>85</v>
      </c>
      <c r="L74" s="48" t="s">
        <v>86</v>
      </c>
      <c r="M74" s="49" t="s">
        <v>87</v>
      </c>
      <c r="N74" s="50" t="s">
        <v>232</v>
      </c>
      <c r="O74" s="9"/>
      <c r="P74" s="9"/>
      <c r="Q74" s="9"/>
      <c r="R74" s="11"/>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row>
    <row r="75" spans="1:53" s="9" customFormat="1" ht="13.5" thickTop="1">
      <c r="A75" s="101" t="s">
        <v>287</v>
      </c>
      <c r="B75" s="16" t="s">
        <v>144</v>
      </c>
      <c r="C75" s="36"/>
      <c r="D75" s="87">
        <v>1</v>
      </c>
      <c r="E75" s="20">
        <f>E$76/16*7000</f>
        <v>437.5</v>
      </c>
      <c r="F75" s="20">
        <f>F$77*7000</f>
        <v>7000</v>
      </c>
      <c r="G75" s="20">
        <f>G$78*2000*7000</f>
        <v>14000000</v>
      </c>
      <c r="H75" s="20">
        <f>H$79*480</f>
        <v>480</v>
      </c>
      <c r="I75" s="20">
        <f>I$80*12*480</f>
        <v>5760</v>
      </c>
      <c r="J75" s="20">
        <f>J$81/1000/28.349523125/16*7000</f>
        <v>0.015432358352941431</v>
      </c>
      <c r="K75" s="20">
        <f>K$82/28.349523125/16*7000</f>
        <v>15.432358352941431</v>
      </c>
      <c r="L75" s="20">
        <f>L$83*1000/28.349523125/16*7000</f>
        <v>15432.35835294143</v>
      </c>
      <c r="M75" s="38">
        <f>M$84*1000*1000/28.349523125/16*7000</f>
        <v>15432358.352941431</v>
      </c>
      <c r="N75" s="41" t="s">
        <v>144</v>
      </c>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row>
    <row r="76" spans="1:159" s="36" customFormat="1" ht="12.75">
      <c r="A76" s="102"/>
      <c r="B76" s="15" t="s">
        <v>152</v>
      </c>
      <c r="C76"/>
      <c r="D76" s="20">
        <f>D$75/7000*16</f>
        <v>0.002285714285714286</v>
      </c>
      <c r="E76" s="87">
        <v>1</v>
      </c>
      <c r="F76" s="20">
        <f>F$77*16</f>
        <v>16</v>
      </c>
      <c r="G76" s="20">
        <f>G$78*2000*16</f>
        <v>32000</v>
      </c>
      <c r="H76" s="20">
        <f>H$79*480/7000*16</f>
        <v>1.0971428571428572</v>
      </c>
      <c r="I76" s="20">
        <f>I$80*12*480/7000*16</f>
        <v>13.165714285714285</v>
      </c>
      <c r="J76" s="20">
        <f>J$81/1000/28.349523125</f>
        <v>3.5273961949580415E-05</v>
      </c>
      <c r="K76" s="20">
        <f>K$82/28.349523125</f>
        <v>0.035273961949580414</v>
      </c>
      <c r="L76" s="20">
        <f>L$83*1000/28.349523125</f>
        <v>35.27396194958041</v>
      </c>
      <c r="M76" s="38">
        <f>M$84*1000*1000/28.349523125</f>
        <v>35273.961949580415</v>
      </c>
      <c r="N76" s="41" t="s">
        <v>152</v>
      </c>
      <c r="O76"/>
      <c r="P76" s="59"/>
      <c r="Q76" s="59"/>
      <c r="R76" s="59"/>
      <c r="S76" s="59"/>
      <c r="T76" s="59"/>
      <c r="U76" s="59"/>
      <c r="V76" s="59"/>
      <c r="W76" s="59"/>
      <c r="X76" s="59"/>
      <c r="Y76" s="59"/>
      <c r="Z76" s="59"/>
      <c r="AA76" s="59"/>
      <c r="AB76"/>
      <c r="AC76"/>
      <c r="AD76"/>
      <c r="AE76"/>
      <c r="AF76"/>
      <c r="AG76"/>
      <c r="AH76"/>
      <c r="AI76"/>
      <c r="AJ76"/>
      <c r="AK76"/>
      <c r="AL76"/>
      <c r="AM76"/>
      <c r="AN76"/>
      <c r="AO76"/>
      <c r="AP76"/>
      <c r="AQ76"/>
      <c r="AR76"/>
      <c r="AS76"/>
      <c r="AT76"/>
      <c r="AU76"/>
      <c r="AV76"/>
      <c r="AW76"/>
      <c r="AX76"/>
      <c r="AY76"/>
      <c r="AZ76"/>
      <c r="BA76"/>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row>
    <row r="77" spans="1:159" ht="12.75">
      <c r="A77" s="102"/>
      <c r="B77" t="s">
        <v>153</v>
      </c>
      <c r="D77" s="28">
        <f>D$75/7000</f>
        <v>0.00014285714285714287</v>
      </c>
      <c r="E77" s="28">
        <f>E$76/16</f>
        <v>0.0625</v>
      </c>
      <c r="F77" s="87">
        <v>1</v>
      </c>
      <c r="G77" s="28">
        <f>G$78*2000</f>
        <v>2000</v>
      </c>
      <c r="H77" s="28">
        <f>H$79*480/7000</f>
        <v>0.06857142857142857</v>
      </c>
      <c r="I77" s="28">
        <f>I$80*12*480/7000</f>
        <v>0.8228571428571428</v>
      </c>
      <c r="J77" s="28">
        <f>J$81/1000/28.349523125/16</f>
        <v>2.204622621848776E-06</v>
      </c>
      <c r="K77" s="28">
        <f>K$82/28.349523125/16</f>
        <v>0.002204622621848776</v>
      </c>
      <c r="L77" s="28">
        <f>L$83*1000/28.349523125/16</f>
        <v>2.2046226218487757</v>
      </c>
      <c r="M77" s="39">
        <f>M$84*1000*1000/28.349523125/16</f>
        <v>2204.622621848776</v>
      </c>
      <c r="N77" s="42" t="s">
        <v>153</v>
      </c>
      <c r="P77" s="59"/>
      <c r="Q77" s="59"/>
      <c r="R77" s="59"/>
      <c r="S77" s="59"/>
      <c r="T77" s="59"/>
      <c r="U77" s="59"/>
      <c r="V77" s="59"/>
      <c r="W77" s="59"/>
      <c r="X77" s="59"/>
      <c r="Y77" s="59"/>
      <c r="Z77" s="59"/>
      <c r="AA77" s="59"/>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row>
    <row r="78" spans="1:159" ht="13.5" thickBot="1">
      <c r="A78" s="103"/>
      <c r="B78" s="4" t="s">
        <v>239</v>
      </c>
      <c r="C78" s="4"/>
      <c r="D78" s="35">
        <f>D$75/7000/2000</f>
        <v>7.142857142857144E-08</v>
      </c>
      <c r="E78" s="35">
        <f>E$76/16/2000</f>
        <v>3.125E-05</v>
      </c>
      <c r="F78" s="35">
        <f>F$77/2000</f>
        <v>0.0005</v>
      </c>
      <c r="G78" s="88">
        <v>1</v>
      </c>
      <c r="H78" s="35">
        <f>H$79*480/7000/2000</f>
        <v>3.428571428571429E-05</v>
      </c>
      <c r="I78" s="35">
        <f>I$80*12*480/7000/2000</f>
        <v>0.00041142857142857143</v>
      </c>
      <c r="J78" s="35">
        <f>J$81/1000/28.349523125/16/2000</f>
        <v>1.102311310924388E-09</v>
      </c>
      <c r="K78" s="35">
        <f>K$82/28.349523125/16/2000</f>
        <v>1.102311310924388E-06</v>
      </c>
      <c r="L78" s="35">
        <f>L$83*1000/28.349523125/16/2000</f>
        <v>0.001102311310924388</v>
      </c>
      <c r="M78" s="66">
        <f>M$84*1000*1000/28.349523125/16/2000</f>
        <v>1.102311310924388</v>
      </c>
      <c r="N78" s="43" t="s">
        <v>239</v>
      </c>
      <c r="O78" s="36"/>
      <c r="P78" s="61"/>
      <c r="Q78" s="61"/>
      <c r="R78" s="61"/>
      <c r="S78" s="61"/>
      <c r="T78" s="61"/>
      <c r="U78" s="61"/>
      <c r="V78" s="61"/>
      <c r="W78" s="61"/>
      <c r="X78" s="61"/>
      <c r="Y78" s="61"/>
      <c r="Z78" s="61"/>
      <c r="AA78" s="61"/>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row>
    <row r="79" spans="1:159" ht="12.75">
      <c r="A79" s="101" t="s">
        <v>40</v>
      </c>
      <c r="B79" s="15" t="s">
        <v>143</v>
      </c>
      <c r="D79" s="20">
        <f>D$75/480</f>
        <v>0.0020833333333333333</v>
      </c>
      <c r="E79" s="20">
        <f>E$76/16*7000/480</f>
        <v>0.9114583333333334</v>
      </c>
      <c r="F79" s="20">
        <f>F$77*7000/480</f>
        <v>14.583333333333334</v>
      </c>
      <c r="G79" s="20">
        <f>G$78*2000*7000/480</f>
        <v>29166.666666666668</v>
      </c>
      <c r="H79" s="87">
        <v>1</v>
      </c>
      <c r="I79" s="20">
        <f>I$80*12</f>
        <v>12</v>
      </c>
      <c r="J79" s="20">
        <f>J$81/1000/31.1034768</f>
        <v>3.215074656862798E-05</v>
      </c>
      <c r="K79" s="20">
        <f>K$82/31.1034768</f>
        <v>0.03215074656862798</v>
      </c>
      <c r="L79" s="20">
        <f>L$83*1000/31.1034768</f>
        <v>32.15074656862798</v>
      </c>
      <c r="M79" s="38">
        <f>M$84*1000*1000/31.1034768</f>
        <v>32150.746568627983</v>
      </c>
      <c r="N79" s="41" t="s">
        <v>143</v>
      </c>
      <c r="P79" s="59"/>
      <c r="Q79" s="59"/>
      <c r="R79" s="59"/>
      <c r="S79" s="59"/>
      <c r="T79" s="59"/>
      <c r="U79" s="59"/>
      <c r="V79" s="59"/>
      <c r="W79" s="59"/>
      <c r="X79" s="59"/>
      <c r="Y79" s="59"/>
      <c r="Z79" s="59"/>
      <c r="AA79" s="59"/>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row>
    <row r="80" spans="1:159" s="36" customFormat="1" ht="13.5" thickBot="1">
      <c r="A80" s="103"/>
      <c r="B80" s="17" t="s">
        <v>148</v>
      </c>
      <c r="C80" s="4"/>
      <c r="D80" s="25">
        <f>D$75/480/12</f>
        <v>0.00017361111111111112</v>
      </c>
      <c r="E80" s="25">
        <f>E$76/16*7000/480/12</f>
        <v>0.07595486111111112</v>
      </c>
      <c r="F80" s="25">
        <f>F$77*7000/480/12</f>
        <v>1.215277777777778</v>
      </c>
      <c r="G80" s="25">
        <f>G$78*2000*7000/480/12</f>
        <v>2430.5555555555557</v>
      </c>
      <c r="H80" s="25">
        <f>H$79/12</f>
        <v>0.08333333333333333</v>
      </c>
      <c r="I80" s="88">
        <v>1</v>
      </c>
      <c r="J80" s="25">
        <f>J$81/1000/31.1034768/12</f>
        <v>2.6792288807189983E-06</v>
      </c>
      <c r="K80" s="25">
        <f>K$82/31.1034768/12</f>
        <v>0.0026792288807189982</v>
      </c>
      <c r="L80" s="25">
        <f>L$83*1000/31.1034768/12</f>
        <v>2.6792288807189983</v>
      </c>
      <c r="M80" s="44">
        <f>M$84*1000*1000/31.1034768/12</f>
        <v>2679.2288807189984</v>
      </c>
      <c r="N80" s="45" t="s">
        <v>148</v>
      </c>
      <c r="P80" s="61"/>
      <c r="Q80" s="61"/>
      <c r="R80" s="61"/>
      <c r="S80" s="61"/>
      <c r="T80" s="61"/>
      <c r="U80" s="61"/>
      <c r="V80" s="61"/>
      <c r="W80" s="61"/>
      <c r="X80" s="61"/>
      <c r="Y80" s="61"/>
      <c r="Z80" s="61"/>
      <c r="AA80" s="61"/>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row>
    <row r="81" spans="1:159" ht="12.75">
      <c r="A81" s="101" t="s">
        <v>286</v>
      </c>
      <c r="B81" t="s">
        <v>240</v>
      </c>
      <c r="D81" s="28">
        <f>D$75*0.06479891*1000</f>
        <v>64.79891</v>
      </c>
      <c r="E81" s="28">
        <f>E$76*28.349523125*1000</f>
        <v>28349.523125</v>
      </c>
      <c r="F81" s="28">
        <f>F$77*16*28.349523125*1000</f>
        <v>453592.37</v>
      </c>
      <c r="G81" s="28">
        <f>G$78*2000*16*28.349523125*1000</f>
        <v>907184740</v>
      </c>
      <c r="H81" s="28">
        <f>H$79*480/7000*16*28.349523125*1000</f>
        <v>31103.476800000004</v>
      </c>
      <c r="I81" s="28">
        <f>I$80*12*480/7000*16*28.349523125*1000</f>
        <v>373241.7216</v>
      </c>
      <c r="J81" s="87">
        <v>1</v>
      </c>
      <c r="K81" s="28">
        <f>K$82*1000</f>
        <v>1000</v>
      </c>
      <c r="L81" s="28">
        <f>L$83*1000*1000</f>
        <v>1000000</v>
      </c>
      <c r="M81" s="39">
        <f>M$84*1000*1000*1000</f>
        <v>1000000000</v>
      </c>
      <c r="N81" s="42" t="s">
        <v>240</v>
      </c>
      <c r="P81" s="59"/>
      <c r="Q81" s="59"/>
      <c r="R81" s="59"/>
      <c r="S81" s="59"/>
      <c r="T81" s="59"/>
      <c r="U81" s="59"/>
      <c r="V81" s="59"/>
      <c r="W81" s="59"/>
      <c r="X81" s="59"/>
      <c r="Y81" s="59"/>
      <c r="Z81" s="59"/>
      <c r="AA81" s="59"/>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row>
    <row r="82" spans="1:159" ht="12.75">
      <c r="A82" s="102"/>
      <c r="B82" t="s">
        <v>241</v>
      </c>
      <c r="D82" s="28">
        <f>D$75*0.06479891</f>
        <v>0.06479891</v>
      </c>
      <c r="E82" s="28">
        <f>E$76*28.349523125</f>
        <v>28.349523125</v>
      </c>
      <c r="F82" s="28">
        <f>F$77*16*28.349523125</f>
        <v>453.59237</v>
      </c>
      <c r="G82" s="28">
        <f>G$78*2000*16*28.349523125</f>
        <v>907184.74</v>
      </c>
      <c r="H82" s="28">
        <f>H$79*480/7000*16*28.349523125</f>
        <v>31.103476800000003</v>
      </c>
      <c r="I82" s="28">
        <f>I$80*12*480/7000*16*28.349523125</f>
        <v>373.2417216</v>
      </c>
      <c r="J82" s="28">
        <f>J$81/1000</f>
        <v>0.001</v>
      </c>
      <c r="K82" s="87">
        <v>1</v>
      </c>
      <c r="L82" s="28">
        <f>L$83*1000</f>
        <v>1000</v>
      </c>
      <c r="M82" s="39">
        <f>M$84*1000*1000</f>
        <v>1000000</v>
      </c>
      <c r="N82" s="42" t="s">
        <v>241</v>
      </c>
      <c r="P82" s="59"/>
      <c r="Q82" s="59"/>
      <c r="R82" s="59"/>
      <c r="S82" s="59"/>
      <c r="T82" s="59"/>
      <c r="U82" s="59"/>
      <c r="V82" s="59"/>
      <c r="W82" s="59"/>
      <c r="X82" s="59"/>
      <c r="Y82" s="59"/>
      <c r="Z82" s="59"/>
      <c r="AA82" s="59"/>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row>
    <row r="83" spans="1:27" ht="13.5" thickBot="1">
      <c r="A83" s="102"/>
      <c r="B83" s="15" t="s">
        <v>242</v>
      </c>
      <c r="D83" s="20">
        <f>D$75*0.06479891/1000</f>
        <v>6.479891E-05</v>
      </c>
      <c r="E83" s="20">
        <f>E$76*28.349523125/1000</f>
        <v>0.028349523125</v>
      </c>
      <c r="F83" s="20">
        <f>F$77*16*28.349523125/1000</f>
        <v>0.45359237</v>
      </c>
      <c r="G83" s="20">
        <f>G$78*2000*16*28.349523125/1000</f>
        <v>907.18474</v>
      </c>
      <c r="H83" s="20">
        <f>H$79*480/7000*16*28.349523125/1000</f>
        <v>0.0311034768</v>
      </c>
      <c r="I83" s="20">
        <f>I$80*12*480/7000*16*28.349523125/1000</f>
        <v>0.3732417216</v>
      </c>
      <c r="J83" s="20">
        <f>J$81/1000/1000</f>
        <v>1E-06</v>
      </c>
      <c r="K83" s="20">
        <f>K$82/1000</f>
        <v>0.001</v>
      </c>
      <c r="L83" s="87">
        <v>1</v>
      </c>
      <c r="M83" s="38">
        <f>M$84*1000</f>
        <v>1000</v>
      </c>
      <c r="N83" s="41" t="s">
        <v>242</v>
      </c>
      <c r="P83" s="59"/>
      <c r="Q83" s="59"/>
      <c r="R83" s="59"/>
      <c r="S83" s="59"/>
      <c r="T83" s="59"/>
      <c r="U83" s="59"/>
      <c r="V83" s="59"/>
      <c r="W83" s="59"/>
      <c r="X83" s="59"/>
      <c r="Y83" s="59"/>
      <c r="Z83" s="59"/>
      <c r="AA83" s="59"/>
    </row>
    <row r="84" spans="1:53" s="9" customFormat="1" ht="14.25" thickBot="1" thickTop="1">
      <c r="A84" s="103"/>
      <c r="B84" s="17" t="s">
        <v>243</v>
      </c>
      <c r="C84" s="4"/>
      <c r="D84" s="25">
        <f>D$75*0.06479891/1000/1000</f>
        <v>6.479890999999999E-08</v>
      </c>
      <c r="E84" s="25">
        <f>E$76*28.349523125/1000/1000</f>
        <v>2.8349523125000003E-05</v>
      </c>
      <c r="F84" s="25">
        <f>F$77*16*28.349523125/1000/1000</f>
        <v>0.00045359237000000004</v>
      </c>
      <c r="G84" s="25">
        <f>G$78*2000*16*28.349523125/1000/1000</f>
        <v>0.90718474</v>
      </c>
      <c r="H84" s="25">
        <f>H$79*480/7000*16*28.349523125/1000/1000</f>
        <v>3.11034768E-05</v>
      </c>
      <c r="I84" s="25">
        <f>I$80*12*480/7000*16*28.349523125/1000/1000</f>
        <v>0.00037324172160000004</v>
      </c>
      <c r="J84" s="25">
        <f>J$81/1000/1000/1000</f>
        <v>9.999999999999999E-10</v>
      </c>
      <c r="K84" s="25">
        <f>K$82/1000/1000</f>
        <v>1E-06</v>
      </c>
      <c r="L84" s="25">
        <f>L$83/1000</f>
        <v>0.001</v>
      </c>
      <c r="M84" s="89">
        <v>1</v>
      </c>
      <c r="N84" s="45" t="s">
        <v>243</v>
      </c>
      <c r="O84" s="36"/>
      <c r="P84" s="61"/>
      <c r="Q84" s="61"/>
      <c r="R84" s="61"/>
      <c r="S84" s="61"/>
      <c r="T84" s="61"/>
      <c r="U84" s="61"/>
      <c r="V84" s="61"/>
      <c r="W84" s="61"/>
      <c r="X84" s="61"/>
      <c r="Y84" s="61"/>
      <c r="Z84" s="61"/>
      <c r="AA84" s="61"/>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row>
    <row r="85" spans="1:53" s="36" customFormat="1" ht="12.75">
      <c r="A85"/>
      <c r="B85"/>
      <c r="C85"/>
      <c r="D85" t="s">
        <v>39</v>
      </c>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row>
    <row r="86" ht="12.75">
      <c r="D86" t="s">
        <v>154</v>
      </c>
    </row>
    <row r="87" ht="13.5" thickBot="1"/>
    <row r="88" spans="1:53" s="36" customFormat="1" ht="27" thickBot="1" thickTop="1">
      <c r="A88" s="46"/>
      <c r="B88" s="47" t="s">
        <v>238</v>
      </c>
      <c r="C88" s="46"/>
      <c r="D88" s="48" t="s">
        <v>123</v>
      </c>
      <c r="E88" s="48" t="s">
        <v>124</v>
      </c>
      <c r="F88" s="48" t="s">
        <v>126</v>
      </c>
      <c r="G88" s="48" t="s">
        <v>125</v>
      </c>
      <c r="H88" s="48" t="s">
        <v>127</v>
      </c>
      <c r="I88" s="49" t="s">
        <v>128</v>
      </c>
      <c r="J88" s="50" t="s">
        <v>238</v>
      </c>
      <c r="K88" s="9"/>
      <c r="L88" s="9"/>
      <c r="M88" s="9"/>
      <c r="N88" s="9"/>
      <c r="O88" s="9"/>
      <c r="P88" s="9"/>
      <c r="Q88" s="9"/>
      <c r="R88" s="11"/>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2.75">
      <c r="A89" s="36"/>
      <c r="B89" s="16" t="s">
        <v>245</v>
      </c>
      <c r="C89" s="36"/>
      <c r="D89" s="87">
        <v>1</v>
      </c>
      <c r="E89" s="20">
        <f>E$90*1000</f>
        <v>1000</v>
      </c>
      <c r="F89" s="20">
        <f>F$91*745.69987158227</f>
        <v>745.69987158227</v>
      </c>
      <c r="G89" s="20">
        <f>G$92*746</f>
        <v>746</v>
      </c>
      <c r="H89" s="20">
        <f>H$93*1055.05585262/3600</f>
        <v>0.2930710701722222</v>
      </c>
      <c r="I89" s="38">
        <f>I$94*1.3558179483314</f>
        <v>1.3558179483314</v>
      </c>
      <c r="J89" s="41" t="s">
        <v>245</v>
      </c>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row>
    <row r="90" spans="1:53" s="36" customFormat="1" ht="12.75">
      <c r="A90"/>
      <c r="B90" s="15" t="s">
        <v>129</v>
      </c>
      <c r="C90"/>
      <c r="D90" s="20">
        <f>D$89/1000</f>
        <v>0.001</v>
      </c>
      <c r="E90" s="87">
        <v>1</v>
      </c>
      <c r="F90" s="20">
        <f>F$91*745.69987158227/1000</f>
        <v>0.74569987158227</v>
      </c>
      <c r="G90" s="20">
        <f>G$92*746/1000</f>
        <v>0.746</v>
      </c>
      <c r="H90" s="20">
        <f>H$93*1055.05585262/3600/1000</f>
        <v>0.0002930710701722222</v>
      </c>
      <c r="I90" s="38">
        <f>I$94*1.3558179483314/1000</f>
        <v>0.0013558179483314</v>
      </c>
      <c r="J90" s="41" t="s">
        <v>129</v>
      </c>
      <c r="K90"/>
      <c r="L90"/>
      <c r="M90" s="59"/>
      <c r="N90" s="59"/>
      <c r="O90" s="59"/>
      <c r="P90" s="59"/>
      <c r="Q90" s="59"/>
      <c r="R90" s="59"/>
      <c r="S90" s="59"/>
      <c r="T90"/>
      <c r="U90"/>
      <c r="V90"/>
      <c r="W90"/>
      <c r="X90"/>
      <c r="Y90"/>
      <c r="Z90"/>
      <c r="AA90"/>
      <c r="AB90"/>
      <c r="AC90"/>
      <c r="AD90"/>
      <c r="AE90"/>
      <c r="AF90"/>
      <c r="AG90"/>
      <c r="AH90"/>
      <c r="AI90"/>
      <c r="AJ90"/>
      <c r="AK90"/>
      <c r="AL90"/>
      <c r="AM90"/>
      <c r="AN90"/>
      <c r="AO90"/>
      <c r="AP90"/>
      <c r="AQ90"/>
      <c r="AR90"/>
      <c r="AS90"/>
      <c r="AT90"/>
      <c r="AU90"/>
      <c r="AV90"/>
      <c r="AW90"/>
      <c r="AX90"/>
      <c r="AY90"/>
      <c r="AZ90"/>
      <c r="BA90"/>
    </row>
    <row r="91" spans="2:19" ht="12.75">
      <c r="B91" t="s">
        <v>151</v>
      </c>
      <c r="D91" s="28">
        <f>D$89/745.69987158227</f>
        <v>0.0013410220895950283</v>
      </c>
      <c r="E91" s="28">
        <f>E$90*1000/745.69987158227</f>
        <v>1.3410220895950282</v>
      </c>
      <c r="F91" s="87">
        <v>1</v>
      </c>
      <c r="G91" s="28">
        <f>G$92*746/745.69987158227</f>
        <v>1.0004024788378911</v>
      </c>
      <c r="H91" s="28">
        <f>H$93*1055.05585262/3600/745.69987158227</f>
        <v>0.00039301477892220464</v>
      </c>
      <c r="I91" s="39">
        <f>I$94/550</f>
        <v>0.0018181818181818182</v>
      </c>
      <c r="J91" s="42" t="s">
        <v>151</v>
      </c>
      <c r="M91" s="59"/>
      <c r="N91" s="59"/>
      <c r="O91" s="59"/>
      <c r="P91" s="59"/>
      <c r="Q91" s="59"/>
      <c r="R91" s="59"/>
      <c r="S91" s="59"/>
    </row>
    <row r="92" spans="2:19" ht="12.75">
      <c r="B92" t="s">
        <v>149</v>
      </c>
      <c r="D92" s="28">
        <f>D$89/746</f>
        <v>0.0013404825737265416</v>
      </c>
      <c r="E92" s="28">
        <f>E$90*1000/746</f>
        <v>1.3404825737265416</v>
      </c>
      <c r="F92" s="28">
        <f>F$91*745.69987158227/746</f>
        <v>0.9995976830861528</v>
      </c>
      <c r="G92" s="87">
        <v>1</v>
      </c>
      <c r="H92" s="28">
        <f>H$93*1055.05585262/3600/746</f>
        <v>0.0003928566624292523</v>
      </c>
      <c r="I92" s="39">
        <f>I$94*1.3558179483314/746</f>
        <v>0.001817450332883914</v>
      </c>
      <c r="J92" s="42" t="s">
        <v>149</v>
      </c>
      <c r="M92" s="59"/>
      <c r="N92" s="59"/>
      <c r="O92" s="59"/>
      <c r="P92" s="59"/>
      <c r="Q92" s="59"/>
      <c r="R92" s="59"/>
      <c r="S92" s="59"/>
    </row>
    <row r="93" spans="2:19" ht="12.75">
      <c r="B93" s="15" t="s">
        <v>135</v>
      </c>
      <c r="D93" s="20">
        <f>D$89/1055.05585262*3600</f>
        <v>3.412141633127942</v>
      </c>
      <c r="E93" s="20">
        <f>E$90*1000/1055.05585262*3600</f>
        <v>3412.141633127942</v>
      </c>
      <c r="F93" s="20">
        <f>F$91*745.69987158227/1055.05585262*3600</f>
        <v>2544.4335776440234</v>
      </c>
      <c r="G93" s="20">
        <f>G$92*746/1055.05585262*3600</f>
        <v>2545.4576583134444</v>
      </c>
      <c r="H93" s="87">
        <v>1</v>
      </c>
      <c r="I93" s="38">
        <f>I$94*1.3558179483314/1055.05585262*3600</f>
        <v>4.626242868443678</v>
      </c>
      <c r="J93" s="41" t="s">
        <v>135</v>
      </c>
      <c r="M93" s="59"/>
      <c r="N93" s="59"/>
      <c r="O93" s="59"/>
      <c r="P93" s="59"/>
      <c r="Q93" s="59"/>
      <c r="R93" s="59"/>
      <c r="S93" s="59"/>
    </row>
    <row r="94" spans="1:19" s="36" customFormat="1" ht="13.5" thickBot="1">
      <c r="A94" s="4"/>
      <c r="B94" s="17" t="s">
        <v>246</v>
      </c>
      <c r="C94" s="4"/>
      <c r="D94" s="25">
        <f>D$89/1.3558179483314</f>
        <v>0.7375621492772656</v>
      </c>
      <c r="E94" s="25">
        <f>E$90*1000/1.3558179483314</f>
        <v>737.5621492772657</v>
      </c>
      <c r="F94" s="25">
        <f>F$91*550</f>
        <v>550</v>
      </c>
      <c r="G94" s="25">
        <f>G$92*746/1.3558179483314</f>
        <v>550.2213633608402</v>
      </c>
      <c r="H94" s="25">
        <f>H$93*1055.05585262/3600/745.69987158227*550</f>
        <v>0.21615812840721255</v>
      </c>
      <c r="I94" s="89">
        <v>1</v>
      </c>
      <c r="J94" s="45" t="s">
        <v>246</v>
      </c>
      <c r="M94" s="61"/>
      <c r="N94" s="61"/>
      <c r="O94" s="61"/>
      <c r="P94" s="61"/>
      <c r="Q94" s="61"/>
      <c r="R94" s="61"/>
      <c r="S94" s="61"/>
    </row>
    <row r="95" ht="12.75">
      <c r="D95" t="s">
        <v>41</v>
      </c>
    </row>
    <row r="96" ht="12.75">
      <c r="D96" t="s">
        <v>42</v>
      </c>
    </row>
    <row r="97" ht="13.5" thickBot="1">
      <c r="D97" t="s">
        <v>43</v>
      </c>
    </row>
    <row r="98" spans="1:53" s="9" customFormat="1" ht="13.5" thickTop="1">
      <c r="A98"/>
      <c r="B98"/>
      <c r="C98"/>
      <c r="D98" t="s">
        <v>161</v>
      </c>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row>
    <row r="99" spans="1:53" s="36"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row>
    <row r="101" ht="13.5" thickBot="1"/>
    <row r="102" spans="1:53" ht="39.75" thickBot="1" thickTop="1">
      <c r="A102" s="46"/>
      <c r="B102" s="47" t="s">
        <v>233</v>
      </c>
      <c r="C102" s="46"/>
      <c r="D102" s="48" t="s">
        <v>130</v>
      </c>
      <c r="E102" s="48" t="s">
        <v>131</v>
      </c>
      <c r="F102" s="48" t="s">
        <v>132</v>
      </c>
      <c r="G102" s="48" t="s">
        <v>133</v>
      </c>
      <c r="H102" s="48" t="s">
        <v>134</v>
      </c>
      <c r="I102" s="48" t="s">
        <v>9</v>
      </c>
      <c r="J102" s="48" t="s">
        <v>10</v>
      </c>
      <c r="K102" s="48" t="s">
        <v>11</v>
      </c>
      <c r="L102" s="49" t="s">
        <v>12</v>
      </c>
      <c r="M102" s="50" t="s">
        <v>233</v>
      </c>
      <c r="N102" s="9"/>
      <c r="O102" s="9"/>
      <c r="P102" s="9"/>
      <c r="Q102" s="9"/>
      <c r="R102" s="11"/>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row>
    <row r="103" spans="1:53" ht="12.75">
      <c r="A103" s="36"/>
      <c r="B103" s="16" t="s">
        <v>244</v>
      </c>
      <c r="C103" s="36"/>
      <c r="D103" s="87">
        <v>1</v>
      </c>
      <c r="E103" s="20">
        <f>E$104*10000000</f>
        <v>10000000</v>
      </c>
      <c r="F103" s="20">
        <f>F$105*3600*10000000</f>
        <v>36000000000</v>
      </c>
      <c r="G103" s="20">
        <f>G$106*1000*3600*10000000</f>
        <v>36000000000000</v>
      </c>
      <c r="H103" s="20">
        <f>H$107*1055.05585262*10000000</f>
        <v>10550558526.2</v>
      </c>
      <c r="I103" s="20">
        <f>I$108*105480400*10000000</f>
        <v>1054804000000000</v>
      </c>
      <c r="J103" s="20">
        <f>J$109*1.3558179483314*10000000</f>
        <v>13558179.483313998</v>
      </c>
      <c r="K103" s="20">
        <f>K$110*4.1868*10000000</f>
        <v>41868000</v>
      </c>
      <c r="L103" s="38">
        <f>L$111*1000*4.1868*10000000</f>
        <v>41868000000</v>
      </c>
      <c r="M103" s="41" t="s">
        <v>244</v>
      </c>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row>
    <row r="104" spans="1:53" s="36" customFormat="1" ht="12.75">
      <c r="A104"/>
      <c r="B104" s="15" t="s">
        <v>155</v>
      </c>
      <c r="C104"/>
      <c r="D104" s="20">
        <f>D$103/10000000</f>
        <v>1E-07</v>
      </c>
      <c r="E104" s="87">
        <v>1</v>
      </c>
      <c r="F104" s="20">
        <f>F$105*3600</f>
        <v>3600</v>
      </c>
      <c r="G104" s="20">
        <f>G$106*1000*3600</f>
        <v>3600000</v>
      </c>
      <c r="H104" s="20">
        <f>H$107*1055.05585262</f>
        <v>1055.05585262</v>
      </c>
      <c r="I104" s="20">
        <f>I$108*105480400</f>
        <v>105480400</v>
      </c>
      <c r="J104" s="20">
        <f>J$109*1.3558179483314</f>
        <v>1.3558179483314</v>
      </c>
      <c r="K104" s="20">
        <f>K$110*4.1868</f>
        <v>4.1868</v>
      </c>
      <c r="L104" s="38">
        <f>L$111*1000*4.1868</f>
        <v>4186.8</v>
      </c>
      <c r="M104" s="41" t="s">
        <v>155</v>
      </c>
      <c r="N104"/>
      <c r="O104"/>
      <c r="P104" s="59"/>
      <c r="Q104" s="59"/>
      <c r="R104" s="59"/>
      <c r="S104" s="59"/>
      <c r="T104" s="59"/>
      <c r="U104" s="59"/>
      <c r="V104" s="59"/>
      <c r="W104" s="59"/>
      <c r="X104" s="59"/>
      <c r="Y104" s="59"/>
      <c r="Z104"/>
      <c r="AA104"/>
      <c r="AB104"/>
      <c r="AC104"/>
      <c r="AD104"/>
      <c r="AE104"/>
      <c r="AF104"/>
      <c r="AG104"/>
      <c r="AH104"/>
      <c r="AI104"/>
      <c r="AJ104"/>
      <c r="AK104"/>
      <c r="AL104"/>
      <c r="AM104"/>
      <c r="AN104"/>
      <c r="AO104"/>
      <c r="AP104"/>
      <c r="AQ104"/>
      <c r="AR104"/>
      <c r="AS104"/>
      <c r="AT104"/>
      <c r="AU104"/>
      <c r="AV104"/>
      <c r="AW104"/>
      <c r="AX104"/>
      <c r="AY104"/>
      <c r="AZ104"/>
      <c r="BA104"/>
    </row>
    <row r="105" spans="2:25" ht="12.75">
      <c r="B105" t="s">
        <v>247</v>
      </c>
      <c r="D105" s="28">
        <f>D$103/10000000/3600</f>
        <v>2.7777777777777777E-11</v>
      </c>
      <c r="E105" s="28">
        <f>E$104/3600</f>
        <v>0.0002777777777777778</v>
      </c>
      <c r="F105" s="87">
        <v>1</v>
      </c>
      <c r="G105" s="28">
        <f>G$106*1000</f>
        <v>1000</v>
      </c>
      <c r="H105" s="28">
        <f>H$107*1055.05585262/3600</f>
        <v>0.2930710701722222</v>
      </c>
      <c r="I105" s="28">
        <f>I$108*105480400/3600</f>
        <v>29300.11111111111</v>
      </c>
      <c r="J105" s="28">
        <f>J$109*1.3558179483314/3600</f>
        <v>0.0003766160967587222</v>
      </c>
      <c r="K105" s="28">
        <f>K$110*4.1868/3600</f>
        <v>0.001163</v>
      </c>
      <c r="L105" s="39">
        <f>L$111*1000*4.1868/3600</f>
        <v>1.163</v>
      </c>
      <c r="M105" s="42" t="s">
        <v>247</v>
      </c>
      <c r="P105" s="59"/>
      <c r="Q105" s="59"/>
      <c r="R105" s="59"/>
      <c r="S105" s="59"/>
      <c r="T105" s="59"/>
      <c r="U105" s="59"/>
      <c r="V105" s="59"/>
      <c r="W105" s="59"/>
      <c r="X105" s="59"/>
      <c r="Y105" s="59"/>
    </row>
    <row r="106" spans="1:25" ht="13.5" thickBot="1">
      <c r="A106" s="4"/>
      <c r="B106" s="4" t="s">
        <v>13</v>
      </c>
      <c r="C106" s="4"/>
      <c r="D106" s="35">
        <f>D$103/10000000/3600/1000</f>
        <v>2.7777777777777778E-14</v>
      </c>
      <c r="E106" s="35">
        <f>E$104/3600/1000</f>
        <v>2.7777777777777776E-07</v>
      </c>
      <c r="F106" s="35">
        <f>F$105/1000</f>
        <v>0.001</v>
      </c>
      <c r="G106" s="88">
        <v>1</v>
      </c>
      <c r="H106" s="35">
        <f>H$107*1055.05585262/3600/1000</f>
        <v>0.0002930710701722222</v>
      </c>
      <c r="I106" s="35">
        <f>I$108*105480400/3600/1000</f>
        <v>29.30011111111111</v>
      </c>
      <c r="J106" s="35">
        <f>J$109*1.3558179483314/3600/1000</f>
        <v>3.766160967587222E-07</v>
      </c>
      <c r="K106" s="35">
        <f>K$110*4.1868/3600/1000</f>
        <v>1.163E-06</v>
      </c>
      <c r="L106" s="66">
        <f>L$111*1000*4.1868/3600/1000</f>
        <v>0.001163</v>
      </c>
      <c r="M106" s="43" t="s">
        <v>13</v>
      </c>
      <c r="P106" s="59"/>
      <c r="Q106" s="59"/>
      <c r="R106" s="59"/>
      <c r="S106" s="59"/>
      <c r="T106" s="59"/>
      <c r="U106" s="59"/>
      <c r="V106" s="59"/>
      <c r="W106" s="59"/>
      <c r="X106" s="59"/>
      <c r="Y106" s="59"/>
    </row>
    <row r="107" spans="2:25" ht="12.75">
      <c r="B107" s="15" t="s">
        <v>248</v>
      </c>
      <c r="D107" s="20">
        <f>D$103/10000000/1055.05585262</f>
        <v>9.478171203133172E-11</v>
      </c>
      <c r="E107" s="20">
        <f>E$104/1055.05585262</f>
        <v>0.0009478171203133172</v>
      </c>
      <c r="F107" s="20">
        <f>F$105*3600/1055.05585262</f>
        <v>3.4121416331279417</v>
      </c>
      <c r="G107" s="20">
        <f>G$106*1000*3600/1055.05585262</f>
        <v>3412.141633127942</v>
      </c>
      <c r="H107" s="87">
        <v>1</v>
      </c>
      <c r="I107" s="20">
        <f>I$108*105480400/1055.05585262</f>
        <v>99976.12897749682</v>
      </c>
      <c r="J107" s="20">
        <f>J$109*1.3558179483314/1055.05585262</f>
        <v>0.0012850674634565773</v>
      </c>
      <c r="K107" s="20">
        <f>K$110*4.1868/1055.05585262</f>
        <v>0.003968320719327796</v>
      </c>
      <c r="L107" s="38">
        <f>L$111*1000*4.1868/1055.05585262</f>
        <v>3.9683207193277967</v>
      </c>
      <c r="M107" s="41" t="s">
        <v>248</v>
      </c>
      <c r="P107" s="59"/>
      <c r="Q107" s="59"/>
      <c r="R107" s="59"/>
      <c r="S107" s="59"/>
      <c r="T107" s="59"/>
      <c r="U107" s="59"/>
      <c r="V107" s="59"/>
      <c r="W107" s="59"/>
      <c r="X107" s="59"/>
      <c r="Y107" s="59"/>
    </row>
    <row r="108" spans="2:25" ht="12.75">
      <c r="B108" s="15" t="s">
        <v>156</v>
      </c>
      <c r="D108" s="21">
        <f>D$103/10000000/105480400</f>
        <v>9.480434279733486E-16</v>
      </c>
      <c r="E108" s="21">
        <f>E$104/105480400</f>
        <v>9.480434279733487E-09</v>
      </c>
      <c r="F108" s="21">
        <f>F$105*3600/105480400</f>
        <v>3.412956340704055E-05</v>
      </c>
      <c r="G108" s="21">
        <f>G$106*1000*3600/105480400</f>
        <v>0.03412956340704055</v>
      </c>
      <c r="H108" s="20">
        <f>H$107*1055.05585262/105480400</f>
        <v>1.0002387672212088E-05</v>
      </c>
      <c r="I108" s="87">
        <v>1</v>
      </c>
      <c r="J108" s="20">
        <f>J$109*1.3558179483314/105480400</f>
        <v>1.2853742954438928E-08</v>
      </c>
      <c r="K108" s="20">
        <f>K$110*4.1868/105480400</f>
        <v>3.969268224238816E-08</v>
      </c>
      <c r="L108" s="38">
        <f>L$111*1000*4.1868/105480400</f>
        <v>3.969268224238816E-05</v>
      </c>
      <c r="M108" s="41" t="s">
        <v>156</v>
      </c>
      <c r="P108" s="59"/>
      <c r="Q108" s="59"/>
      <c r="R108" s="59"/>
      <c r="S108" s="59"/>
      <c r="T108" s="59"/>
      <c r="U108" s="59"/>
      <c r="V108" s="59"/>
      <c r="W108" s="59"/>
      <c r="X108" s="59"/>
      <c r="Y108" s="59"/>
    </row>
    <row r="109" spans="2:25" ht="12.75">
      <c r="B109" t="s">
        <v>150</v>
      </c>
      <c r="D109" s="28">
        <f>D$103/10000000/1.3558179483314</f>
        <v>7.375621492772656E-08</v>
      </c>
      <c r="E109" s="28">
        <f>E$104/1.3558179483314</f>
        <v>0.7375621492772656</v>
      </c>
      <c r="F109" s="28">
        <f>F$105*3600/1.3558179483314</f>
        <v>2655.223737398156</v>
      </c>
      <c r="G109" s="28">
        <f>G$106*1000*3600/1.3558179483314</f>
        <v>2655223.7373981564</v>
      </c>
      <c r="H109" s="28">
        <f>H$107*1055.05585262/1.3558179483314</f>
        <v>778.1692622659652</v>
      </c>
      <c r="I109" s="28">
        <f>I$108*105480400/1.3558179483314</f>
        <v>77798350.53062569</v>
      </c>
      <c r="J109" s="87">
        <v>1</v>
      </c>
      <c r="K109" s="28">
        <f>K$110*4.1868/1.3558179483314</f>
        <v>3.0880252065940557</v>
      </c>
      <c r="L109" s="39">
        <f>L$111*1000*4.1868/1.3558179483314</f>
        <v>3088.025206594056</v>
      </c>
      <c r="M109" s="42" t="s">
        <v>150</v>
      </c>
      <c r="P109" s="59"/>
      <c r="Q109" s="59"/>
      <c r="R109" s="59"/>
      <c r="S109" s="59"/>
      <c r="T109" s="59"/>
      <c r="U109" s="59"/>
      <c r="V109" s="59"/>
      <c r="W109" s="59"/>
      <c r="X109" s="59"/>
      <c r="Y109" s="59"/>
    </row>
    <row r="110" spans="2:25" ht="12.75">
      <c r="B110" t="s">
        <v>142</v>
      </c>
      <c r="D110" s="28">
        <f>D$103/10000000/4.1868</f>
        <v>2.3884589662749594E-08</v>
      </c>
      <c r="E110" s="28">
        <f>E$104/4.1868</f>
        <v>0.23884589662749595</v>
      </c>
      <c r="F110" s="28">
        <f>F$105*3600/4.1868</f>
        <v>859.8452278589854</v>
      </c>
      <c r="G110" s="28">
        <f>G$106*1000*3600/4.1868</f>
        <v>859845.2278589854</v>
      </c>
      <c r="H110" s="28">
        <f>H$107*1055.05585262/4.1868</f>
        <v>251.9957611111111</v>
      </c>
      <c r="I110" s="28">
        <f>I$108*105480400/4.1868</f>
        <v>25193560.714626923</v>
      </c>
      <c r="J110" s="28">
        <f>J$109*1.3558179483314/4.1868</f>
        <v>0.3238315535328652</v>
      </c>
      <c r="K110" s="87">
        <v>1</v>
      </c>
      <c r="L110" s="39">
        <f>L$111*1000</f>
        <v>1000</v>
      </c>
      <c r="M110" s="42" t="s">
        <v>142</v>
      </c>
      <c r="P110" s="59"/>
      <c r="Q110" s="59"/>
      <c r="R110" s="59"/>
      <c r="S110" s="59"/>
      <c r="T110" s="59"/>
      <c r="U110" s="59"/>
      <c r="V110" s="59"/>
      <c r="W110" s="59"/>
      <c r="X110" s="59"/>
      <c r="Y110" s="59"/>
    </row>
    <row r="111" spans="1:53" ht="13.5" thickBot="1">
      <c r="A111" s="4"/>
      <c r="B111" s="17" t="s">
        <v>292</v>
      </c>
      <c r="C111" s="4"/>
      <c r="D111" s="25">
        <f>D$103/10000000/4.1868/1000</f>
        <v>2.3884589662749594E-11</v>
      </c>
      <c r="E111" s="25">
        <f>E$104/4.1868/1000</f>
        <v>0.00023884589662749594</v>
      </c>
      <c r="F111" s="25">
        <f>F$105*3600/4.1868/1000</f>
        <v>0.8598452278589853</v>
      </c>
      <c r="G111" s="25">
        <f>G$106*1000*3600/4.1868/1000</f>
        <v>859.8452278589855</v>
      </c>
      <c r="H111" s="25">
        <f>H$107*1055.05585262/4.1868/1000</f>
        <v>0.2519957611111111</v>
      </c>
      <c r="I111" s="25">
        <f>I$108*105480400/4.1868/1000</f>
        <v>25193.560714626925</v>
      </c>
      <c r="J111" s="25">
        <f>J$109*1.3558179483314/4.1868/1000</f>
        <v>0.00032383155353286517</v>
      </c>
      <c r="K111" s="25">
        <f>K$110/1000</f>
        <v>0.001</v>
      </c>
      <c r="L111" s="89">
        <v>1</v>
      </c>
      <c r="M111" s="45" t="s">
        <v>292</v>
      </c>
      <c r="N111" s="36"/>
      <c r="O111" s="36"/>
      <c r="P111" s="61"/>
      <c r="Q111" s="61"/>
      <c r="R111" s="61"/>
      <c r="S111" s="61"/>
      <c r="T111" s="61"/>
      <c r="U111" s="61"/>
      <c r="V111" s="61"/>
      <c r="W111" s="61"/>
      <c r="X111" s="61"/>
      <c r="Y111" s="61"/>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row>
    <row r="112" spans="1:53" s="9" customFormat="1" ht="13.5" thickTop="1">
      <c r="A112"/>
      <c r="B112"/>
      <c r="C112"/>
      <c r="D112" t="s">
        <v>45</v>
      </c>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row>
    <row r="113" spans="1:53" s="36" customFormat="1" ht="12.75">
      <c r="A113"/>
      <c r="B113"/>
      <c r="C113"/>
      <c r="D113" t="s">
        <v>44</v>
      </c>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row>
    <row r="115" ht="12.75">
      <c r="D115" t="s">
        <v>157</v>
      </c>
    </row>
    <row r="116" ht="13.5" thickBot="1"/>
    <row r="117" spans="1:53" ht="27" thickBot="1" thickTop="1">
      <c r="A117" s="46"/>
      <c r="B117" s="47" t="s">
        <v>237</v>
      </c>
      <c r="C117" s="46"/>
      <c r="D117" s="48" t="s">
        <v>14</v>
      </c>
      <c r="E117" s="48" t="s">
        <v>15</v>
      </c>
      <c r="F117" s="48" t="s">
        <v>16</v>
      </c>
      <c r="G117" s="48" t="s">
        <v>17</v>
      </c>
      <c r="H117" s="49" t="s">
        <v>86</v>
      </c>
      <c r="I117" s="50" t="s">
        <v>237</v>
      </c>
      <c r="J117" s="9"/>
      <c r="K117" s="9"/>
      <c r="L117" s="9"/>
      <c r="M117" s="9"/>
      <c r="N117" s="9"/>
      <c r="O117" s="9"/>
      <c r="P117" s="9"/>
      <c r="Q117" s="9"/>
      <c r="R117" s="11"/>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row>
    <row r="118" spans="1:53" ht="12.75">
      <c r="A118" s="36"/>
      <c r="B118" s="16" t="s">
        <v>160</v>
      </c>
      <c r="C118" s="36"/>
      <c r="D118" s="87">
        <v>1</v>
      </c>
      <c r="E118" s="20">
        <f>E$119*16</f>
        <v>16</v>
      </c>
      <c r="F118" s="20">
        <f>F$120/4.4482216152605/100000*16</f>
        <v>3.596943089595368E-05</v>
      </c>
      <c r="G118" s="20">
        <f>G$121/4.4482216152605*16</f>
        <v>3.596943089595368</v>
      </c>
      <c r="H118" s="38">
        <f>H$122*9.80665/4.4482216152605*16</f>
        <v>35.27396194958041</v>
      </c>
      <c r="I118" s="41" t="s">
        <v>160</v>
      </c>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row>
    <row r="119" spans="1:53" ht="12.75">
      <c r="A119" s="36"/>
      <c r="B119" s="16" t="s">
        <v>158</v>
      </c>
      <c r="C119" s="36"/>
      <c r="D119" s="20">
        <f>D$118/16</f>
        <v>0.0625</v>
      </c>
      <c r="E119" s="87">
        <v>1</v>
      </c>
      <c r="F119" s="20">
        <f>F$120/4.4482216152605/100000</f>
        <v>2.248089430997105E-06</v>
      </c>
      <c r="G119" s="20">
        <f>G$121/4.4482216152605</f>
        <v>0.2248089430997105</v>
      </c>
      <c r="H119" s="38">
        <f>H$122*9.80665/4.4482216152605</f>
        <v>2.2046226218487757</v>
      </c>
      <c r="I119" s="41" t="s">
        <v>158</v>
      </c>
      <c r="J119" s="36"/>
      <c r="K119" s="36"/>
      <c r="L119" s="36"/>
      <c r="M119" s="59"/>
      <c r="N119" s="59"/>
      <c r="O119" s="59"/>
      <c r="P119" s="59"/>
      <c r="Q119" s="59"/>
      <c r="R119" s="59"/>
      <c r="S119" s="59"/>
      <c r="T119" s="59"/>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row>
    <row r="120" spans="1:53" ht="12.75">
      <c r="A120" s="36"/>
      <c r="B120" s="36" t="s">
        <v>249</v>
      </c>
      <c r="C120" s="36"/>
      <c r="D120" s="28">
        <f>D$118/16*4.4482216152605*100000</f>
        <v>27801.385095378122</v>
      </c>
      <c r="E120" s="28">
        <f>E$119*4.4482216152605*100000</f>
        <v>444822.16152604995</v>
      </c>
      <c r="F120" s="87">
        <v>1</v>
      </c>
      <c r="G120" s="28">
        <f>G$121*100000</f>
        <v>100000</v>
      </c>
      <c r="H120" s="39">
        <f>H$122*9.80665*100000</f>
        <v>980665</v>
      </c>
      <c r="I120" s="42" t="s">
        <v>249</v>
      </c>
      <c r="J120" s="36"/>
      <c r="K120" s="36"/>
      <c r="L120" s="36"/>
      <c r="M120" s="59"/>
      <c r="N120" s="59"/>
      <c r="O120" s="59"/>
      <c r="P120" s="59"/>
      <c r="Q120" s="59"/>
      <c r="R120" s="59"/>
      <c r="S120" s="59"/>
      <c r="T120" s="59"/>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row>
    <row r="121" spans="2:20" s="36" customFormat="1" ht="12.75">
      <c r="B121" s="36" t="s">
        <v>250</v>
      </c>
      <c r="D121" s="28">
        <f>D$118/16*4.4482216152605</f>
        <v>0.2780138509537812</v>
      </c>
      <c r="E121" s="28">
        <f>'[1]solar system'!$B$15*4.4482216152605</f>
        <v>889.6443230520999</v>
      </c>
      <c r="F121" s="28">
        <f>F$120/100000</f>
        <v>1E-05</v>
      </c>
      <c r="G121" s="87">
        <v>1</v>
      </c>
      <c r="H121" s="39">
        <f>H$122*9.80665</f>
        <v>9.80665</v>
      </c>
      <c r="I121" s="42" t="s">
        <v>250</v>
      </c>
      <c r="M121" s="59"/>
      <c r="N121" s="59"/>
      <c r="O121" s="59"/>
      <c r="P121" s="59"/>
      <c r="Q121" s="59"/>
      <c r="R121" s="59"/>
      <c r="S121" s="59"/>
      <c r="T121" s="59"/>
    </row>
    <row r="122" spans="1:53" ht="13.5" thickBot="1">
      <c r="A122" s="4"/>
      <c r="B122" s="17" t="s">
        <v>159</v>
      </c>
      <c r="C122" s="4"/>
      <c r="D122" s="25">
        <f>D$118/16*4.4482216152605/9.80665</f>
        <v>0.028349523124999998</v>
      </c>
      <c r="E122" s="25">
        <f>E$119*4.4482216152605/9.80665</f>
        <v>0.45359236999999997</v>
      </c>
      <c r="F122" s="25">
        <f>F$120/100000/9.80665</f>
        <v>1.0197162129779284E-06</v>
      </c>
      <c r="G122" s="25">
        <f>G$121/9.80665</f>
        <v>0.10197162129779283</v>
      </c>
      <c r="H122" s="89">
        <v>1</v>
      </c>
      <c r="I122" s="45" t="s">
        <v>159</v>
      </c>
      <c r="J122" s="36"/>
      <c r="K122" s="36"/>
      <c r="L122" s="36"/>
      <c r="M122" s="61"/>
      <c r="N122" s="61"/>
      <c r="O122" s="61"/>
      <c r="P122" s="61"/>
      <c r="Q122" s="61"/>
      <c r="R122" s="61"/>
      <c r="S122" s="61"/>
      <c r="T122" s="61"/>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row>
    <row r="123" ht="12.75">
      <c r="D123" t="s">
        <v>46</v>
      </c>
    </row>
    <row r="125" ht="13.5" thickBot="1"/>
    <row r="126" spans="1:53" ht="27" thickBot="1" thickTop="1">
      <c r="A126" s="46"/>
      <c r="B126" s="47" t="s">
        <v>234</v>
      </c>
      <c r="C126" s="46"/>
      <c r="D126" s="48" t="s">
        <v>18</v>
      </c>
      <c r="E126" s="48" t="s">
        <v>19</v>
      </c>
      <c r="F126" s="48" t="s">
        <v>20</v>
      </c>
      <c r="G126" s="9"/>
      <c r="H126" s="9"/>
      <c r="I126" s="9"/>
      <c r="J126" s="9"/>
      <c r="K126" s="9"/>
      <c r="L126" s="9"/>
      <c r="M126" s="9"/>
      <c r="N126" s="9"/>
      <c r="O126" s="9"/>
      <c r="P126" s="9"/>
      <c r="Q126" s="9"/>
      <c r="R126" s="11"/>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row>
    <row r="127" spans="1:53" s="9" customFormat="1" ht="13.5" thickTop="1">
      <c r="A127"/>
      <c r="B127" t="s">
        <v>251</v>
      </c>
      <c r="C127"/>
      <c r="D127" s="87">
        <v>0</v>
      </c>
      <c r="E127" s="28">
        <f>E128+273.16</f>
        <v>273.16</v>
      </c>
      <c r="F127" s="23">
        <f>F128+273.16</f>
        <v>273.16</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row>
    <row r="128" spans="1:53" s="36" customFormat="1" ht="12.75">
      <c r="A128"/>
      <c r="B128" t="s">
        <v>252</v>
      </c>
      <c r="C128"/>
      <c r="D128" s="23">
        <f>D127-273.16</f>
        <v>-273.16</v>
      </c>
      <c r="E128" s="87">
        <v>0</v>
      </c>
      <c r="F128" s="23">
        <f>(F129-32)/9*5</f>
        <v>0</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row>
    <row r="129" spans="1:53" s="36" customFormat="1" ht="13.5" thickBot="1">
      <c r="A129" s="4"/>
      <c r="B129" s="4" t="s">
        <v>253</v>
      </c>
      <c r="C129" s="4"/>
      <c r="D129" s="27">
        <f>(D127-273.16)/5*9+32</f>
        <v>-459.68800000000005</v>
      </c>
      <c r="E129" s="27">
        <f>E128/5*9+32</f>
        <v>32</v>
      </c>
      <c r="F129" s="88">
        <v>32</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row>
    <row r="130" spans="1:53" s="36" customFormat="1" ht="12.75">
      <c r="A130"/>
      <c r="B130"/>
      <c r="C130"/>
      <c r="D130" s="2"/>
      <c r="E130" s="2"/>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row>
    <row r="131" spans="1:53" s="36" customFormat="1" ht="12.75">
      <c r="A131"/>
      <c r="B131"/>
      <c r="C131"/>
      <c r="D131" t="s">
        <v>46</v>
      </c>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row>
    <row r="132" spans="1:53" s="36" customFormat="1" ht="13.5" thickBo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row>
    <row r="133" spans="1:53" ht="26.25" thickTop="1">
      <c r="A133" s="9"/>
      <c r="B133" s="10" t="s">
        <v>267</v>
      </c>
      <c r="C133" s="9"/>
      <c r="D133" s="19" t="s">
        <v>21</v>
      </c>
      <c r="E133" s="19" t="s">
        <v>22</v>
      </c>
      <c r="F133" s="19" t="s">
        <v>23</v>
      </c>
      <c r="G133" s="19" t="s">
        <v>24</v>
      </c>
      <c r="H133" s="19" t="s">
        <v>25</v>
      </c>
      <c r="I133" s="19" t="s">
        <v>26</v>
      </c>
      <c r="J133" s="19" t="s">
        <v>27</v>
      </c>
      <c r="K133" s="19" t="s">
        <v>28</v>
      </c>
      <c r="L133" s="19" t="s">
        <v>29</v>
      </c>
      <c r="M133" s="37" t="s">
        <v>30</v>
      </c>
      <c r="N133" s="40" t="s">
        <v>267</v>
      </c>
      <c r="O133" s="9"/>
      <c r="P133" s="9"/>
      <c r="Q133" s="9"/>
      <c r="R133" s="11"/>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row>
    <row r="134" spans="1:18" ht="12.75">
      <c r="A134" s="104" t="s">
        <v>287</v>
      </c>
      <c r="B134" s="15" t="s">
        <v>254</v>
      </c>
      <c r="D134" s="87">
        <v>1</v>
      </c>
      <c r="E134" s="20">
        <f>E$135*12</f>
        <v>12</v>
      </c>
      <c r="F134" s="20">
        <f>F$136*5280*12</f>
        <v>63360</v>
      </c>
      <c r="G134" s="20">
        <f>G$137/3600*5280*12</f>
        <v>17.599999999999998</v>
      </c>
      <c r="H134" s="20">
        <f>H$138*6076/3600*12</f>
        <v>20.253333333333334</v>
      </c>
      <c r="I134" s="20">
        <f>I$139/8/24/14/3600*5280*12</f>
        <v>0.006547619047619047</v>
      </c>
      <c r="J134" s="20">
        <f>J$140/25.4*1000</f>
        <v>39.37007874015748</v>
      </c>
      <c r="K134" s="20">
        <f>K$141*1000*1000/25.4</f>
        <v>39370.078740157485</v>
      </c>
      <c r="L134" s="20">
        <f>L$142/3600*1000*1000/25.4</f>
        <v>10.936132983377078</v>
      </c>
      <c r="M134" s="38">
        <f>M$143*299792458*1000/25.4</f>
        <v>11802852677.165356</v>
      </c>
      <c r="N134" s="41" t="s">
        <v>254</v>
      </c>
      <c r="Q134" s="59"/>
      <c r="R134" s="59"/>
    </row>
    <row r="135" spans="1:29" ht="13.5" thickBot="1">
      <c r="A135" s="104"/>
      <c r="B135" s="15" t="s">
        <v>38</v>
      </c>
      <c r="D135" s="20">
        <f>D$134/12</f>
        <v>0.08333333333333333</v>
      </c>
      <c r="E135" s="87">
        <v>1</v>
      </c>
      <c r="F135" s="20">
        <f>F$136*5280</f>
        <v>5280</v>
      </c>
      <c r="G135" s="20">
        <f>G$137/3600*5280</f>
        <v>1.4666666666666666</v>
      </c>
      <c r="H135" s="20">
        <f>H$138*6076/3600</f>
        <v>1.6877777777777778</v>
      </c>
      <c r="I135" s="20">
        <f>I$139/8/24/14/3600*5280</f>
        <v>0.0005456349206349205</v>
      </c>
      <c r="J135" s="20">
        <f>J$140/25.4*1000/12</f>
        <v>3.2808398950131235</v>
      </c>
      <c r="K135" s="20">
        <f>K$141*1000*1000/25.4/12</f>
        <v>3280.8398950131236</v>
      </c>
      <c r="L135" s="20">
        <f>L$142/3600*1000*1000/25.4/12</f>
        <v>0.9113444152814232</v>
      </c>
      <c r="M135" s="38">
        <f>M$143*299792458*1000/25.4/12</f>
        <v>983571056.4304463</v>
      </c>
      <c r="N135" s="41" t="s">
        <v>255</v>
      </c>
      <c r="Q135" s="59"/>
      <c r="R135" s="59"/>
      <c r="S135" s="59"/>
      <c r="T135" s="59"/>
      <c r="U135" s="59"/>
      <c r="V135" s="59"/>
      <c r="W135" s="59"/>
      <c r="X135" s="59"/>
      <c r="Y135" s="59"/>
      <c r="Z135" s="59"/>
      <c r="AA135" s="59"/>
      <c r="AB135" s="59"/>
      <c r="AC135" s="59"/>
    </row>
    <row r="136" spans="1:53" s="9" customFormat="1" ht="13.5" thickTop="1">
      <c r="A136" s="104"/>
      <c r="B136" t="s">
        <v>256</v>
      </c>
      <c r="C136"/>
      <c r="D136" s="28">
        <f>D$134/12/5280</f>
        <v>1.5782828282828283E-05</v>
      </c>
      <c r="E136" s="28">
        <f>E$135/5280</f>
        <v>0.0001893939393939394</v>
      </c>
      <c r="F136" s="87">
        <v>1</v>
      </c>
      <c r="G136" s="28">
        <f>G$137/3600</f>
        <v>0.0002777777777777778</v>
      </c>
      <c r="H136" s="28">
        <f>H$138*6076/5280/3600</f>
        <v>0.0003196548821548822</v>
      </c>
      <c r="I136" s="28">
        <f>I$139/8/24/14/3600</f>
        <v>1.0333994708994708E-07</v>
      </c>
      <c r="J136" s="28">
        <f>J$140/25.4*1000/12/5280</f>
        <v>0.000621371192237334</v>
      </c>
      <c r="K136" s="28">
        <f>K$141*1000*1000/25.4/12/5280</f>
        <v>0.6213711922373341</v>
      </c>
      <c r="L136" s="28">
        <f>L$142/3600*1000*1000/25.4/12/5280</f>
        <v>0.000172603108954815</v>
      </c>
      <c r="M136" s="39">
        <f>M$143*299792458*1000/25.4/12/5280</f>
        <v>186282.39705122088</v>
      </c>
      <c r="N136" s="42" t="s">
        <v>256</v>
      </c>
      <c r="O136"/>
      <c r="P136"/>
      <c r="Q136" s="59"/>
      <c r="R136" s="59"/>
      <c r="S136" s="59"/>
      <c r="T136" s="59"/>
      <c r="U136" s="59"/>
      <c r="V136" s="59"/>
      <c r="W136" s="59"/>
      <c r="X136" s="59"/>
      <c r="Y136" s="59"/>
      <c r="Z136" s="59"/>
      <c r="AA136" s="59"/>
      <c r="AB136" s="59"/>
      <c r="AC136" s="59"/>
      <c r="AD136"/>
      <c r="AE136"/>
      <c r="AF136"/>
      <c r="AG136"/>
      <c r="AH136"/>
      <c r="AI136"/>
      <c r="AJ136"/>
      <c r="AK136"/>
      <c r="AL136"/>
      <c r="AM136"/>
      <c r="AN136"/>
      <c r="AO136"/>
      <c r="AP136"/>
      <c r="AQ136"/>
      <c r="AR136"/>
      <c r="AS136"/>
      <c r="AT136"/>
      <c r="AU136"/>
      <c r="AV136"/>
      <c r="AW136"/>
      <c r="AX136"/>
      <c r="AY136"/>
      <c r="AZ136"/>
      <c r="BA136"/>
    </row>
    <row r="137" spans="1:29" ht="12.75">
      <c r="A137" s="104"/>
      <c r="B137" t="s">
        <v>257</v>
      </c>
      <c r="D137" s="28">
        <f>D$134/12/5280*3600</f>
        <v>0.056818181818181816</v>
      </c>
      <c r="E137" s="28">
        <f>E$135/5280*3600</f>
        <v>0.6818181818181818</v>
      </c>
      <c r="F137" s="28">
        <f>F$136*3600</f>
        <v>3600</v>
      </c>
      <c r="G137" s="87">
        <v>1</v>
      </c>
      <c r="H137" s="28">
        <f>H$138*6076/5280</f>
        <v>1.1507575757575759</v>
      </c>
      <c r="I137" s="28">
        <f>I$139/8/24/14</f>
        <v>0.0003720238095238095</v>
      </c>
      <c r="J137" s="28">
        <f>J$140/25.4*1000/12/5280*3600</f>
        <v>2.2369362920544025</v>
      </c>
      <c r="K137" s="28">
        <f>K$141*1000*1000/25.4/12/5280*3600</f>
        <v>2236.9362920544027</v>
      </c>
      <c r="L137" s="28">
        <f>L$142*1000*1000/25.4/12/5280</f>
        <v>0.6213711922373341</v>
      </c>
      <c r="M137" s="39">
        <f>M$143*299792458*1000/25.4/12/5280*3600</f>
        <v>670616629.3843951</v>
      </c>
      <c r="N137" s="42" t="s">
        <v>257</v>
      </c>
      <c r="Q137" s="59"/>
      <c r="R137" s="59"/>
      <c r="S137" s="59"/>
      <c r="T137" s="59"/>
      <c r="U137" s="59"/>
      <c r="V137" s="59"/>
      <c r="W137" s="59"/>
      <c r="X137" s="59"/>
      <c r="Y137" s="59"/>
      <c r="Z137" s="59"/>
      <c r="AA137" s="59"/>
      <c r="AB137" s="59"/>
      <c r="AC137" s="59"/>
    </row>
    <row r="138" spans="1:29" ht="12.75">
      <c r="A138" s="104"/>
      <c r="B138" s="15" t="s">
        <v>283</v>
      </c>
      <c r="D138" s="20">
        <f>D$134/12/6076*3600</f>
        <v>0.04937458854509545</v>
      </c>
      <c r="E138" s="20">
        <f>E$135/6076*3600</f>
        <v>0.5924950625411455</v>
      </c>
      <c r="F138" s="20">
        <f>F$136*5280/6076*3600</f>
        <v>3128.373930217248</v>
      </c>
      <c r="G138" s="20">
        <f>G$137*5280/6076</f>
        <v>0.8689927583936801</v>
      </c>
      <c r="H138" s="87">
        <v>1</v>
      </c>
      <c r="I138" s="20">
        <f>I$139/8/24/14*5280/6076</f>
        <v>0.00032328599642622027</v>
      </c>
      <c r="J138" s="20">
        <f>J$140/25.4*1000/12/6076*3600</f>
        <v>1.943881438783286</v>
      </c>
      <c r="K138" s="20">
        <f>K$141*1000*1000/25.4/12/6076*3600</f>
        <v>1943.8814387832858</v>
      </c>
      <c r="L138" s="20">
        <f>L$142*1000*1000/25.4/12/6076</f>
        <v>0.5399670663286905</v>
      </c>
      <c r="M138" s="38">
        <f>M$143*299792458*1000/25.4/12/6076*3600</f>
        <v>582760994.5934178</v>
      </c>
      <c r="N138" s="41" t="s">
        <v>283</v>
      </c>
      <c r="Q138" s="59"/>
      <c r="R138" s="59"/>
      <c r="S138" s="59"/>
      <c r="T138" s="59"/>
      <c r="U138" s="59"/>
      <c r="V138" s="59"/>
      <c r="W138" s="59"/>
      <c r="X138" s="59"/>
      <c r="Y138" s="59"/>
      <c r="Z138" s="59"/>
      <c r="AA138" s="59"/>
      <c r="AB138" s="59"/>
      <c r="AC138" s="59"/>
    </row>
    <row r="139" spans="1:53" ht="13.5" thickBot="1">
      <c r="A139" s="103"/>
      <c r="B139" s="17" t="s">
        <v>278</v>
      </c>
      <c r="C139" s="4"/>
      <c r="D139" s="25">
        <f>D$134/12/5280*3600*8*24*14</f>
        <v>152.72727272727272</v>
      </c>
      <c r="E139" s="25">
        <f>E$135/5280*3600*8*24*14</f>
        <v>1832.7272727272727</v>
      </c>
      <c r="F139" s="25">
        <f>F$136*3600*8*24*14</f>
        <v>9676800</v>
      </c>
      <c r="G139" s="25">
        <f>G$137*8*24*14</f>
        <v>2688</v>
      </c>
      <c r="H139" s="25">
        <f>H$138*6076/5280*8*24*14</f>
        <v>3093.236363636364</v>
      </c>
      <c r="I139" s="88">
        <v>1</v>
      </c>
      <c r="J139" s="25">
        <f>J$140/25.4*1000/12/5280*3600*8*24*14</f>
        <v>6012.8847530422345</v>
      </c>
      <c r="K139" s="25">
        <f>K$141*1000*1000/25.4/12/5280*3600*8*24*14</f>
        <v>6012884.753042234</v>
      </c>
      <c r="L139" s="25">
        <f>L$142/3600*1000*1000/25.4/12/5280*3600*8*24*14</f>
        <v>1670.2457647339536</v>
      </c>
      <c r="M139" s="44">
        <f>M$143*299792458*1000/25.4/12/5280*3600*8*24*14</f>
        <v>1802617499785.2542</v>
      </c>
      <c r="N139" s="45" t="s">
        <v>278</v>
      </c>
      <c r="O139" s="36"/>
      <c r="P139" s="36"/>
      <c r="Q139" s="61"/>
      <c r="R139" s="61"/>
      <c r="S139" s="61"/>
      <c r="T139" s="61"/>
      <c r="U139" s="61"/>
      <c r="V139" s="61"/>
      <c r="W139" s="61"/>
      <c r="X139" s="61"/>
      <c r="Y139" s="61"/>
      <c r="Z139" s="61"/>
      <c r="AA139" s="61"/>
      <c r="AB139" s="61"/>
      <c r="AC139" s="61"/>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row>
    <row r="140" spans="1:26" ht="12.75">
      <c r="A140" s="92" t="s">
        <v>286</v>
      </c>
      <c r="B140" t="s">
        <v>258</v>
      </c>
      <c r="D140" s="28">
        <f>D$134*25.4/1000</f>
        <v>0.0254</v>
      </c>
      <c r="E140" s="28">
        <f>E$135*12*25.4/1000</f>
        <v>0.30479999999999996</v>
      </c>
      <c r="F140" s="28">
        <f>F$136*5280*12*25.4/1000</f>
        <v>1609.344</v>
      </c>
      <c r="G140" s="28">
        <f>G$137/3600*5280*12*25.4/1000</f>
        <v>0.4470399999999999</v>
      </c>
      <c r="H140" s="28">
        <f>H$138*6076/3600*12*25.4/1000</f>
        <v>0.5144346666666667</v>
      </c>
      <c r="I140" s="28">
        <f>I$139/8/24/14/3600*5280*12*25.4/1000</f>
        <v>0.0001663095238095238</v>
      </c>
      <c r="J140" s="87">
        <v>1</v>
      </c>
      <c r="K140" s="28">
        <f>K$141*1000</f>
        <v>1000</v>
      </c>
      <c r="L140" s="28">
        <f>L$142/3600*1000</f>
        <v>0.2777777777777778</v>
      </c>
      <c r="M140" s="39">
        <f>M$143*299792458</f>
        <v>299792458</v>
      </c>
      <c r="N140" s="42" t="s">
        <v>258</v>
      </c>
      <c r="Q140" s="59"/>
      <c r="R140" s="59"/>
      <c r="S140" s="59"/>
      <c r="T140" s="59"/>
      <c r="U140" s="59"/>
      <c r="V140" s="59"/>
      <c r="W140" s="59"/>
      <c r="X140" s="59"/>
      <c r="Y140" s="59"/>
      <c r="Z140" s="59"/>
    </row>
    <row r="141" spans="1:26" ht="12.75">
      <c r="A141" s="93"/>
      <c r="B141" t="s">
        <v>119</v>
      </c>
      <c r="D141" s="28">
        <f>D$134*25.4/1000/1000</f>
        <v>2.5399999999999997E-05</v>
      </c>
      <c r="E141" s="28">
        <f>E$135*12*25.4/1000/1000</f>
        <v>0.0003048</v>
      </c>
      <c r="F141" s="28">
        <f>F$136*5280*12*25.4/1000/1000</f>
        <v>1.609344</v>
      </c>
      <c r="G141" s="28">
        <f>G$137/3600*5280*12*25.4/1000/1000</f>
        <v>0.0004470399999999999</v>
      </c>
      <c r="H141" s="28">
        <f>H$138*6076/3600*12*25.4/1000/1000</f>
        <v>0.0005144346666666667</v>
      </c>
      <c r="I141" s="28">
        <f>I$139/8/24/14/3600*5280*12*25.4/1000/1000</f>
        <v>1.663095238095238E-07</v>
      </c>
      <c r="J141" s="28">
        <f>J$140/1000</f>
        <v>0.001</v>
      </c>
      <c r="K141" s="87">
        <v>1</v>
      </c>
      <c r="L141" s="28">
        <f>L$142/3600</f>
        <v>0.0002777777777777778</v>
      </c>
      <c r="M141" s="39">
        <f>M$143*299792458/1000</f>
        <v>299792.458</v>
      </c>
      <c r="N141" s="42" t="s">
        <v>119</v>
      </c>
      <c r="Q141" s="59"/>
      <c r="R141" s="59"/>
      <c r="S141" s="59"/>
      <c r="T141" s="59"/>
      <c r="U141" s="59"/>
      <c r="V141" s="59"/>
      <c r="W141" s="59"/>
      <c r="X141" s="59"/>
      <c r="Y141" s="59"/>
      <c r="Z141" s="59"/>
    </row>
    <row r="142" spans="1:53" ht="13.5" thickBot="1">
      <c r="A142" s="94"/>
      <c r="B142" s="17" t="s">
        <v>259</v>
      </c>
      <c r="C142" s="4"/>
      <c r="D142" s="25">
        <f>D$134*25.4/1000/1000*3600</f>
        <v>0.09144</v>
      </c>
      <c r="E142" s="25">
        <f>E$135*12*25.4/1000/1000*3600</f>
        <v>1.09728</v>
      </c>
      <c r="F142" s="25">
        <f>F$136*5280*12*25.4/1000/1000*3600</f>
        <v>5793.638400000001</v>
      </c>
      <c r="G142" s="25">
        <f>G$137*5280*12*25.4/1000/1000</f>
        <v>1.609344</v>
      </c>
      <c r="H142" s="25">
        <f>H$138*6076*12*25.4/1000/1000</f>
        <v>1.8519647999999997</v>
      </c>
      <c r="I142" s="25">
        <f>I$139/8/24/14*5280*12*25.4/1000/1000</f>
        <v>0.0005987142857142856</v>
      </c>
      <c r="J142" s="25">
        <f>J$140/1000*3600</f>
        <v>3.6</v>
      </c>
      <c r="K142" s="25">
        <f>K$141*3600</f>
        <v>3600</v>
      </c>
      <c r="L142" s="88">
        <v>1</v>
      </c>
      <c r="M142" s="44">
        <f>M$143*299792458/1000*3600</f>
        <v>1079252848.8</v>
      </c>
      <c r="N142" s="45" t="s">
        <v>259</v>
      </c>
      <c r="O142" s="36"/>
      <c r="P142" s="36"/>
      <c r="Q142" s="61"/>
      <c r="R142" s="61"/>
      <c r="S142" s="61"/>
      <c r="T142" s="61"/>
      <c r="U142" s="61"/>
      <c r="V142" s="61"/>
      <c r="W142" s="61"/>
      <c r="X142" s="61"/>
      <c r="Y142" s="61"/>
      <c r="Z142" s="61"/>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row>
    <row r="143" spans="1:53" s="9" customFormat="1" ht="14.25" thickBot="1" thickTop="1">
      <c r="A143" s="4"/>
      <c r="B143" s="17" t="s">
        <v>282</v>
      </c>
      <c r="C143" s="4"/>
      <c r="D143" s="25">
        <f>D$134*25.4/1000/299792458</f>
        <v>8.472528018033061E-11</v>
      </c>
      <c r="E143" s="25">
        <f>E$135*12*25.4/1000/299792458</f>
        <v>1.0167033621639672E-09</v>
      </c>
      <c r="F143" s="25">
        <f>F$136*5280*12*25.4/1000/299792458</f>
        <v>5.368193752225749E-06</v>
      </c>
      <c r="G143" s="25">
        <f>G$137/3600*5280*12*25.4/1000/299792458</f>
        <v>1.4911649311738186E-09</v>
      </c>
      <c r="H143" s="25">
        <f>H$138*6076/3600*12*25.4/1000/299792458</f>
        <v>1.7159693412522962E-09</v>
      </c>
      <c r="I143" s="25">
        <f>I$139/8/24/14/3600*5280*12*25.4/1000/299792458</f>
        <v>5.547488583235932E-13</v>
      </c>
      <c r="J143" s="25">
        <f>J$140/299792458</f>
        <v>3.3356409519815204E-09</v>
      </c>
      <c r="K143" s="25">
        <f>K$141*1000/299792458</f>
        <v>3.3356409519815205E-06</v>
      </c>
      <c r="L143" s="25">
        <f>L$142/3600*1000/299792458</f>
        <v>9.265669311059779E-10</v>
      </c>
      <c r="M143" s="89">
        <v>1</v>
      </c>
      <c r="N143" s="45" t="s">
        <v>282</v>
      </c>
      <c r="O143"/>
      <c r="P143"/>
      <c r="Q143" s="59"/>
      <c r="R143" s="59"/>
      <c r="S143" s="59"/>
      <c r="T143" s="59"/>
      <c r="U143" s="59"/>
      <c r="V143" s="59"/>
      <c r="W143" s="59"/>
      <c r="X143" s="59"/>
      <c r="Y143" s="59"/>
      <c r="Z143" s="59"/>
      <c r="AA143"/>
      <c r="AB143"/>
      <c r="AC143"/>
      <c r="AD143"/>
      <c r="AE143"/>
      <c r="AF143"/>
      <c r="AG143"/>
      <c r="AH143"/>
      <c r="AI143"/>
      <c r="AJ143"/>
      <c r="AK143"/>
      <c r="AL143"/>
      <c r="AM143"/>
      <c r="AN143"/>
      <c r="AO143"/>
      <c r="AP143"/>
      <c r="AQ143"/>
      <c r="AR143"/>
      <c r="AS143"/>
      <c r="AT143"/>
      <c r="AU143"/>
      <c r="AV143"/>
      <c r="AW143"/>
      <c r="AX143"/>
      <c r="AY143"/>
      <c r="AZ143"/>
      <c r="BA143"/>
    </row>
    <row r="145" ht="12.75">
      <c r="D145" t="s">
        <v>46</v>
      </c>
    </row>
    <row r="146" ht="13.5" thickBot="1"/>
    <row r="147" spans="1:53" ht="27" thickBot="1" thickTop="1">
      <c r="A147" s="9"/>
      <c r="B147" s="47" t="s">
        <v>235</v>
      </c>
      <c r="C147" s="46"/>
      <c r="D147" s="46"/>
      <c r="E147" s="48" t="s">
        <v>31</v>
      </c>
      <c r="F147" s="48" t="s">
        <v>32</v>
      </c>
      <c r="G147" s="48" t="s">
        <v>33</v>
      </c>
      <c r="H147" s="48" t="s">
        <v>34</v>
      </c>
      <c r="I147" s="48" t="s">
        <v>35</v>
      </c>
      <c r="J147" s="48" t="s">
        <v>37</v>
      </c>
      <c r="K147" s="49" t="s">
        <v>36</v>
      </c>
      <c r="L147" s="65" t="s">
        <v>235</v>
      </c>
      <c r="M147" s="72"/>
      <c r="N147" s="9"/>
      <c r="O147" s="9"/>
      <c r="P147" s="9"/>
      <c r="Q147" s="9"/>
      <c r="R147" s="11"/>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row>
    <row r="148" spans="1:13" ht="12.75">
      <c r="A148" s="95" t="s">
        <v>141</v>
      </c>
      <c r="B148" s="15" t="s">
        <v>260</v>
      </c>
      <c r="C148" s="15"/>
      <c r="D148" s="15"/>
      <c r="E148" s="87">
        <v>1</v>
      </c>
      <c r="F148" s="20">
        <f>F$149*12</f>
        <v>12</v>
      </c>
      <c r="G148" s="20">
        <f>G$150/3600*5280*12</f>
        <v>17.599999999999998</v>
      </c>
      <c r="H148" s="20">
        <f>H$151*1000/25.4</f>
        <v>39.37007874015748</v>
      </c>
      <c r="I148" s="20">
        <f>I$152*1000*1000/25.4</f>
        <v>39370.078740157485</v>
      </c>
      <c r="J148" s="20">
        <f>J$153/3600*1000*1000/25.4</f>
        <v>10.936132983377078</v>
      </c>
      <c r="K148" s="38">
        <f>K$154*9.80665*1000/25.4</f>
        <v>386.08858267716533</v>
      </c>
      <c r="L148" s="67" t="s">
        <v>260</v>
      </c>
      <c r="M148" s="62"/>
    </row>
    <row r="149" spans="1:53" s="36" customFormat="1" ht="12.75">
      <c r="A149" s="96"/>
      <c r="B149" s="15" t="s">
        <v>261</v>
      </c>
      <c r="C149" s="15"/>
      <c r="D149" s="15"/>
      <c r="E149" s="20">
        <f>E$148/12</f>
        <v>0.08333333333333333</v>
      </c>
      <c r="F149" s="87">
        <v>1</v>
      </c>
      <c r="G149" s="20">
        <f>G$150/3600*5280</f>
        <v>1.4666666666666666</v>
      </c>
      <c r="H149" s="20">
        <f>H$151*1000/25.4/12</f>
        <v>3.2808398950131235</v>
      </c>
      <c r="I149" s="20">
        <f>I$152*1000*1000/25.4/12</f>
        <v>3280.8398950131236</v>
      </c>
      <c r="J149" s="20">
        <f>J$153/3600*1000*1000/25.4/12</f>
        <v>0.9113444152814232</v>
      </c>
      <c r="K149" s="38">
        <f>K$154*9.80665*1000/25.4/12</f>
        <v>32.17404855643044</v>
      </c>
      <c r="L149" s="67" t="s">
        <v>261</v>
      </c>
      <c r="M149" s="62"/>
      <c r="N149"/>
      <c r="O149"/>
      <c r="P149"/>
      <c r="Q149" s="59"/>
      <c r="R149" s="59"/>
      <c r="S149" s="59"/>
      <c r="T149" s="59"/>
      <c r="U149" s="59"/>
      <c r="V149" s="59"/>
      <c r="W149" s="59"/>
      <c r="X149" s="59"/>
      <c r="Y149" s="59"/>
      <c r="Z149"/>
      <c r="AA149"/>
      <c r="AB149"/>
      <c r="AC149"/>
      <c r="AD149"/>
      <c r="AE149"/>
      <c r="AF149"/>
      <c r="AG149"/>
      <c r="AH149"/>
      <c r="AI149"/>
      <c r="AJ149"/>
      <c r="AK149"/>
      <c r="AL149"/>
      <c r="AM149"/>
      <c r="AN149"/>
      <c r="AO149"/>
      <c r="AP149"/>
      <c r="AQ149"/>
      <c r="AR149"/>
      <c r="AS149"/>
      <c r="AT149"/>
      <c r="AU149"/>
      <c r="AV149"/>
      <c r="AW149"/>
      <c r="AX149"/>
      <c r="AY149"/>
      <c r="AZ149"/>
      <c r="BA149"/>
    </row>
    <row r="150" spans="1:25" ht="13.5" thickBot="1">
      <c r="A150" s="97"/>
      <c r="B150" s="4" t="s">
        <v>262</v>
      </c>
      <c r="C150" s="4"/>
      <c r="D150" s="4"/>
      <c r="E150" s="35">
        <f>E$148/12/5280*3600</f>
        <v>0.056818181818181816</v>
      </c>
      <c r="F150" s="35">
        <f>F$149/5280*3600</f>
        <v>0.6818181818181818</v>
      </c>
      <c r="G150" s="88">
        <v>1</v>
      </c>
      <c r="H150" s="35">
        <f>H$151*1000/25.4/12/5280*3600</f>
        <v>2.2369362920544025</v>
      </c>
      <c r="I150" s="35">
        <f>I$152*1000*1000/25.4/12/5280*3600</f>
        <v>2236.9362920544027</v>
      </c>
      <c r="J150" s="35">
        <f>J$153*1000*1000/25.4/12/5280</f>
        <v>0.6213711922373341</v>
      </c>
      <c r="K150" s="66">
        <f>K$154*9.80665*1000/25.4/12/5280*3600</f>
        <v>21.936851288475303</v>
      </c>
      <c r="L150" s="69" t="s">
        <v>262</v>
      </c>
      <c r="M150" s="70"/>
      <c r="R150" s="59"/>
      <c r="S150" s="59"/>
      <c r="T150" s="59"/>
      <c r="U150" s="59"/>
      <c r="V150" s="59"/>
      <c r="W150" s="59"/>
      <c r="X150" s="59"/>
      <c r="Y150" s="59"/>
    </row>
    <row r="151" spans="1:25" ht="12.75">
      <c r="A151" s="92" t="s">
        <v>286</v>
      </c>
      <c r="B151" t="s">
        <v>263</v>
      </c>
      <c r="E151" s="28">
        <f>E$148*25.4/1000</f>
        <v>0.0254</v>
      </c>
      <c r="F151" s="28">
        <f>F$149*12*25.4/1000</f>
        <v>0.30479999999999996</v>
      </c>
      <c r="G151" s="28">
        <f>G$150/3600*5280*12*25.4/1000</f>
        <v>0.4470399999999999</v>
      </c>
      <c r="H151" s="87">
        <v>1</v>
      </c>
      <c r="I151" s="28">
        <f>I$152*1000</f>
        <v>1000</v>
      </c>
      <c r="J151" s="28">
        <f>J$153/3600*1000</f>
        <v>0.2777777777777778</v>
      </c>
      <c r="K151" s="39">
        <f>K$154*9.80665</f>
        <v>9.80665</v>
      </c>
      <c r="L151" s="68" t="s">
        <v>263</v>
      </c>
      <c r="M151" s="62"/>
      <c r="R151" s="59"/>
      <c r="S151" s="59"/>
      <c r="T151" s="59"/>
      <c r="U151" s="59"/>
      <c r="V151" s="59"/>
      <c r="W151" s="59"/>
      <c r="X151" s="59"/>
      <c r="Y151" s="59"/>
    </row>
    <row r="152" spans="1:53" s="36" customFormat="1" ht="12.75">
      <c r="A152" s="93"/>
      <c r="B152" s="15" t="s">
        <v>264</v>
      </c>
      <c r="C152" s="15"/>
      <c r="D152" s="15"/>
      <c r="E152" s="20">
        <f>E$148*25.4/1000/1000</f>
        <v>2.5399999999999997E-05</v>
      </c>
      <c r="F152" s="20">
        <f>F$149*12*25.4/1000/1000</f>
        <v>0.0003048</v>
      </c>
      <c r="G152" s="20">
        <f>G$150/3600*5280*12*25.4/1000/1000</f>
        <v>0.0004470399999999999</v>
      </c>
      <c r="H152" s="20">
        <f>H$151/1000</f>
        <v>0.001</v>
      </c>
      <c r="I152" s="87">
        <v>1</v>
      </c>
      <c r="J152" s="20">
        <f>J$153/3600</f>
        <v>0.0002777777777777778</v>
      </c>
      <c r="K152" s="38">
        <f>K$154*9.80665/1000</f>
        <v>0.00980665</v>
      </c>
      <c r="L152" s="67" t="s">
        <v>264</v>
      </c>
      <c r="M152" s="62"/>
      <c r="N152"/>
      <c r="O152"/>
      <c r="P152"/>
      <c r="Q152"/>
      <c r="R152" s="59"/>
      <c r="S152" s="59"/>
      <c r="T152" s="59"/>
      <c r="U152" s="59"/>
      <c r="V152" s="59"/>
      <c r="W152" s="59"/>
      <c r="X152" s="59"/>
      <c r="Y152" s="59"/>
      <c r="Z152"/>
      <c r="AA152"/>
      <c r="AB152"/>
      <c r="AC152"/>
      <c r="AD152"/>
      <c r="AE152"/>
      <c r="AF152"/>
      <c r="AG152"/>
      <c r="AH152"/>
      <c r="AI152"/>
      <c r="AJ152"/>
      <c r="AK152"/>
      <c r="AL152"/>
      <c r="AM152"/>
      <c r="AN152"/>
      <c r="AO152"/>
      <c r="AP152"/>
      <c r="AQ152"/>
      <c r="AR152"/>
      <c r="AS152"/>
      <c r="AT152"/>
      <c r="AU152"/>
      <c r="AV152"/>
      <c r="AW152"/>
      <c r="AX152"/>
      <c r="AY152"/>
      <c r="AZ152"/>
      <c r="BA152"/>
    </row>
    <row r="153" spans="1:25" ht="13.5" thickBot="1">
      <c r="A153" s="94"/>
      <c r="B153" s="17" t="s">
        <v>265</v>
      </c>
      <c r="C153" s="17"/>
      <c r="D153" s="17"/>
      <c r="E153" s="25">
        <f>E$148*25.4/1000/1000*3600</f>
        <v>0.09144</v>
      </c>
      <c r="F153" s="25">
        <f>F$149*12*25.4/1000/1000*3600</f>
        <v>1.09728</v>
      </c>
      <c r="G153" s="25">
        <f>G$150*5280*12*25.4/1000/1000</f>
        <v>1.609344</v>
      </c>
      <c r="H153" s="25">
        <f>H$151/1000*3600</f>
        <v>3.6</v>
      </c>
      <c r="I153" s="25">
        <f>I$152*3600</f>
        <v>3600</v>
      </c>
      <c r="J153" s="88">
        <v>1</v>
      </c>
      <c r="K153" s="44">
        <f>K$154*9.80665/1000*3600</f>
        <v>35.30394</v>
      </c>
      <c r="L153" s="71" t="s">
        <v>265</v>
      </c>
      <c r="M153" s="70"/>
      <c r="R153" s="59"/>
      <c r="S153" s="59"/>
      <c r="T153" s="59"/>
      <c r="U153" s="59"/>
      <c r="V153" s="59"/>
      <c r="W153" s="59"/>
      <c r="X153" s="59"/>
      <c r="Y153" s="59"/>
    </row>
    <row r="154" spans="1:25" ht="13.5" thickBot="1">
      <c r="A154" s="4"/>
      <c r="B154" s="4" t="s">
        <v>266</v>
      </c>
      <c r="C154" s="4"/>
      <c r="D154" s="4"/>
      <c r="E154" s="35">
        <f>E$148*25.4/1000/9.80665</f>
        <v>0.0025900791809639378</v>
      </c>
      <c r="F154" s="35">
        <f>F$149*12*25.4/1000/9.80665</f>
        <v>0.03108095017156725</v>
      </c>
      <c r="G154" s="35">
        <f>G$150/3600*5280*12*25.4/1000/9.80665</f>
        <v>0.04558539358496529</v>
      </c>
      <c r="H154" s="35">
        <f>H$151/9.80665</f>
        <v>0.10197162129779283</v>
      </c>
      <c r="I154" s="35">
        <f>I$152*1000/9.80665</f>
        <v>101.97162129779284</v>
      </c>
      <c r="J154" s="35">
        <f>J$153/3600*1000/9.80665</f>
        <v>0.02832545036049801</v>
      </c>
      <c r="K154" s="89">
        <v>1</v>
      </c>
      <c r="L154" s="69" t="s">
        <v>266</v>
      </c>
      <c r="M154" s="70"/>
      <c r="R154" s="59"/>
      <c r="S154" s="59"/>
      <c r="T154" s="59"/>
      <c r="U154" s="59"/>
      <c r="V154" s="59"/>
      <c r="W154" s="59"/>
      <c r="X154" s="59"/>
      <c r="Y154" s="59"/>
    </row>
    <row r="156" ht="13.5" thickBot="1">
      <c r="D156" t="s">
        <v>46</v>
      </c>
    </row>
    <row r="157" spans="1:53" s="9" customFormat="1" ht="14.25" thickBot="1" thickTop="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row>
    <row r="158" spans="1:53" ht="27" thickBot="1" thickTop="1">
      <c r="A158" s="46"/>
      <c r="B158" s="47" t="s">
        <v>236</v>
      </c>
      <c r="C158" s="46"/>
      <c r="D158" s="48" t="s">
        <v>95</v>
      </c>
      <c r="E158" s="48" t="s">
        <v>96</v>
      </c>
      <c r="F158" s="48" t="s">
        <v>97</v>
      </c>
      <c r="G158" s="48" t="s">
        <v>98</v>
      </c>
      <c r="H158" s="48" t="s">
        <v>99</v>
      </c>
      <c r="I158" s="48" t="s">
        <v>100</v>
      </c>
      <c r="J158" s="48" t="s">
        <v>101</v>
      </c>
      <c r="K158" s="48" t="s">
        <v>102</v>
      </c>
      <c r="L158" s="48" t="s">
        <v>103</v>
      </c>
      <c r="M158" s="48" t="s">
        <v>104</v>
      </c>
      <c r="N158" s="48" t="s">
        <v>105</v>
      </c>
      <c r="O158" s="48" t="s">
        <v>108</v>
      </c>
      <c r="P158" s="48" t="s">
        <v>106</v>
      </c>
      <c r="Q158" s="49" t="s">
        <v>107</v>
      </c>
      <c r="R158" s="50" t="s">
        <v>236</v>
      </c>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row>
    <row r="159" spans="2:18" ht="12.75">
      <c r="B159" s="1" t="s">
        <v>109</v>
      </c>
      <c r="C159" s="1"/>
      <c r="D159" s="87">
        <v>1</v>
      </c>
      <c r="E159" s="75">
        <f>E$160*1000</f>
        <v>1000</v>
      </c>
      <c r="F159" s="75">
        <f>F$161*1000*1000</f>
        <v>1000000</v>
      </c>
      <c r="G159" s="75">
        <f>G$162*1000*1000*1000</f>
        <v>1000000000</v>
      </c>
      <c r="H159" s="23">
        <f>H$163*1000*1000*1000*1000</f>
        <v>1000000000000</v>
      </c>
      <c r="I159" s="23">
        <f>I$164*60*1000*1000*1000*1000</f>
        <v>60000000000000</v>
      </c>
      <c r="J159" s="23">
        <f>J$165*60*60*1000*1000*1000*1000</f>
        <v>3600000000000000</v>
      </c>
      <c r="K159" s="23">
        <f>K$166*24*60*60*1000*1000*1000*1000</f>
        <v>86400000000000000</v>
      </c>
      <c r="L159" s="23">
        <f>L$167*7*24*60*60*1000*1000*1000*1000</f>
        <v>6.048E+17</v>
      </c>
      <c r="M159" s="23">
        <f>M$168*14*24*60*60*1000*1000*1000*1000</f>
        <v>1.2096E+18</v>
      </c>
      <c r="N159" s="23">
        <f>N$169/12*365*24*60*60*1000*1000*1000*1000</f>
        <v>2.628E+18</v>
      </c>
      <c r="O159" s="23">
        <f>O$170*365*24*60*60*1000*1000*1000*1000</f>
        <v>3.1536E+19</v>
      </c>
      <c r="P159" s="23">
        <f>P$171*366*24*60*60*1000*1000*1000*1000</f>
        <v>3.16224E+19</v>
      </c>
      <c r="Q159" s="51">
        <f>Q$172*(365+5/24+48/60/24+46/60/60/24)*24*60*60*1000*1000*1000*1000</f>
        <v>3.1556926000000004E+19</v>
      </c>
      <c r="R159" s="83" t="s">
        <v>109</v>
      </c>
    </row>
    <row r="160" spans="2:18" ht="12.75">
      <c r="B160" s="1" t="s">
        <v>110</v>
      </c>
      <c r="C160" s="1"/>
      <c r="D160" s="23">
        <f>D$159/1000</f>
        <v>0.001</v>
      </c>
      <c r="E160" s="87">
        <v>1</v>
      </c>
      <c r="F160" s="75">
        <f>F$161*1000</f>
        <v>1000</v>
      </c>
      <c r="G160" s="75">
        <f>G$162*1000*1000</f>
        <v>1000000</v>
      </c>
      <c r="H160" s="75">
        <f>H$163*1000*1000*1000</f>
        <v>1000000000</v>
      </c>
      <c r="I160" s="75">
        <f>I$164*60*1000*1000*1000</f>
        <v>60000000000</v>
      </c>
      <c r="J160" s="23">
        <f>J$165*60*60*1000*1000*1000</f>
        <v>3600000000000</v>
      </c>
      <c r="K160" s="23">
        <f>K$166*24*60*60*1000*1000*1000</f>
        <v>86400000000000</v>
      </c>
      <c r="L160" s="23">
        <f>L$167*7*24*60*60*1000*1000*1000</f>
        <v>604800000000000</v>
      </c>
      <c r="M160" s="23">
        <f>M$168*14*24*60*60*1000*1000*1000</f>
        <v>1209600000000000</v>
      </c>
      <c r="N160" s="23">
        <f>N$169/12*365*24*60*60*1000*1000*1000</f>
        <v>2628000000000000</v>
      </c>
      <c r="O160" s="23">
        <f>O$170*365*24*60*60*1000*1000*1000</f>
        <v>31536000000000000</v>
      </c>
      <c r="P160" s="23">
        <f>P$171*366*24*60*60*1000*1000*1000</f>
        <v>31622400000000000</v>
      </c>
      <c r="Q160" s="51">
        <f>Q$172*(365+5/24+48/60/24+46/60/60/24)*24*60*60*1000*1000*1000</f>
        <v>31556926000000004</v>
      </c>
      <c r="R160" s="83" t="s">
        <v>110</v>
      </c>
    </row>
    <row r="161" spans="2:18" ht="12.75">
      <c r="B161" s="18" t="s">
        <v>111</v>
      </c>
      <c r="C161" s="1"/>
      <c r="D161" s="20">
        <f>D$159/1000/1000</f>
        <v>1E-06</v>
      </c>
      <c r="E161" s="20">
        <f>E$160/1000</f>
        <v>0.001</v>
      </c>
      <c r="F161" s="87">
        <v>1</v>
      </c>
      <c r="G161" s="76">
        <f>G$162*1000</f>
        <v>1000</v>
      </c>
      <c r="H161" s="76">
        <f>H$163*1000*1000</f>
        <v>1000000</v>
      </c>
      <c r="I161" s="76">
        <f>I$164*60*1000*1000</f>
        <v>60000000</v>
      </c>
      <c r="J161" s="76">
        <f>J$165*60*60*1000*1000</f>
        <v>3600000000</v>
      </c>
      <c r="K161" s="76">
        <f>K$166*24*60*60*1000*1000</f>
        <v>86400000000</v>
      </c>
      <c r="L161" s="20">
        <f>L$167*7*24*60*60*1000*1000</f>
        <v>604800000000</v>
      </c>
      <c r="M161" s="20">
        <f>M$168*14*24*60*60*1000*1000</f>
        <v>1209600000000</v>
      </c>
      <c r="N161" s="20">
        <f>N$169/12*365*24*60*60*1000*1000</f>
        <v>2628000000000</v>
      </c>
      <c r="O161" s="20">
        <f>O$170*365*24*60*60*1000*1000</f>
        <v>31536000000000</v>
      </c>
      <c r="P161" s="20">
        <f>P$171*366*24*60*60*1000*1000</f>
        <v>31622400000000</v>
      </c>
      <c r="Q161" s="38">
        <f>Q$172*(365+5/24+48/60/24+46/60/60/24)*24*60*60*1000*1000</f>
        <v>31556926000000.004</v>
      </c>
      <c r="R161" s="84" t="s">
        <v>111</v>
      </c>
    </row>
    <row r="162" spans="1:53" ht="13.5" thickBot="1">
      <c r="A162" s="36"/>
      <c r="B162" s="73" t="s">
        <v>112</v>
      </c>
      <c r="C162" s="74"/>
      <c r="D162" s="20">
        <f>D$159/1000/1000/1000</f>
        <v>9.999999999999999E-10</v>
      </c>
      <c r="E162" s="20">
        <f>E$160/1000/1000</f>
        <v>1E-06</v>
      </c>
      <c r="F162" s="20">
        <f>F$161/1000</f>
        <v>0.001</v>
      </c>
      <c r="G162" s="87">
        <v>1</v>
      </c>
      <c r="H162" s="76">
        <f>H$163*1000</f>
        <v>1000</v>
      </c>
      <c r="I162" s="76">
        <f>I$164*60*1000</f>
        <v>60000</v>
      </c>
      <c r="J162" s="76">
        <f>J$165*60*60*1000</f>
        <v>3600000</v>
      </c>
      <c r="K162" s="76">
        <f>K$166*24*60*60*1000</f>
        <v>86400000</v>
      </c>
      <c r="L162" s="20">
        <f>L$167*7*24*60*60*1000</f>
        <v>604800000</v>
      </c>
      <c r="M162" s="76">
        <f>M$168*14*24*60*60*1000</f>
        <v>1209600000</v>
      </c>
      <c r="N162" s="20">
        <f>N$169/12*365*24*60*60*1000</f>
        <v>2628000000</v>
      </c>
      <c r="O162" s="76">
        <f>O$170*365*24*60*60*1000</f>
        <v>31536000000</v>
      </c>
      <c r="P162" s="76">
        <f>P$171*366*24*60*60*1000</f>
        <v>31622400000</v>
      </c>
      <c r="Q162" s="80">
        <f>Q$172*(365+5/24+48/60/24+46/60/60/24)*24*60*60*1000</f>
        <v>31556926000.000004</v>
      </c>
      <c r="R162" s="84" t="s">
        <v>112</v>
      </c>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row>
    <row r="163" spans="1:53" ht="13.5" thickBot="1">
      <c r="A163" s="3"/>
      <c r="B163" s="3" t="s">
        <v>268</v>
      </c>
      <c r="C163" s="3"/>
      <c r="D163" s="77">
        <f>D$159/1000/1000/1000/1000</f>
        <v>9.999999999999998E-13</v>
      </c>
      <c r="E163" s="77">
        <f>E$160/1000/1000/1000</f>
        <v>9.999999999999999E-10</v>
      </c>
      <c r="F163" s="77">
        <f>F$161/1000/1000</f>
        <v>1E-06</v>
      </c>
      <c r="G163" s="77">
        <f>G$162/1000</f>
        <v>0.001</v>
      </c>
      <c r="H163" s="91">
        <v>1</v>
      </c>
      <c r="I163" s="78">
        <f>I$164*60</f>
        <v>60</v>
      </c>
      <c r="J163" s="78">
        <f>J$165*60*60</f>
        <v>3600</v>
      </c>
      <c r="K163" s="78">
        <f>K$166*24*60*60</f>
        <v>86400</v>
      </c>
      <c r="L163" s="77">
        <f>L$167*7*24*60*60</f>
        <v>604800</v>
      </c>
      <c r="M163" s="78">
        <f>M$168*14*24*60*60</f>
        <v>1209600</v>
      </c>
      <c r="N163" s="77">
        <f>N$169/12*365*24*60*60</f>
        <v>2628000</v>
      </c>
      <c r="O163" s="78">
        <f>O$170*365*24*60*60</f>
        <v>31536000</v>
      </c>
      <c r="P163" s="78">
        <f>P$171*366*24*60*60</f>
        <v>31622400</v>
      </c>
      <c r="Q163" s="81">
        <f>Q$172*(365+5/24+48/60/24+46/60/60/24)*24*60*60</f>
        <v>31556926.000000004</v>
      </c>
      <c r="R163" s="85" t="s">
        <v>268</v>
      </c>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row>
    <row r="164" spans="2:18" ht="12.75">
      <c r="B164" t="s">
        <v>269</v>
      </c>
      <c r="D164" s="23">
        <f>D$159/1000/1000/1000/1000/60</f>
        <v>1.6666666666666664E-14</v>
      </c>
      <c r="E164" s="23">
        <f>E$160/1000/1000/1000/60</f>
        <v>1.6666666666666664E-11</v>
      </c>
      <c r="F164" s="23">
        <f>F$161/1000/1000/60</f>
        <v>1.6666666666666667E-08</v>
      </c>
      <c r="G164" s="23">
        <f>G$162/1000/60</f>
        <v>1.6666666666666667E-05</v>
      </c>
      <c r="H164" s="23">
        <f>H$163/60</f>
        <v>0.016666666666666666</v>
      </c>
      <c r="I164" s="87">
        <v>1</v>
      </c>
      <c r="J164" s="75">
        <f>J$165*60</f>
        <v>60</v>
      </c>
      <c r="K164" s="75">
        <f>K$166*24*60</f>
        <v>1440</v>
      </c>
      <c r="L164" s="23">
        <f>L$167*7*24*60</f>
        <v>10080</v>
      </c>
      <c r="M164" s="75">
        <f>M$168*14*24*60</f>
        <v>20160</v>
      </c>
      <c r="N164" s="23">
        <f>N$169/12*365*24*60</f>
        <v>43800</v>
      </c>
      <c r="O164" s="75">
        <f>O$170*365*24*60</f>
        <v>525600</v>
      </c>
      <c r="P164" s="75">
        <f>P$171*366*24*60</f>
        <v>527040</v>
      </c>
      <c r="Q164" s="82">
        <f>Q$172*(365+5/24+48/60/24+46/60/60/24)*24*60</f>
        <v>525948.7666666667</v>
      </c>
      <c r="R164" s="42" t="s">
        <v>269</v>
      </c>
    </row>
    <row r="165" spans="2:18" ht="12.75">
      <c r="B165" s="15" t="s">
        <v>270</v>
      </c>
      <c r="D165" s="20">
        <f>D$159/1000/1000/1000/1000/60/60</f>
        <v>2.7777777777777775E-16</v>
      </c>
      <c r="E165" s="20">
        <f>E$160/1000/1000/1000/60/60</f>
        <v>2.7777777777777774E-13</v>
      </c>
      <c r="F165" s="20">
        <f>F$161/1000/1000/60/60</f>
        <v>2.7777777777777777E-10</v>
      </c>
      <c r="G165" s="20">
        <f>G$162/1000/60/60</f>
        <v>2.777777777777778E-07</v>
      </c>
      <c r="H165" s="20">
        <f>H$163/60/60</f>
        <v>0.0002777777777777778</v>
      </c>
      <c r="I165" s="20">
        <f>I$164/60</f>
        <v>0.016666666666666666</v>
      </c>
      <c r="J165" s="87">
        <v>1</v>
      </c>
      <c r="K165" s="20">
        <f>K$166*24</f>
        <v>24</v>
      </c>
      <c r="L165" s="20">
        <f>L$167*7*24</f>
        <v>168</v>
      </c>
      <c r="M165" s="20">
        <f>M$168*14*24</f>
        <v>336</v>
      </c>
      <c r="N165" s="20">
        <f>N$169/12*365*24</f>
        <v>730</v>
      </c>
      <c r="O165" s="20">
        <f>O$170*365*24</f>
        <v>8760</v>
      </c>
      <c r="P165" s="20">
        <f>P$171*366*24</f>
        <v>8784</v>
      </c>
      <c r="Q165" s="38">
        <f>Q$172*(365+5/24+48/60/24+46/60/60/24)*24</f>
        <v>8765.812777777779</v>
      </c>
      <c r="R165" s="42" t="s">
        <v>270</v>
      </c>
    </row>
    <row r="166" spans="2:18" ht="12.75">
      <c r="B166" s="15" t="s">
        <v>271</v>
      </c>
      <c r="D166" s="20">
        <f>D$159/1000/1000/1000/1000/60/60/24</f>
        <v>1.1574074074074072E-17</v>
      </c>
      <c r="E166" s="20">
        <f>E$160/1000/1000/1000/60/60/24</f>
        <v>1.1574074074074072E-14</v>
      </c>
      <c r="F166" s="20">
        <f>F$161/1000/1000/60/60/24</f>
        <v>1.1574074074074074E-11</v>
      </c>
      <c r="G166" s="20">
        <f>G$162/1000/60/60/24</f>
        <v>1.1574074074074076E-08</v>
      </c>
      <c r="H166" s="20">
        <f>H$163/60/60/24</f>
        <v>1.1574074074074073E-05</v>
      </c>
      <c r="I166" s="20">
        <f>I$164/60/24</f>
        <v>0.0006944444444444445</v>
      </c>
      <c r="J166" s="20">
        <f>J$165/24</f>
        <v>0.041666666666666664</v>
      </c>
      <c r="K166" s="87">
        <v>1</v>
      </c>
      <c r="L166" s="20">
        <f>L$167*7</f>
        <v>7</v>
      </c>
      <c r="M166" s="20">
        <f>M$168*14</f>
        <v>14</v>
      </c>
      <c r="N166" s="20">
        <f>N$169/12*365</f>
        <v>30.416666666666664</v>
      </c>
      <c r="O166" s="20">
        <f>O$170*365</f>
        <v>365</v>
      </c>
      <c r="P166" s="20">
        <f>P$171*366</f>
        <v>366</v>
      </c>
      <c r="Q166" s="38">
        <f>Q$172*(365+5/24+48/60/24+46/60/60/24)</f>
        <v>365.2421990740741</v>
      </c>
      <c r="R166" s="42" t="s">
        <v>271</v>
      </c>
    </row>
    <row r="167" spans="2:18" ht="13.5" thickBot="1">
      <c r="B167" t="s">
        <v>138</v>
      </c>
      <c r="D167" s="23">
        <f>D$159/1000/1000/1000/1000/60/60/24/7</f>
        <v>1.6534391534391532E-18</v>
      </c>
      <c r="E167" s="23">
        <f>E$160/1000/1000/1000/60/60/24/7</f>
        <v>1.6534391534391532E-15</v>
      </c>
      <c r="F167" s="23">
        <f>F$161/1000/1000/60/60/24/7</f>
        <v>1.6534391534391534E-12</v>
      </c>
      <c r="G167" s="23">
        <f>G$162/1000/60/60/24/7</f>
        <v>1.6534391534391537E-09</v>
      </c>
      <c r="H167" s="23">
        <f>H$163/60/60/24/7</f>
        <v>1.6534391534391533E-06</v>
      </c>
      <c r="I167" s="23">
        <f>I$164/60/24/7</f>
        <v>9.92063492063492E-05</v>
      </c>
      <c r="J167" s="23">
        <f>J$165/24/7</f>
        <v>0.005952380952380952</v>
      </c>
      <c r="K167" s="23">
        <f>K$166/7</f>
        <v>0.14285714285714285</v>
      </c>
      <c r="L167" s="87">
        <v>1</v>
      </c>
      <c r="M167" s="23">
        <f>M$168*2</f>
        <v>2</v>
      </c>
      <c r="N167" s="23">
        <f>N$169/12*365/7</f>
        <v>4.345238095238095</v>
      </c>
      <c r="O167" s="23">
        <f>O$170*365/7</f>
        <v>52.142857142857146</v>
      </c>
      <c r="P167" s="23">
        <f>P$171*366/7</f>
        <v>52.285714285714285</v>
      </c>
      <c r="Q167" s="51">
        <f>Q$172*(365+5/24+48/60/24+46/60/60/24)/7</f>
        <v>52.17745701058202</v>
      </c>
      <c r="R167" s="42" t="s">
        <v>138</v>
      </c>
    </row>
    <row r="168" spans="1:53" s="9" customFormat="1" ht="13.5" thickTop="1">
      <c r="A168"/>
      <c r="B168" t="s">
        <v>277</v>
      </c>
      <c r="C168"/>
      <c r="D168" s="23">
        <f>D$159/1000/1000/1000/1000/60/60/24/14</f>
        <v>8.267195767195766E-19</v>
      </c>
      <c r="E168" s="23">
        <f>E$160/1000/1000/1000/60/60/24/14</f>
        <v>8.267195767195766E-16</v>
      </c>
      <c r="F168" s="23">
        <f>F$161/1000/1000/60/60/24/14</f>
        <v>8.267195767195767E-13</v>
      </c>
      <c r="G168" s="23">
        <f>G$162/1000/60/60/24/14</f>
        <v>8.267195767195769E-10</v>
      </c>
      <c r="H168" s="23">
        <f>H$163/60/60/24/14</f>
        <v>8.267195767195766E-07</v>
      </c>
      <c r="I168" s="23">
        <f>I$164/60/24/14</f>
        <v>4.96031746031746E-05</v>
      </c>
      <c r="J168" s="23">
        <f>J$165/24/14</f>
        <v>0.002976190476190476</v>
      </c>
      <c r="K168" s="23">
        <f>K$166/14</f>
        <v>0.07142857142857142</v>
      </c>
      <c r="L168" s="23">
        <f>L$167/2</f>
        <v>0.5</v>
      </c>
      <c r="M168" s="87">
        <v>1</v>
      </c>
      <c r="N168" s="23">
        <f>N$169/12*365/14</f>
        <v>2.1726190476190474</v>
      </c>
      <c r="O168" s="23">
        <f>O$170*365/14</f>
        <v>26.071428571428573</v>
      </c>
      <c r="P168" s="23">
        <f>P$171*366/14</f>
        <v>26.142857142857142</v>
      </c>
      <c r="Q168" s="51">
        <f>Q$172*(365+5/24+48/60/24+46/60/60/24)/14</f>
        <v>26.08872850529101</v>
      </c>
      <c r="R168" s="42" t="s">
        <v>277</v>
      </c>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row>
    <row r="169" spans="2:18" ht="12.75">
      <c r="B169" s="15" t="s">
        <v>139</v>
      </c>
      <c r="D169" s="79">
        <f>D$159/1000/1000/1000/1000/60/60/24/365*12</f>
        <v>3.8051750380517496E-19</v>
      </c>
      <c r="E169" s="20">
        <f>E$160/1000/1000/1000/60/60/24/365*12</f>
        <v>3.80517503805175E-16</v>
      </c>
      <c r="F169" s="20">
        <f>F$161/1000/1000/60/60/24/365*12</f>
        <v>3.80517503805175E-13</v>
      </c>
      <c r="G169" s="20">
        <f>G$162/1000/60/60/24/365*12</f>
        <v>3.8051750380517513E-10</v>
      </c>
      <c r="H169" s="20">
        <f>H$163/60/60/24/365*12</f>
        <v>3.8051750380517503E-07</v>
      </c>
      <c r="I169" s="20">
        <f>I$164/60/24/365*12</f>
        <v>2.2831050228310503E-05</v>
      </c>
      <c r="J169" s="20">
        <f>J$165/24/365*12</f>
        <v>0.0013698630136986301</v>
      </c>
      <c r="K169" s="20">
        <f>K$166/365*12</f>
        <v>0.03287671232876713</v>
      </c>
      <c r="L169" s="20">
        <f>L$167*7/365*12</f>
        <v>0.23013698630136986</v>
      </c>
      <c r="M169" s="20">
        <f>M$168*14/365*12</f>
        <v>0.4602739726027397</v>
      </c>
      <c r="N169" s="87">
        <v>1</v>
      </c>
      <c r="O169" s="20">
        <f>O$170*12</f>
        <v>12</v>
      </c>
      <c r="P169" s="20">
        <f>P$171*12</f>
        <v>12</v>
      </c>
      <c r="Q169" s="38">
        <f>Q$172*12</f>
        <v>12</v>
      </c>
      <c r="R169" s="42" t="s">
        <v>140</v>
      </c>
    </row>
    <row r="170" spans="2:18" ht="12.75">
      <c r="B170" s="15" t="s">
        <v>275</v>
      </c>
      <c r="D170" s="20">
        <f>D$159/1000/1000/1000/1000/60/60/24/365</f>
        <v>3.170979198376458E-20</v>
      </c>
      <c r="E170" s="20">
        <f>E$160/1000/1000/1000/60/60/24/365</f>
        <v>3.170979198376458E-17</v>
      </c>
      <c r="F170" s="20">
        <f>F$161/1000/1000/60/60/24/365</f>
        <v>3.1709791983764584E-14</v>
      </c>
      <c r="G170" s="20">
        <f>G$162/1000/60/60/24/365</f>
        <v>3.170979198376459E-11</v>
      </c>
      <c r="H170" s="20">
        <f>H$163/60/60/24/365</f>
        <v>3.1709791983764586E-08</v>
      </c>
      <c r="I170" s="20">
        <f>I$164/60/24/365</f>
        <v>1.9025875190258753E-06</v>
      </c>
      <c r="J170" s="20">
        <f>J$165/24/365</f>
        <v>0.00011415525114155251</v>
      </c>
      <c r="K170" s="20">
        <f>K$166/365</f>
        <v>0.0027397260273972603</v>
      </c>
      <c r="L170" s="20">
        <f>L$167/365</f>
        <v>0.0027397260273972603</v>
      </c>
      <c r="M170" s="20">
        <f>M$168*14/365</f>
        <v>0.038356164383561646</v>
      </c>
      <c r="N170" s="20">
        <f>N$169/12</f>
        <v>0.08333333333333333</v>
      </c>
      <c r="O170" s="87">
        <v>1</v>
      </c>
      <c r="P170" s="20">
        <f>P$171*366/365</f>
        <v>1.0027397260273974</v>
      </c>
      <c r="Q170" s="38">
        <f>Q$172*(365+5/24+48/60/24+46/60/60/24)/365</f>
        <v>1.0006635591070523</v>
      </c>
      <c r="R170" s="42" t="s">
        <v>275</v>
      </c>
    </row>
    <row r="171" spans="2:18" ht="12.75">
      <c r="B171" t="s">
        <v>272</v>
      </c>
      <c r="D171" s="23">
        <f>D$159/1000/1000/1000/1000/60/60/24/366</f>
        <v>3.1623153207852657E-20</v>
      </c>
      <c r="E171" s="23">
        <f>E$160/1000/1000/1000/60/60/24/366</f>
        <v>3.162315320785266E-17</v>
      </c>
      <c r="F171" s="23">
        <f>F$161/1000/1000/60/60/24/366</f>
        <v>3.162315320785266E-14</v>
      </c>
      <c r="G171" s="23">
        <f>G$162/1000/60/60/24/366</f>
        <v>3.1623153207852666E-11</v>
      </c>
      <c r="H171" s="23">
        <f>H$163/60/60/24/366</f>
        <v>3.162315320785266E-08</v>
      </c>
      <c r="I171" s="23">
        <f>I$164/60/24/366</f>
        <v>1.8973891924711598E-06</v>
      </c>
      <c r="J171" s="23">
        <f>J$165/24/366</f>
        <v>0.00011384335154826958</v>
      </c>
      <c r="K171" s="23">
        <f>K$166/366</f>
        <v>0.00273224043715847</v>
      </c>
      <c r="L171" s="23">
        <f>L$167/366</f>
        <v>0.00273224043715847</v>
      </c>
      <c r="M171" s="23">
        <f>M$168*14/366</f>
        <v>0.03825136612021858</v>
      </c>
      <c r="N171" s="23">
        <f>N$169/12</f>
        <v>0.08333333333333333</v>
      </c>
      <c r="O171" s="23">
        <f>O$170*365/366</f>
        <v>0.9972677595628415</v>
      </c>
      <c r="P171" s="87">
        <v>1</v>
      </c>
      <c r="Q171" s="51">
        <f>Q$172*(365+5/24+48/60/24+46/60/60/24)/366</f>
        <v>0.9979295056668691</v>
      </c>
      <c r="R171" s="42" t="s">
        <v>272</v>
      </c>
    </row>
    <row r="172" spans="1:53" s="36" customFormat="1" ht="13.5" thickBot="1">
      <c r="A172" s="4"/>
      <c r="B172" s="4" t="s">
        <v>276</v>
      </c>
      <c r="C172" s="4"/>
      <c r="D172" s="27">
        <f>D$159/1000/1000/1000/1000/60/60/24/(365+5/24+48/60/24+46/60/60/24)</f>
        <v>3.1688764615412785E-20</v>
      </c>
      <c r="E172" s="27">
        <f>E$160/1000/1000/1000/60/60/24/(365+5/24+48/60/24+46/60/60/24)</f>
        <v>3.1688764615412785E-17</v>
      </c>
      <c r="F172" s="27">
        <f>F$161/1000/1000/60/60/24/(365+5/24+48/60/24+46/60/60/24)</f>
        <v>3.1688764615412787E-14</v>
      </c>
      <c r="G172" s="27">
        <f>G$162/1000/60/60/24/(365+5/24+48/60/24+46/60/60/24)</f>
        <v>3.168876461541279E-11</v>
      </c>
      <c r="H172" s="27">
        <f>H$163/60/60/24/(365+5/24+48/60/24+46/60/60/24)</f>
        <v>3.168876461541279E-08</v>
      </c>
      <c r="I172" s="27">
        <f>I$164/60/24/(365+5/24+48/60/24+46/60/60/24)</f>
        <v>1.9013258769247675E-06</v>
      </c>
      <c r="J172" s="27">
        <f>J$165/24/(365+5/24+48/60/24+46/60/60/24)</f>
        <v>0.00011407955261548604</v>
      </c>
      <c r="K172" s="27">
        <f>K$166/(365+5/24+48/60/24+46/60/60/24)</f>
        <v>0.0027379092627716653</v>
      </c>
      <c r="L172" s="27">
        <f>L$167/(365+5/24+48/60/24+46/60/60/24)</f>
        <v>0.0027379092627716653</v>
      </c>
      <c r="M172" s="27">
        <f>M$168*14/(365+5/24+48/60/24+46/60/60/24)</f>
        <v>0.03833072967880331</v>
      </c>
      <c r="N172" s="27">
        <f>N$169/12</f>
        <v>0.08333333333333333</v>
      </c>
      <c r="O172" s="27">
        <f>O$170*365/(365+5/24+48/60/24+46/60/60/24)</f>
        <v>0.9993368809116577</v>
      </c>
      <c r="P172" s="27">
        <f>P$171*366/(365+5/24+48/60/24+46/60/60/24)</f>
        <v>1.0020747901744294</v>
      </c>
      <c r="Q172" s="89">
        <v>1</v>
      </c>
      <c r="R172" s="43" t="s">
        <v>276</v>
      </c>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row>
    <row r="173" spans="1:53" s="36" customFormat="1" ht="12.75">
      <c r="A173"/>
      <c r="B173"/>
      <c r="C173"/>
      <c r="D173" t="s">
        <v>293</v>
      </c>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row>
    <row r="174" ht="12.75">
      <c r="D174" t="s">
        <v>47</v>
      </c>
    </row>
    <row r="175" ht="12.75">
      <c r="D175" t="s">
        <v>2</v>
      </c>
    </row>
    <row r="176" ht="13.5" thickBot="1"/>
    <row r="177" spans="1:53" ht="27.75" thickBot="1" thickTop="1">
      <c r="A177" s="46"/>
      <c r="B177" s="47" t="s">
        <v>274</v>
      </c>
      <c r="C177" s="46"/>
      <c r="D177" s="48" t="s">
        <v>88</v>
      </c>
      <c r="E177" s="48" t="s">
        <v>89</v>
      </c>
      <c r="F177" s="48" t="s">
        <v>90</v>
      </c>
      <c r="G177" s="48" t="s">
        <v>91</v>
      </c>
      <c r="H177" s="48" t="s">
        <v>92</v>
      </c>
      <c r="I177" s="48" t="s">
        <v>93</v>
      </c>
      <c r="J177" s="49" t="s">
        <v>94</v>
      </c>
      <c r="K177" s="50" t="s">
        <v>274</v>
      </c>
      <c r="L177" s="9"/>
      <c r="M177" s="9"/>
      <c r="N177" s="9"/>
      <c r="O177" s="9"/>
      <c r="P177" s="9"/>
      <c r="Q177" s="9"/>
      <c r="R177" s="11"/>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row>
    <row r="178" spans="1:11" ht="12">
      <c r="A178" s="36"/>
      <c r="B178" s="16" t="s">
        <v>117</v>
      </c>
      <c r="C178" s="36"/>
      <c r="D178" s="87">
        <v>1</v>
      </c>
      <c r="E178" s="20">
        <f>E$179*4</f>
        <v>4</v>
      </c>
      <c r="F178" s="20">
        <f>F$180*8</f>
        <v>8</v>
      </c>
      <c r="G178" s="76">
        <f>G$181*1024*8</f>
        <v>8192</v>
      </c>
      <c r="H178" s="76">
        <f>H$182*1024*1024*8</f>
        <v>8388608</v>
      </c>
      <c r="I178" s="76">
        <f>I$183*1024*1024*1024*8</f>
        <v>8589934592</v>
      </c>
      <c r="J178" s="38">
        <f>J$184*1024*1024*1024*1024*8</f>
        <v>8796093022208</v>
      </c>
      <c r="K178" s="41" t="s">
        <v>117</v>
      </c>
    </row>
    <row r="179" spans="1:20" ht="12">
      <c r="A179" s="36"/>
      <c r="B179" s="16" t="s">
        <v>273</v>
      </c>
      <c r="C179" s="36"/>
      <c r="D179" s="20">
        <f>D$178/4</f>
        <v>0.25</v>
      </c>
      <c r="E179" s="87">
        <v>1</v>
      </c>
      <c r="F179" s="20">
        <f>F$180*2</f>
        <v>2</v>
      </c>
      <c r="G179" s="76">
        <f>G$181*1024*2</f>
        <v>2048</v>
      </c>
      <c r="H179" s="76">
        <f>H$182*1024*1024*2</f>
        <v>2097152</v>
      </c>
      <c r="I179" s="76">
        <f>I$183*1024*1024*1024*2</f>
        <v>2147483648</v>
      </c>
      <c r="J179" s="38">
        <f>J$184*1024*1024*1024*1024*2</f>
        <v>2199023255552</v>
      </c>
      <c r="K179" s="41" t="s">
        <v>273</v>
      </c>
      <c r="M179" s="59"/>
      <c r="N179" s="59"/>
      <c r="O179" s="59"/>
      <c r="P179" s="59"/>
      <c r="Q179" s="59"/>
      <c r="R179" s="59"/>
      <c r="S179" s="59"/>
      <c r="T179" s="59"/>
    </row>
    <row r="180" spans="1:20" ht="12">
      <c r="A180" s="36"/>
      <c r="B180" s="36" t="s">
        <v>118</v>
      </c>
      <c r="C180" s="36"/>
      <c r="D180" s="23">
        <f>D$178/8</f>
        <v>0.125</v>
      </c>
      <c r="E180" s="23">
        <f>E$179/2</f>
        <v>0.5</v>
      </c>
      <c r="F180" s="87">
        <v>1</v>
      </c>
      <c r="G180" s="75">
        <f>G$181*1024</f>
        <v>1024</v>
      </c>
      <c r="H180" s="75">
        <f>H$182*1024*1024</f>
        <v>1048576</v>
      </c>
      <c r="I180" s="75">
        <f>I$183*1024*1024*1024</f>
        <v>1073741824</v>
      </c>
      <c r="J180" s="51">
        <f>J$184*1024*1024*1024*1024</f>
        <v>1099511627776</v>
      </c>
      <c r="K180" s="42" t="s">
        <v>118</v>
      </c>
      <c r="M180" s="59"/>
      <c r="N180" s="59"/>
      <c r="O180" s="59"/>
      <c r="P180" s="59"/>
      <c r="Q180" s="59"/>
      <c r="R180" s="59"/>
      <c r="S180" s="59"/>
      <c r="T180" s="59"/>
    </row>
    <row r="181" spans="1:20" ht="12">
      <c r="A181" s="36"/>
      <c r="B181" s="36" t="s">
        <v>113</v>
      </c>
      <c r="C181" s="36"/>
      <c r="D181" s="23">
        <f>D$178/8/1024</f>
        <v>0.0001220703125</v>
      </c>
      <c r="E181" s="23">
        <f>E$179/2/1024</f>
        <v>0.00048828125</v>
      </c>
      <c r="F181" s="23">
        <f>F$180/1024</f>
        <v>0.0009765625</v>
      </c>
      <c r="G181" s="87">
        <v>1</v>
      </c>
      <c r="H181" s="75">
        <f>H$182*1024</f>
        <v>1024</v>
      </c>
      <c r="I181" s="75">
        <f>I$183*1024*1024</f>
        <v>1048576</v>
      </c>
      <c r="J181" s="82">
        <f>J$184*1024*1024*1024</f>
        <v>1073741824</v>
      </c>
      <c r="K181" s="42" t="s">
        <v>113</v>
      </c>
      <c r="M181" s="59"/>
      <c r="N181" s="59"/>
      <c r="O181" s="59"/>
      <c r="P181" s="59"/>
      <c r="Q181" s="59"/>
      <c r="R181" s="59"/>
      <c r="S181" s="59"/>
      <c r="T181" s="59"/>
    </row>
    <row r="182" spans="1:20" ht="12">
      <c r="A182" s="36"/>
      <c r="B182" s="16" t="s">
        <v>114</v>
      </c>
      <c r="C182" s="36"/>
      <c r="D182" s="20">
        <f>D$178/8/1024/1024</f>
        <v>1.1920928955078125E-07</v>
      </c>
      <c r="E182" s="20">
        <f>E$179/2/1024/1024</f>
        <v>4.76837158203125E-07</v>
      </c>
      <c r="F182" s="20">
        <f>F$180/1024/1024</f>
        <v>9.5367431640625E-07</v>
      </c>
      <c r="G182" s="20">
        <f>G$181/1024</f>
        <v>0.0009765625</v>
      </c>
      <c r="H182" s="87">
        <v>1</v>
      </c>
      <c r="I182" s="76">
        <f>I$183*1024</f>
        <v>1024</v>
      </c>
      <c r="J182" s="80">
        <f>J$184*1024*1024</f>
        <v>1048576</v>
      </c>
      <c r="K182" s="41" t="s">
        <v>114</v>
      </c>
      <c r="M182" s="59"/>
      <c r="N182" s="59"/>
      <c r="O182" s="59"/>
      <c r="P182" s="59"/>
      <c r="Q182" s="59"/>
      <c r="R182" s="59"/>
      <c r="S182" s="59"/>
      <c r="T182" s="59"/>
    </row>
    <row r="183" spans="1:20" ht="12">
      <c r="A183" s="36"/>
      <c r="B183" s="16" t="s">
        <v>115</v>
      </c>
      <c r="C183" s="36"/>
      <c r="D183" s="20">
        <f>D$178/8/1024/1024/1024</f>
        <v>1.1641532182693481E-10</v>
      </c>
      <c r="E183" s="20">
        <f>E$179/2/1024/1024/1024</f>
        <v>4.656612873077393E-10</v>
      </c>
      <c r="F183" s="20">
        <f>F$180/1024/1024/1024</f>
        <v>9.313225746154785E-10</v>
      </c>
      <c r="G183" s="20">
        <f>G$181/1024/1024</f>
        <v>9.5367431640625E-07</v>
      </c>
      <c r="H183" s="20">
        <f>H$182/1024</f>
        <v>0.0009765625</v>
      </c>
      <c r="I183" s="87">
        <v>1</v>
      </c>
      <c r="J183" s="80">
        <f>J$184*1024</f>
        <v>1024</v>
      </c>
      <c r="K183" s="41" t="s">
        <v>115</v>
      </c>
      <c r="M183" s="59"/>
      <c r="N183" s="59"/>
      <c r="O183" s="59"/>
      <c r="P183" s="59"/>
      <c r="Q183" s="59"/>
      <c r="R183" s="59"/>
      <c r="S183" s="59"/>
      <c r="T183" s="59"/>
    </row>
    <row r="184" spans="1:20" ht="12.75" thickBot="1">
      <c r="A184" s="4"/>
      <c r="B184" s="4" t="s">
        <v>116</v>
      </c>
      <c r="C184" s="4"/>
      <c r="D184" s="27">
        <f>D$178/8/1024/1024/1024/1024</f>
        <v>1.1368683772161603E-13</v>
      </c>
      <c r="E184" s="27">
        <f>E$179/2/1024/1024/1024/1024</f>
        <v>4.547473508864641E-13</v>
      </c>
      <c r="F184" s="27">
        <f>F$180/1024/1024/1024/1024</f>
        <v>9.094947017729282E-13</v>
      </c>
      <c r="G184" s="27">
        <f>G$181/1024/1024/1024</f>
        <v>9.313225746154785E-10</v>
      </c>
      <c r="H184" s="27">
        <f>H$182/1024/1024</f>
        <v>9.5367431640625E-07</v>
      </c>
      <c r="I184" s="27">
        <f>I$183/1024</f>
        <v>0.0009765625</v>
      </c>
      <c r="J184" s="89">
        <v>1</v>
      </c>
      <c r="K184" s="43" t="s">
        <v>116</v>
      </c>
      <c r="M184" s="59"/>
      <c r="N184" s="59"/>
      <c r="O184" s="59"/>
      <c r="P184" s="59"/>
      <c r="Q184" s="59"/>
      <c r="R184" s="59"/>
      <c r="S184" s="59"/>
      <c r="T184" s="59"/>
    </row>
    <row r="186" ht="12.75" thickBot="1">
      <c r="D186" t="s">
        <v>279</v>
      </c>
    </row>
    <row r="187" spans="1:53" s="9" customFormat="1" ht="12.75" thickTop="1">
      <c r="A187"/>
      <c r="B187"/>
      <c r="C187"/>
      <c r="D187" t="s">
        <v>280</v>
      </c>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row>
    <row r="188" ht="12">
      <c r="D188" t="s">
        <v>163</v>
      </c>
    </row>
    <row r="189" ht="12.75" thickBot="1"/>
    <row r="190" spans="1:53" ht="12.75" thickTop="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row>
    <row r="199" ht="12.75" thickBot="1"/>
    <row r="200" spans="1:53" s="9" customFormat="1" ht="12.75" thickTop="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row>
  </sheetData>
  <sheetProtection formatCells="0" formatColumns="0" formatRows="0"/>
  <mergeCells count="14">
    <mergeCell ref="A43:A45"/>
    <mergeCell ref="A46:A54"/>
    <mergeCell ref="A7:A12"/>
    <mergeCell ref="A13:A17"/>
    <mergeCell ref="A25:A30"/>
    <mergeCell ref="A31:A36"/>
    <mergeCell ref="A140:A142"/>
    <mergeCell ref="A148:A150"/>
    <mergeCell ref="A151:A153"/>
    <mergeCell ref="A55:A59"/>
    <mergeCell ref="A75:A78"/>
    <mergeCell ref="A81:A84"/>
    <mergeCell ref="A79:A80"/>
    <mergeCell ref="A134:A139"/>
  </mergeCells>
  <printOptions/>
  <pageMargins left="0.75" right="0.75" top="1" bottom="1" header="0.5"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eLivermore.com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Bill's Conversion Spreadsheet</dc:title>
  <dc:subject/>
  <dc:creator>Bill Nale</dc:creator>
  <cp:keywords/>
  <dc:description/>
  <cp:lastModifiedBy>Norman Herr</cp:lastModifiedBy>
  <dcterms:created xsi:type="dcterms:W3CDTF">2003-08-29T20:28:41Z</dcterms:created>
  <dcterms:modified xsi:type="dcterms:W3CDTF">2003-10-31T15:23:51Z</dcterms:modified>
  <cp:category/>
  <cp:version/>
  <cp:contentType/>
  <cp:contentStatus/>
</cp:coreProperties>
</file>