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6920" windowHeight="8920" activeTab="0"/>
  </bookViews>
  <sheets>
    <sheet name="Relative Values" sheetId="1" r:id="rId1"/>
    <sheet name="Scale Model" sheetId="2" r:id="rId2"/>
    <sheet name="Planetary Data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<sst xmlns="http://schemas.openxmlformats.org/spreadsheetml/2006/main" count="102" uniqueCount="53">
  <si>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</si>
  <si>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</si>
  <si>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</si>
  <si>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</si>
  <si>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</si>
  <si>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</si>
  <si>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</si>
  <si>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</si>
  <si>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</si>
  <si>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Distance from Sun/million km</t>
  </si>
  <si>
    <t>Year Length /Earth years</t>
  </si>
  <si>
    <t>Day Length /Earth Days</t>
  </si>
  <si>
    <t>Orbital Speed /km/s</t>
  </si>
  <si>
    <t>asteroids (Ceres)</t>
  </si>
  <si>
    <t>Object</t>
  </si>
  <si>
    <t>Sun</t>
  </si>
  <si>
    <t>~~~</t>
  </si>
  <si>
    <t>25 to 28</t>
  </si>
  <si>
    <t>Diameter /km</t>
  </si>
  <si>
    <r>
      <t>Mass /10</t>
    </r>
    <r>
      <rPr>
        <b/>
        <vertAlign val="superscript"/>
        <sz val="10"/>
        <rFont val="Arial"/>
        <family val="2"/>
      </rPr>
      <t>22</t>
    </r>
    <r>
      <rPr>
        <b/>
        <sz val="10"/>
        <rFont val="Arial"/>
        <family val="2"/>
      </rPr>
      <t xml:space="preserve"> kg</t>
    </r>
  </si>
  <si>
    <t>Moon</t>
  </si>
  <si>
    <t>?</t>
  </si>
  <si>
    <t>Our Solar System Data</t>
  </si>
  <si>
    <t>Planetary Data</t>
  </si>
  <si>
    <r>
      <t>Density /kg/m</t>
    </r>
    <r>
      <rPr>
        <vertAlign val="superscript"/>
        <sz val="10"/>
        <rFont val="Arial"/>
        <family val="2"/>
      </rPr>
      <t>3</t>
    </r>
  </si>
  <si>
    <r>
      <t>Surface Gravity/m/s</t>
    </r>
    <r>
      <rPr>
        <b/>
        <vertAlign val="superscript"/>
        <sz val="10"/>
        <rFont val="Arial"/>
        <family val="2"/>
      </rPr>
      <t>2</t>
    </r>
  </si>
  <si>
    <t>Escape Velocity/km/s</t>
  </si>
  <si>
    <t>Temperature (min)/C</t>
  </si>
  <si>
    <t>Temperature (max)/C</t>
  </si>
  <si>
    <t>Temperature (mean)/C</t>
  </si>
  <si>
    <t>Distance from Sun/m</t>
  </si>
  <si>
    <t>Diameter /mm</t>
  </si>
  <si>
    <t>Sun Diameter/mm</t>
  </si>
  <si>
    <t>Orbital Speed /mm/hr</t>
  </si>
  <si>
    <t>Scale Factor = 1:</t>
  </si>
  <si>
    <t>Scale Data</t>
  </si>
  <si>
    <r>
      <t>Next Star (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Centauri)</t>
    </r>
  </si>
  <si>
    <r>
      <t>Next Star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 xml:space="preserve"> Centauri)</t>
    </r>
  </si>
  <si>
    <t>Scale Model</t>
  </si>
  <si>
    <t>Distance from Sun</t>
  </si>
  <si>
    <t>Year Length</t>
  </si>
  <si>
    <t>Day Length</t>
  </si>
  <si>
    <t>Orbital Speed</t>
  </si>
  <si>
    <t>Diameter</t>
  </si>
  <si>
    <t>Mass</t>
  </si>
  <si>
    <t>Density</t>
  </si>
  <si>
    <t>Surface Gravity</t>
  </si>
  <si>
    <t>Escape Velocity</t>
  </si>
  <si>
    <t>The Moon</t>
  </si>
  <si>
    <t>Ceres (an asteroid)</t>
  </si>
  <si>
    <t>The Sun</t>
  </si>
  <si>
    <t>N/A</t>
  </si>
  <si>
    <t>Input your scaled down Sun size here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</si>
</sst>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0.0000000"/>
    <numFmt numFmtId="178" formatCode="0.000000"/>
    <numFmt numFmtId="179" formatCode="#,##0.000"/>
    <numFmt numFmtId="180" formatCode="#,##0.0000"/>
    <numFmt numFmtId="181" formatCode="#,##0.00000"/>
    <numFmt numFmtId="182" formatCode="0.00000000"/>
    <numFmt numFmtId="183" formatCode="#,##0.000000"/>
    <numFmt numFmtId="184" formatCode="#,##0.0000000"/>
    <numFmt numFmtId="185" formatCode="#,##0.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24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4" fontId="0" fillId="2" borderId="1" xfId="0" applyNumberFormat="1" applyFill="1" applyBorder="1" applyAlignment="1">
      <alignment horizontal="right"/>
    </xf>
    <xf numFmtId="179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right" vertical="top" wrapText="1"/>
    </xf>
    <xf numFmtId="17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72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top" wrapText="1"/>
    </xf>
    <xf numFmtId="172" fontId="0" fillId="2" borderId="2" xfId="0" applyNumberFormat="1" applyFill="1" applyBorder="1" applyAlignment="1">
      <alignment/>
    </xf>
    <xf numFmtId="0" fontId="0" fillId="0" borderId="0" xfId="0" applyAlignment="1" applyProtection="1">
      <alignment horizontal="center" vertical="top"/>
      <protection/>
    </xf>
    <xf numFmtId="4" fontId="0" fillId="2" borderId="8" xfId="0" applyNumberFormat="1" applyFill="1" applyBorder="1" applyAlignment="1">
      <alignment horizontal="right"/>
    </xf>
    <xf numFmtId="179" fontId="0" fillId="2" borderId="8" xfId="0" applyNumberFormat="1" applyFill="1" applyBorder="1" applyAlignment="1">
      <alignment horizontal="right"/>
    </xf>
    <xf numFmtId="4" fontId="0" fillId="2" borderId="9" xfId="0" applyNumberFormat="1" applyFill="1" applyBorder="1" applyAlignment="1">
      <alignment horizontal="right"/>
    </xf>
    <xf numFmtId="179" fontId="0" fillId="2" borderId="9" xfId="0" applyNumberForma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right"/>
      <protection hidden="1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0" fontId="1" fillId="2" borderId="14" xfId="0" applyFont="1" applyFill="1" applyBorder="1" applyAlignment="1">
      <alignment/>
    </xf>
    <xf numFmtId="4" fontId="0" fillId="2" borderId="14" xfId="0" applyNumberFormat="1" applyFont="1" applyFill="1" applyBorder="1" applyAlignment="1">
      <alignment horizontal="right" vertical="top" wrapText="1"/>
    </xf>
    <xf numFmtId="3" fontId="0" fillId="2" borderId="14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3" fontId="0" fillId="2" borderId="14" xfId="0" applyNumberForma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4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9" xfId="0" applyNumberForma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 vertical="top" wrapText="1"/>
    </xf>
    <xf numFmtId="3" fontId="0" fillId="2" borderId="9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/>
    </xf>
    <xf numFmtId="4" fontId="0" fillId="2" borderId="15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5" xfId="0" applyNumberForma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RowColHeaders="0" tabSelected="1" workbookViewId="0" topLeftCell="A1">
      <selection activeCell="D22" sqref="D22"/>
    </sheetView>
  </sheetViews>
  <sheetFormatPr defaultColWidth="11.421875" defaultRowHeight="12.75"/>
  <cols>
    <col min="1" max="1" width="8.8515625" style="0" customWidth="1"/>
    <col min="2" max="2" width="12.421875" style="0" customWidth="1"/>
    <col min="3" max="3" width="10.28125" style="0" customWidth="1"/>
    <col min="4" max="7" width="12.7109375" style="0" customWidth="1"/>
    <col min="8" max="8" width="15.8515625" style="0" customWidth="1"/>
    <col min="9" max="11" width="12.7109375" style="0" customWidth="1"/>
    <col min="12" max="14" width="14.7109375" style="0" customWidth="1"/>
    <col min="15" max="16384" width="8.8515625" style="0" customWidth="1"/>
  </cols>
  <sheetData>
    <row r="1" ht="12.75" thickBot="1">
      <c r="A1" s="45">
        <v>11</v>
      </c>
    </row>
    <row r="2" spans="2:11" ht="28.5" thickBot="1">
      <c r="B2" s="69" t="str">
        <f>CONCATENATE("Planetary Data Relative to ",LOOKUP(A1,'Planetary Data'!A5:A16,'Planetary Data'!B5:B16))</f>
        <v>Planetary Data Relative to Neptune</v>
      </c>
      <c r="C2" s="70"/>
      <c r="D2" s="70"/>
      <c r="E2" s="70"/>
      <c r="F2" s="70"/>
      <c r="G2" s="70"/>
      <c r="H2" s="70"/>
      <c r="I2" s="70"/>
      <c r="J2" s="70"/>
      <c r="K2" s="71"/>
    </row>
    <row r="3" spans="2:11" ht="25.5" customHeight="1" thickBot="1">
      <c r="B3" s="35"/>
      <c r="C3" s="36" t="s">
        <v>39</v>
      </c>
      <c r="D3" s="36" t="s">
        <v>40</v>
      </c>
      <c r="E3" s="36" t="s">
        <v>41</v>
      </c>
      <c r="F3" s="36" t="s">
        <v>42</v>
      </c>
      <c r="G3" s="36" t="s">
        <v>43</v>
      </c>
      <c r="H3" s="36" t="s">
        <v>44</v>
      </c>
      <c r="I3" s="36" t="s">
        <v>45</v>
      </c>
      <c r="J3" s="36" t="s">
        <v>46</v>
      </c>
      <c r="K3" s="36" t="s">
        <v>47</v>
      </c>
    </row>
    <row r="4" spans="1:11" ht="13.5" customHeight="1" thickTop="1">
      <c r="A4" s="43"/>
      <c r="B4" s="40"/>
      <c r="C4" s="31" t="s">
        <v>51</v>
      </c>
      <c r="D4" s="31" t="s">
        <v>51</v>
      </c>
      <c r="E4" s="31" t="s">
        <v>51</v>
      </c>
      <c r="F4" s="31" t="s">
        <v>51</v>
      </c>
      <c r="G4" s="31">
        <f>'Planetary Data'!G5/LOOKUP($A$1,'Planetary Data'!$A$5:$A$16,'Planetary Data'!$G$5:$G$16)</f>
        <v>28.10531416572444</v>
      </c>
      <c r="H4" s="32">
        <f>IF($A$1&lt;&gt;7,'Planetary Data'!H5/LOOKUP($A$1,'Planetary Data'!$A$5:$A$16,'Planetary Data'!H5:H16),"N/A")</f>
        <v>19509.803921568626</v>
      </c>
      <c r="I4" s="32">
        <f>IF($A$1&lt;&gt;7,'Planetary Data'!I5/LOOKUP($A$1,'Planetary Data'!$A$5:$A$16,'Planetary Data'!$I$5:$I$16),"N/A")</f>
        <v>0.8597560975609756</v>
      </c>
      <c r="J4" s="32">
        <f>IF($A$1&lt;&gt;7,'Planetary Data'!J5/LOOKUP($A$1,'Planetary Data'!$A$5:$A$16,'Planetary Data'!$J$5:$J$16),"N/A")</f>
        <v>24.93082860055337</v>
      </c>
      <c r="K4" s="32">
        <f>IF($A$1&lt;&gt;7,'Planetary Data'!K5/LOOKUP($A$1,'Planetary Data'!$A$5:$A$16,'Planetary Data'!$K$5:$K$16),"N/A")</f>
        <v>26.50214592274678</v>
      </c>
    </row>
    <row r="5" spans="1:11" ht="13.5" customHeight="1">
      <c r="A5" s="43"/>
      <c r="B5" s="41"/>
      <c r="C5" s="33">
        <f>IF($A$1&lt;&gt;1,'Planetary Data'!C6/LOOKUP($A$1,'Planetary Data'!$A$5:$A$16,'Planetary Data'!$C$5:$C$16),"N/A")</f>
        <v>0.012874963865602275</v>
      </c>
      <c r="D5" s="33">
        <f>IF($A$1&lt;&gt;1,'Planetary Data'!D6/LOOKUP($A$1,'Planetary Data'!$A$5:$A$16,'Planetary Data'!$D$5:$D$16),"N/A")</f>
        <v>0.0014612537168517507</v>
      </c>
      <c r="E5" s="33">
        <f>IF(AND($A$1&lt;&gt;1,$A$1&lt;&gt;7),'Planetary Data'!E6/LOOKUP($A$1,'Planetary Data'!$A$5:$A$16,'Planetary Data'!$E$5:$E$16),"N/A")</f>
        <v>73.3125</v>
      </c>
      <c r="F5" s="33">
        <f>IF(AND($A$1&lt;&gt;1,$A$1&lt;&gt;5),'Planetary Data'!F6/LOOKUP($A$1,'Planetary Data'!$A$5:$A$16,'Planetary Data'!$F$5:$F$16),"N/A")</f>
        <v>8.87037037037037</v>
      </c>
      <c r="G5" s="33">
        <f>'Planetary Data'!G6/LOOKUP($A$1,'Planetary Data'!$A$5:$A$16,'Planetary Data'!$G$5:$G$16)</f>
        <v>0.09848974317557745</v>
      </c>
      <c r="H5" s="34">
        <f>IF($A$1&lt;&gt;7,'Planetary Data'!H6/LOOKUP($A$1,'Planetary Data'!$A$5:$A$16,'Planetary Data'!$H$5:$H$16),"N/A")</f>
        <v>0.0032382352941176472</v>
      </c>
      <c r="I5" s="34">
        <f>IF($A$1&lt;&gt;7,'Planetary Data'!I6/LOOKUP($A$1,'Planetary Data'!$A$5:$A$16,'Planetary Data'!$I$5:$I$16),"N/A")</f>
        <v>3.3109756097560976</v>
      </c>
      <c r="J5" s="34">
        <f>IF($A$1&lt;&gt;7,'Planetary Data'!J6/LOOKUP($A$1,'Planetary Data'!$A$5:$A$16,'Planetary Data'!$J$5:$J$16),"N/A")</f>
        <v>0.3482142857142857</v>
      </c>
      <c r="K5" s="34">
        <f>IF($A$1&lt;&gt;7,'Planetary Data'!K6/LOOKUP($A$1,'Planetary Data'!$A$5:$A$16,'Planetary Data'!$K$5:$K$16),"N/A")</f>
        <v>0.18454935622317595</v>
      </c>
    </row>
    <row r="6" spans="1:11" ht="13.5" customHeight="1">
      <c r="A6" s="43"/>
      <c r="B6" s="41"/>
      <c r="C6" s="33">
        <f>IF($A$1&lt;&gt;1,'Planetary Data'!C7/LOOKUP($A$1,'Planetary Data'!$A$5:$A$16,'Planetary Data'!$C$5:$C$16),"N/A")</f>
        <v>0.024059949745391475</v>
      </c>
      <c r="D6" s="33">
        <f>IF($A$1&lt;&gt;1,'Planetary Data'!D7/LOOKUP($A$1,'Planetary Data'!$A$5:$A$16,'Planetary Data'!$D$5:$D$16),"N/A")</f>
        <v>0.0037332362400631105</v>
      </c>
      <c r="E6" s="33">
        <f>IF(AND($A$1&lt;&gt;1,$A$1&lt;&gt;7),'Planetary Data'!E7/LOOKUP($A$1,'Planetary Data'!$A$5:$A$16,'Planetary Data'!$E$5:$E$16),"N/A")</f>
        <v>-303.7625</v>
      </c>
      <c r="F6" s="33">
        <f>IF(AND($A$1&lt;&gt;1,$A$1&lt;&gt;5),'Planetary Data'!F7/LOOKUP($A$1,'Planetary Data'!$A$5:$A$16,'Planetary Data'!$F$5:$F$16),"N/A")</f>
        <v>6.481481481481481</v>
      </c>
      <c r="G6" s="33">
        <f>'Planetary Data'!G7/LOOKUP($A$1,'Planetary Data'!$A$5:$A$16,'Planetary Data'!$G$5:$G$16)</f>
        <v>0.24434663220804392</v>
      </c>
      <c r="H6" s="34">
        <f>IF($A$1&lt;&gt;7,'Planetary Data'!H7/LOOKUP($A$1,'Planetary Data'!$A$5:$A$16,'Planetary Data'!$H$5:$H$16),"N/A")</f>
        <v>0.047745098039215686</v>
      </c>
      <c r="I6" s="34">
        <f>IF($A$1&lt;&gt;7,'Planetary Data'!I7/LOOKUP($A$1,'Planetary Data'!$A$5:$A$16,'Planetary Data'!$I$5:$I$16),"N/A")</f>
        <v>3.201219512195122</v>
      </c>
      <c r="J6" s="34">
        <f>IF($A$1&lt;&gt;7,'Planetary Data'!J7/LOOKUP($A$1,'Planetary Data'!$A$5:$A$16,'Planetary Data'!$J$5:$J$16),"N/A")</f>
        <v>0.7857142857142857</v>
      </c>
      <c r="K6" s="34">
        <f>IF($A$1&lt;&gt;7,'Planetary Data'!K7/LOOKUP($A$1,'Planetary Data'!$A$5:$A$16,'Planetary Data'!$K$5:$K$16),"N/A")</f>
        <v>0.44635193133047213</v>
      </c>
    </row>
    <row r="7" spans="1:11" ht="13.5" customHeight="1">
      <c r="A7" s="43"/>
      <c r="B7" s="41"/>
      <c r="C7" s="33">
        <f>IF($A$1&lt;&gt;1,'Planetary Data'!C8/LOOKUP($A$1,'Planetary Data'!$A$5:$A$16,'Planetary Data'!$C$5:$C$16),"N/A")</f>
        <v>0.03326588245758377</v>
      </c>
      <c r="D7" s="33">
        <f>IF($A$1&lt;&gt;1,'Planetary Data'!D8/LOOKUP($A$1,'Planetary Data'!$A$5:$A$16,'Planetary Data'!$D$5:$D$16),"N/A")</f>
        <v>0.006068329388919231</v>
      </c>
      <c r="E7" s="33">
        <f>IF(AND($A$1&lt;&gt;1,$A$1&lt;&gt;7),'Planetary Data'!E8/LOOKUP($A$1,'Planetary Data'!$A$5:$A$16,'Planetary Data'!$E$5:$E$16),"N/A")</f>
        <v>1.2462499999999999</v>
      </c>
      <c r="F7" s="33">
        <f>IF(AND($A$1&lt;&gt;1,$A$1&lt;&gt;5),'Planetary Data'!F8/LOOKUP($A$1,'Planetary Data'!$A$5:$A$16,'Planetary Data'!$F$5:$F$16),"N/A")</f>
        <v>5.518518518518518</v>
      </c>
      <c r="G7" s="33">
        <f>'Planetary Data'!G8/LOOKUP($A$1,'Planetary Data'!$A$5:$A$16,'Planetary Data'!$G$5:$G$16)</f>
        <v>0.25755128412211276</v>
      </c>
      <c r="H7" s="34">
        <f>IF($A$1&lt;&gt;7,'Planetary Data'!H8/LOOKUP($A$1,'Planetary Data'!$A$5:$A$16,'Planetary Data'!$H$5:$H$16),"N/A")</f>
        <v>0.05858823529411765</v>
      </c>
      <c r="I7" s="34">
        <f>IF($A$1&lt;&gt;7,'Planetary Data'!I8/LOOKUP($A$1,'Planetary Data'!$A$5:$A$16,'Planetary Data'!$I$5:$I$16),"N/A")</f>
        <v>3.3658536585365852</v>
      </c>
      <c r="J7" s="34">
        <f>IF($A$1&lt;&gt;7,'Planetary Data'!J8/LOOKUP($A$1,'Planetary Data'!$A$5:$A$16,'Planetary Data'!$J$5:$J$16),"N/A")</f>
        <v>0.8928571428571428</v>
      </c>
      <c r="K7" s="34">
        <f>IF($A$1&lt;&gt;7,'Planetary Data'!K8/LOOKUP($A$1,'Planetary Data'!$A$5:$A$16,'Planetary Data'!$K$5:$K$16),"N/A")</f>
        <v>0.4806866952789699</v>
      </c>
    </row>
    <row r="8" spans="1:11" ht="13.5" customHeight="1">
      <c r="A8" s="43"/>
      <c r="B8" s="41"/>
      <c r="C8" s="33">
        <f>IF($A$1&lt;&gt;1,'Planetary Data'!C9/LOOKUP($A$1,'Planetary Data'!$A$5:$A$16,'Planetary Data'!$C$5:$C$16),"N/A")</f>
        <v>0.03326588245758377</v>
      </c>
      <c r="D8" s="33" t="s">
        <v>51</v>
      </c>
      <c r="E8" s="33">
        <f>IF(AND($A$1&lt;&gt;1,$A$1&lt;&gt;7),'Planetary Data'!E9/LOOKUP($A$1,'Planetary Data'!$A$5:$A$16,'Planetary Data'!$E$5:$E$16),"N/A")</f>
        <v>34.15</v>
      </c>
      <c r="F8" s="33" t="s">
        <v>51</v>
      </c>
      <c r="G8" s="33">
        <f>'Planetary Data'!G9/LOOKUP($A$1,'Planetary Data'!$A$5:$A$16,'Planetary Data'!$G$5:$G$16)</f>
        <v>0.07018252301728316</v>
      </c>
      <c r="H8" s="34">
        <f>IF($A$1&lt;&gt;7,'Planetary Data'!H9/LOOKUP($A$1,'Planetary Data'!$A$5:$A$16,'Planetary Data'!$H$5:$H$16),"N/A")</f>
        <v>0.0007204901960784314</v>
      </c>
      <c r="I8" s="34">
        <f>IF($A$1&lt;&gt;7,'Planetary Data'!I9/LOOKUP($A$1,'Planetary Data'!$A$5:$A$16,'Planetary Data'!$I$5:$I$16),"N/A")</f>
        <v>2.0365853658536586</v>
      </c>
      <c r="J8" s="34">
        <f>IF($A$1&lt;&gt;7,'Planetary Data'!J9/LOOKUP($A$1,'Planetary Data'!$A$5:$A$16,'Planetary Data'!$J$5:$J$16),"N/A")</f>
        <v>0.14835444881316437</v>
      </c>
      <c r="K8" s="34">
        <f>IF($A$1&lt;&gt;7,'Planetary Data'!K9/LOOKUP($A$1,'Planetary Data'!$A$5:$A$16,'Planetary Data'!$K$5:$K$16),"N/A")</f>
        <v>0.10214592274678111</v>
      </c>
    </row>
    <row r="9" spans="1:11" ht="13.5" customHeight="1">
      <c r="A9" s="43"/>
      <c r="B9" s="41"/>
      <c r="C9" s="33">
        <f>IF($A$1&lt;&gt;1,'Planetary Data'!C10/LOOKUP($A$1,'Planetary Data'!$A$5:$A$16,'Planetary Data'!$C$5:$C$16),"N/A")</f>
        <v>0.05067710302194747</v>
      </c>
      <c r="D9" s="33">
        <f>IF($A$1&lt;&gt;1,'Planetary Data'!D10/LOOKUP($A$1,'Planetary Data'!$A$5:$A$16,'Planetary Data'!$D$5:$D$16),"N/A")</f>
        <v>0.011413920747618182</v>
      </c>
      <c r="E9" s="33">
        <f>IF(AND($A$1&lt;&gt;1,$A$1&lt;&gt;7),'Planetary Data'!E10/LOOKUP($A$1,'Planetary Data'!$A$5:$A$16,'Planetary Data'!$E$5:$E$16),"N/A")</f>
        <v>1.2825</v>
      </c>
      <c r="F9" s="33">
        <f>IF(AND($A$1&lt;&gt;1,$A$1&lt;&gt;5),'Planetary Data'!F10/LOOKUP($A$1,'Planetary Data'!$A$5:$A$16,'Planetary Data'!$F$5:$F$16),"N/A")</f>
        <v>4.462962962962963</v>
      </c>
      <c r="G9" s="33">
        <f>'Planetary Data'!G10/LOOKUP($A$1,'Planetary Data'!$A$5:$A$16,'Planetary Data'!$G$5:$G$16)</f>
        <v>0.13701340655790664</v>
      </c>
      <c r="H9" s="34">
        <f>IF($A$1&lt;&gt;7,'Planetary Data'!H10/LOOKUP($A$1,'Planetary Data'!$A$5:$A$16,'Planetary Data'!$H$5:$H$16),"N/A")</f>
        <v>0.006294117647058824</v>
      </c>
      <c r="I9" s="34">
        <f>IF($A$1&lt;&gt;7,'Planetary Data'!I10/LOOKUP($A$1,'Planetary Data'!$A$5:$A$16,'Planetary Data'!$I$5:$I$16),"N/A")</f>
        <v>2.408536585365854</v>
      </c>
      <c r="J9" s="34">
        <f>IF($A$1&lt;&gt;7,'Planetary Data'!J10/LOOKUP($A$1,'Planetary Data'!$A$5:$A$16,'Planetary Data'!$J$5:$J$16),"N/A")</f>
        <v>0.33928571428571425</v>
      </c>
      <c r="K9" s="34">
        <f>IF($A$1&lt;&gt;7,'Planetary Data'!K10/LOOKUP($A$1,'Planetary Data'!$A$5:$A$16,'Planetary Data'!$K$5:$K$16),"N/A")</f>
        <v>0.2145922746781116</v>
      </c>
    </row>
    <row r="10" spans="1:11" ht="13.5" customHeight="1">
      <c r="A10" s="43"/>
      <c r="B10" s="41"/>
      <c r="C10" s="33">
        <f>IF($A$1&lt;&gt;1,'Planetary Data'!C11/LOOKUP($A$1,'Planetary Data'!$A$5:$A$16,'Planetary Data'!$C$5:$C$16),"N/A")</f>
        <v>0.09199261746458828</v>
      </c>
      <c r="D10" s="33">
        <f>IF($A$1&lt;&gt;1,'Planetary Data'!D11/LOOKUP($A$1,'Planetary Data'!$A$5:$A$16,'Planetary Data'!$D$5:$D$16),"N/A")</f>
        <v>0.02793252017719522</v>
      </c>
      <c r="E10" s="33" t="s">
        <v>51</v>
      </c>
      <c r="F10" s="33">
        <f>IF(AND($A$1&lt;&gt;1,$A$1&lt;&gt;5),'Planetary Data'!F11/LOOKUP($A$1,'Planetary Data'!$A$5:$A$16,'Planetary Data'!$F$5:$F$16),"N/A")</f>
        <v>3.3148148148148144</v>
      </c>
      <c r="G10" s="33">
        <f>'Planetary Data'!G11/LOOKUP($A$1,'Planetary Data'!$A$5:$A$16,'Planetary Data'!$G$5:$G$16)</f>
        <v>0.018171539331287352</v>
      </c>
      <c r="H10" s="33" t="s">
        <v>51</v>
      </c>
      <c r="I10" s="33" t="s">
        <v>51</v>
      </c>
      <c r="J10" s="33" t="s">
        <v>51</v>
      </c>
      <c r="K10" s="34" t="s">
        <v>51</v>
      </c>
    </row>
    <row r="11" spans="1:11" ht="13.5" customHeight="1">
      <c r="A11" s="43"/>
      <c r="B11" s="41"/>
      <c r="C11" s="33">
        <f>IF($A$1&lt;&gt;1,'Planetary Data'!C12/LOOKUP($A$1,'Planetary Data'!$A$5:$A$16,'Planetary Data'!$C$5:$C$16),"N/A")</f>
        <v>0.17306708767872628</v>
      </c>
      <c r="D11" s="33">
        <f>IF($A$1&lt;&gt;1,'Planetary Data'!D12/LOOKUP($A$1,'Planetary Data'!$A$5:$A$16,'Planetary Data'!$D$5:$D$16),"N/A")</f>
        <v>0.07198252321135992</v>
      </c>
      <c r="E11" s="33">
        <f>IF(AND($A$1&lt;&gt;1,$A$1&lt;&gt;7),'Planetary Data'!E12/LOOKUP($A$1,'Planetary Data'!$A$5:$A$16,'Planetary Data'!$E$5:$E$16),"N/A")</f>
        <v>0.5125</v>
      </c>
      <c r="F11" s="33">
        <f>IF(AND($A$1&lt;&gt;1,$A$1&lt;&gt;5),'Planetary Data'!F12/LOOKUP($A$1,'Planetary Data'!$A$5:$A$16,'Planetary Data'!$F$5:$F$16),"N/A")</f>
        <v>2.4259259259259256</v>
      </c>
      <c r="G11" s="33">
        <f>'Planetary Data'!G12/LOOKUP($A$1,'Planetary Data'!$A$5:$A$16,'Planetary Data'!$G$5:$G$16)</f>
        <v>2.8869326441608787</v>
      </c>
      <c r="H11" s="34">
        <f>IF($A$1&lt;&gt;7,'Planetary Data'!H12/LOOKUP($A$1,'Planetary Data'!$A$5:$A$16,'Planetary Data'!$H$5:$H$16),"N/A")</f>
        <v>18.627450980392158</v>
      </c>
      <c r="I11" s="34">
        <f>IF($A$1&lt;&gt;7,'Planetary Data'!I12/LOOKUP($A$1,'Planetary Data'!$A$5:$A$16,'Planetary Data'!$I$5:$I$16),"N/A")</f>
        <v>0.8109756097560976</v>
      </c>
      <c r="J11" s="34">
        <f>IF($A$1&lt;&gt;7,'Planetary Data'!J12/LOOKUP($A$1,'Planetary Data'!$A$5:$A$16,'Planetary Data'!$J$5:$J$16),"N/A")</f>
        <v>2.089285714285714</v>
      </c>
      <c r="K11" s="34">
        <f>IF($A$1&lt;&gt;7,'Planetary Data'!K12/LOOKUP($A$1,'Planetary Data'!$A$5:$A$16,'Planetary Data'!$K$5:$K$16),"N/A")</f>
        <v>2.5579399141630903</v>
      </c>
    </row>
    <row r="12" spans="1:11" ht="13.5" customHeight="1">
      <c r="A12" s="43"/>
      <c r="B12" s="41"/>
      <c r="C12" s="33">
        <f>IF($A$1&lt;&gt;1,'Planetary Data'!C13/LOOKUP($A$1,'Planetary Data'!$A$5:$A$16,'Planetary Data'!$C$5:$C$16),"N/A")</f>
        <v>0.31731560338885056</v>
      </c>
      <c r="D12" s="33">
        <f>IF($A$1&lt;&gt;1,'Planetary Data'!D13/LOOKUP($A$1,'Planetary Data'!$A$5:$A$16,'Planetary Data'!$D$5:$D$16),"N/A")</f>
        <v>0.17876084713878268</v>
      </c>
      <c r="E12" s="33">
        <f>IF(AND($A$1&lt;&gt;1,$A$1&lt;&gt;7),'Planetary Data'!E13/LOOKUP($A$1,'Planetary Data'!$A$5:$A$16,'Planetary Data'!$E$5:$E$16),"N/A")</f>
        <v>0.5325</v>
      </c>
      <c r="F12" s="33">
        <f>IF(AND($A$1&lt;&gt;1,$A$1&lt;&gt;5),'Planetary Data'!F13/LOOKUP($A$1,'Planetary Data'!$A$5:$A$16,'Planetary Data'!$F$5:$F$16),"N/A")</f>
        <v>1.7777777777777777</v>
      </c>
      <c r="G12" s="33">
        <f>'Planetary Data'!G13/LOOKUP($A$1,'Planetary Data'!$A$5:$A$16,'Planetary Data'!$G$5:$G$16)</f>
        <v>2.433694072040058</v>
      </c>
      <c r="H12" s="34">
        <f>IF($A$1&lt;&gt;7,'Planetary Data'!H13/LOOKUP($A$1,'Planetary Data'!$A$5:$A$16,'Planetary Data'!$H$5:$H$16),"N/A")</f>
        <v>5.578431372549019</v>
      </c>
      <c r="I12" s="34">
        <f>IF($A$1&lt;&gt;7,'Planetary Data'!I13/LOOKUP($A$1,'Planetary Data'!$A$5:$A$16,'Planetary Data'!$I$5:$I$16),"N/A")</f>
        <v>0.42073170731707316</v>
      </c>
      <c r="J12" s="34">
        <f>IF($A$1&lt;&gt;7,'Planetary Data'!J13/LOOKUP($A$1,'Planetary Data'!$A$5:$A$16,'Planetary Data'!$J$5:$J$16),"N/A")</f>
        <v>0.8303571428571428</v>
      </c>
      <c r="K12" s="34">
        <f>IF($A$1&lt;&gt;7,'Planetary Data'!K13/LOOKUP($A$1,'Planetary Data'!$A$5:$A$16,'Planetary Data'!$K$5:$K$16),"N/A")</f>
        <v>1.5236051502145922</v>
      </c>
    </row>
    <row r="13" spans="1:11" ht="13.5" customHeight="1">
      <c r="A13" s="43"/>
      <c r="B13" s="41"/>
      <c r="C13" s="33">
        <f>IF($A$1&lt;&gt;1,'Planetary Data'!C14/LOOKUP($A$1,'Planetary Data'!$A$5:$A$16,'Planetary Data'!$C$5:$C$16),"N/A")</f>
        <v>0.6384114206933357</v>
      </c>
      <c r="D13" s="33">
        <f>IF($A$1&lt;&gt;1,'Planetary Data'!D14/LOOKUP($A$1,'Planetary Data'!$A$5:$A$16,'Planetary Data'!$D$5:$D$16),"N/A")</f>
        <v>0.5098003519631046</v>
      </c>
      <c r="E13" s="33">
        <f>IF(AND($A$1&lt;&gt;1,$A$1&lt;&gt;7),'Planetary Data'!E14/LOOKUP($A$1,'Planetary Data'!$A$5:$A$16,'Planetary Data'!$E$5:$E$16),"N/A")</f>
        <v>-0.9325</v>
      </c>
      <c r="F13" s="33">
        <f>IF(AND($A$1&lt;&gt;1,$A$1&lt;&gt;5),'Planetary Data'!F14/LOOKUP($A$1,'Planetary Data'!$A$5:$A$16,'Planetary Data'!$F$5:$F$16),"N/A")</f>
        <v>1.259259259259259</v>
      </c>
      <c r="G13" s="33">
        <f>'Planetary Data'!G14/LOOKUP($A$1,'Planetary Data'!$A$5:$A$16,'Planetary Data'!$G$5:$G$16)</f>
        <v>1.0321030528186077</v>
      </c>
      <c r="H13" s="34">
        <f>IF($A$1&lt;&gt;7,'Planetary Data'!H14/LOOKUP($A$1,'Planetary Data'!$A$5:$A$16,'Planetary Data'!$H$5:$H$16),"N/A")</f>
        <v>0.8509803921568627</v>
      </c>
      <c r="I13" s="34">
        <f>IF($A$1&lt;&gt;7,'Planetary Data'!I14/LOOKUP($A$1,'Planetary Data'!$A$5:$A$16,'Planetary Data'!$I$5:$I$16),"N/A")</f>
        <v>0.7865853658536586</v>
      </c>
      <c r="J13" s="34">
        <f>IF($A$1&lt;&gt;7,'Planetary Data'!J14/LOOKUP($A$1,'Planetary Data'!$A$5:$A$16,'Planetary Data'!$J$5:$J$16),"N/A")</f>
        <v>0.7053571428571429</v>
      </c>
      <c r="K13" s="34">
        <f>IF($A$1&lt;&gt;7,'Planetary Data'!K14/LOOKUP($A$1,'Planetary Data'!$A$5:$A$16,'Planetary Data'!$K$5:$K$16),"N/A")</f>
        <v>0.9141630901287554</v>
      </c>
    </row>
    <row r="14" spans="1:11" ht="13.5" customHeight="1">
      <c r="A14" s="43"/>
      <c r="B14" s="41"/>
      <c r="C14" s="33">
        <f>IF($A$1&lt;&gt;1,'Planetary Data'!C15/LOOKUP($A$1,'Planetary Data'!$A$5:$A$16,'Planetary Data'!$C$5:$C$16),"N/A")</f>
        <v>1</v>
      </c>
      <c r="D14" s="33">
        <f>IF($A$1&lt;&gt;1,'Planetary Data'!D15/LOOKUP($A$1,'Planetary Data'!$A$5:$A$16,'Planetary Data'!$D$5:$D$16),"N/A")</f>
        <v>1</v>
      </c>
      <c r="E14" s="33">
        <f>IF(AND($A$1&lt;&gt;1,$A$1&lt;&gt;7),'Planetary Data'!E15/LOOKUP($A$1,'Planetary Data'!$A$5:$A$16,'Planetary Data'!$E$5:$E$16),"N/A")</f>
        <v>1</v>
      </c>
      <c r="F14" s="33">
        <f>IF(AND($A$1&lt;&gt;1,$A$1&lt;&gt;5),'Planetary Data'!F15/LOOKUP($A$1,'Planetary Data'!$A$5:$A$16,'Planetary Data'!$F$5:$F$16),"N/A")</f>
        <v>1</v>
      </c>
      <c r="G14" s="33">
        <f>'Planetary Data'!G15/LOOKUP($A$1,'Planetary Data'!$A$5:$A$16,'Planetary Data'!$G$5:$G$16)</f>
        <v>1</v>
      </c>
      <c r="H14" s="34">
        <f>IF($A$1&lt;&gt;7,'Planetary Data'!H15/LOOKUP($A$1,'Planetary Data'!$A$5:$A$16,'Planetary Data'!$H$5:$H$16),"N/A")</f>
        <v>1</v>
      </c>
      <c r="I14" s="34">
        <f>IF($A$1&lt;&gt;7,'Planetary Data'!I15/LOOKUP($A$1,'Planetary Data'!$A$5:$A$16,'Planetary Data'!$I$5:$I$16),"N/A")</f>
        <v>1</v>
      </c>
      <c r="J14" s="34">
        <f>IF($A$1&lt;&gt;7,'Planetary Data'!J15/LOOKUP($A$1,'Planetary Data'!$A$5:$A$16,'Planetary Data'!$J$5:$J$16),"N/A")</f>
        <v>1</v>
      </c>
      <c r="K14" s="34">
        <f>IF($A$1&lt;&gt;7,'Planetary Data'!K15/LOOKUP($A$1,'Planetary Data'!$A$5:$A$16,'Planetary Data'!$K$5:$K$16),"N/A")</f>
        <v>1</v>
      </c>
    </row>
    <row r="15" spans="1:11" ht="13.5" customHeight="1">
      <c r="A15" s="43"/>
      <c r="B15" s="42"/>
      <c r="C15" s="9">
        <f>IF($A$1&lt;&gt;1,'Planetary Data'!C16/LOOKUP($A$1,'Planetary Data'!$A$5:$A$16,'Planetary Data'!$C$5:$C$16),"N/A")</f>
        <v>1.31495852882969</v>
      </c>
      <c r="D15" s="9">
        <f>IF($A$1&lt;&gt;1,'Planetary Data'!D16/LOOKUP($A$1,'Planetary Data'!$A$5:$A$16,'Planetary Data'!$D$5:$D$16),"N/A")</f>
        <v>1.5082225863219856</v>
      </c>
      <c r="E15" s="9">
        <f>IF(AND($A$1&lt;&gt;1,$A$1&lt;&gt;7),'Planetary Data'!E16/LOOKUP($A$1,'Planetary Data'!$A$5:$A$16,'Planetary Data'!$E$5:$E$16),"N/A")</f>
        <v>-7.983749999999999</v>
      </c>
      <c r="F15" s="9">
        <f>IF(AND($A$1&lt;&gt;1,$A$1&lt;&gt;5),'Planetary Data'!F16/LOOKUP($A$1,'Planetary Data'!$A$5:$A$16,'Planetary Data'!$F$5:$F$16),"N/A")</f>
        <v>0.8703703703703703</v>
      </c>
      <c r="G15" s="9">
        <f>'Planetary Data'!G16/LOOKUP($A$1,'Planetary Data'!$A$5:$A$16,'Planetary Data'!$G$5:$G$16)</f>
        <v>0.04643837829106768</v>
      </c>
      <c r="H15" s="10">
        <f>IF($A$1&lt;&gt;7,'Planetary Data'!H16/LOOKUP($A$1,'Planetary Data'!$A$5:$A$16,'Planetary Data'!$H$5:$H$16),"N/A")</f>
        <v>0.00012647058823529413</v>
      </c>
      <c r="I15" s="10">
        <f>IF($A$1&lt;&gt;7,'Planetary Data'!I16/LOOKUP($A$1,'Planetary Data'!$A$5:$A$16,'Planetary Data'!$I$5:$I$16),"N/A")</f>
        <v>1.2378048780487805</v>
      </c>
      <c r="J15" s="10">
        <f>IF($A$1&lt;&gt;7,'Planetary Data'!J16/LOOKUP($A$1,'Planetary Data'!$A$5:$A$16,'Planetary Data'!$J$5:$J$16),"N/A")</f>
        <v>0.03571428571428571</v>
      </c>
      <c r="K15" s="10">
        <f>IF($A$1&lt;&gt;7,'Planetary Data'!K16/LOOKUP($A$1,'Planetary Data'!$A$5:$A$16,'Planetary Data'!$K$5:$K$16),"N/A")</f>
        <v>0.04721030042918455</v>
      </c>
    </row>
    <row r="16" spans="1:11" ht="4.5" customHeight="1" thickBot="1">
      <c r="A16" s="43"/>
      <c r="B16" s="44"/>
      <c r="C16" s="11"/>
      <c r="D16" s="11"/>
      <c r="E16" s="11"/>
      <c r="F16" s="11"/>
      <c r="G16" s="11"/>
      <c r="H16" s="11"/>
      <c r="I16" s="11"/>
      <c r="J16" s="11"/>
      <c r="K16" s="11"/>
    </row>
  </sheetData>
  <mergeCells count="1">
    <mergeCell ref="B2:K2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8"/>
  <sheetViews>
    <sheetView showGridLines="0" showRowColHeaders="0" workbookViewId="0" topLeftCell="A1">
      <selection activeCell="C6" sqref="C6"/>
    </sheetView>
  </sheetViews>
  <sheetFormatPr defaultColWidth="11.421875" defaultRowHeight="12.75"/>
  <cols>
    <col min="1" max="1" width="8.8515625" style="0" customWidth="1"/>
    <col min="2" max="2" width="17.140625" style="0" customWidth="1"/>
    <col min="3" max="3" width="13.7109375" style="0" customWidth="1"/>
    <col min="4" max="4" width="14.28125" style="0" customWidth="1"/>
    <col min="5" max="5" width="20.8515625" style="0" customWidth="1"/>
    <col min="6" max="6" width="13.421875" style="0" customWidth="1"/>
    <col min="7" max="7" width="17.421875" style="0" bestFit="1" customWidth="1"/>
    <col min="8" max="8" width="12.7109375" style="0" customWidth="1"/>
    <col min="9" max="16384" width="8.8515625" style="0" customWidth="1"/>
  </cols>
  <sheetData>
    <row r="2" ht="12.75" thickBot="1"/>
    <row r="3" spans="2:8" ht="27.75">
      <c r="B3" s="64" t="s">
        <v>35</v>
      </c>
      <c r="C3" s="66"/>
      <c r="E3" s="64" t="s">
        <v>38</v>
      </c>
      <c r="F3" s="65"/>
      <c r="G3" s="65"/>
      <c r="H3" s="66"/>
    </row>
    <row r="4" spans="2:8" ht="12.75" thickBot="1">
      <c r="B4" s="18"/>
      <c r="C4" s="20"/>
      <c r="E4" s="18"/>
      <c r="F4" s="19"/>
      <c r="G4" s="19"/>
      <c r="H4" s="20"/>
    </row>
    <row r="5" spans="2:8" ht="25.5" customHeight="1" thickBot="1">
      <c r="B5" s="67" t="s">
        <v>52</v>
      </c>
      <c r="C5" s="68"/>
      <c r="E5" s="13" t="s">
        <v>14</v>
      </c>
      <c r="F5" s="12" t="s">
        <v>30</v>
      </c>
      <c r="G5" s="12" t="s">
        <v>33</v>
      </c>
      <c r="H5" s="12" t="s">
        <v>31</v>
      </c>
    </row>
    <row r="6" spans="2:8" ht="12">
      <c r="B6" s="21" t="s">
        <v>32</v>
      </c>
      <c r="C6" s="37">
        <v>300</v>
      </c>
      <c r="E6" s="24" t="s">
        <v>15</v>
      </c>
      <c r="F6" s="14" t="s">
        <v>16</v>
      </c>
      <c r="G6" s="14" t="s">
        <v>16</v>
      </c>
      <c r="H6" s="25">
        <f>$C$6/('Planetary Data'!$G$5/'Planetary Data'!G5)</f>
        <v>300</v>
      </c>
    </row>
    <row r="7" spans="2:8" ht="12.75" thickBot="1">
      <c r="B7" s="22" t="s">
        <v>34</v>
      </c>
      <c r="C7" s="23">
        <f>('Planetary Data'!G5*1000)/(C6/1000)</f>
        <v>4640000000</v>
      </c>
      <c r="E7" s="16" t="s">
        <v>0</v>
      </c>
      <c r="F7" s="15">
        <f>1000*'Planetary Data'!C6*(('Scale Model'!$C$6)/('Planetary Data'!$G$5))</f>
        <v>12.47844827586207</v>
      </c>
      <c r="G7" s="26">
        <f>3600*('Planetary Data'!F6*1000000)/'Scale Model'!$C$7</f>
        <v>37.16379310344828</v>
      </c>
      <c r="H7" s="25">
        <f>$C$6/('Planetary Data'!$G$5/'Planetary Data'!G6)</f>
        <v>1.0512931034482758</v>
      </c>
    </row>
    <row r="8" spans="5:8" ht="12">
      <c r="E8" s="16" t="s">
        <v>1</v>
      </c>
      <c r="F8" s="15">
        <f>1000*'Planetary Data'!C7*(('Scale Model'!$C$6)/('Planetary Data'!$G$5))</f>
        <v>23.318965517241377</v>
      </c>
      <c r="G8" s="26">
        <f>3600*('Planetary Data'!F7*1000000)/'Scale Model'!$C$7</f>
        <v>27.155172413793103</v>
      </c>
      <c r="H8" s="25">
        <f>$C$6/('Planetary Data'!$G$5/'Planetary Data'!G7)</f>
        <v>2.608189655172414</v>
      </c>
    </row>
    <row r="9" spans="5:8" ht="12">
      <c r="E9" s="16" t="s">
        <v>2</v>
      </c>
      <c r="F9" s="15">
        <f>1000*'Planetary Data'!C8*(('Scale Model'!$C$6)/('Planetary Data'!$G$5))</f>
        <v>32.241379310344826</v>
      </c>
      <c r="G9" s="26">
        <f>3600*('Planetary Data'!F8*1000000)/'Scale Model'!$C$7</f>
        <v>23.120689655172413</v>
      </c>
      <c r="H9" s="25">
        <f>$C$6/('Planetary Data'!$G$5/'Planetary Data'!G8)</f>
        <v>2.7491379310344826</v>
      </c>
    </row>
    <row r="10" spans="5:8" ht="12">
      <c r="E10" s="16" t="s">
        <v>20</v>
      </c>
      <c r="F10" s="15">
        <f>1000*'Planetary Data'!C9*(('Scale Model'!$C$6)/('Planetary Data'!$G$5))</f>
        <v>32.241379310344826</v>
      </c>
      <c r="G10" s="14" t="s">
        <v>16</v>
      </c>
      <c r="H10" s="25">
        <f>$C$6/('Planetary Data'!$G$5/'Planetary Data'!G9)</f>
        <v>0.7491379310344828</v>
      </c>
    </row>
    <row r="11" spans="5:8" ht="12">
      <c r="E11" s="16" t="s">
        <v>3</v>
      </c>
      <c r="F11" s="15">
        <f>1000*'Planetary Data'!C10*(('Scale Model'!$C$6)/('Planetary Data'!$G$5))</f>
        <v>49.116379310344826</v>
      </c>
      <c r="G11" s="26">
        <f>3600*('Planetary Data'!F10*1000000)/'Scale Model'!$C$7</f>
        <v>18.698275862068964</v>
      </c>
      <c r="H11" s="25">
        <f>$C$6/('Planetary Data'!$G$5/'Planetary Data'!G10)</f>
        <v>1.4625</v>
      </c>
    </row>
    <row r="12" spans="5:8" ht="12">
      <c r="E12" s="16" t="s">
        <v>13</v>
      </c>
      <c r="F12" s="15">
        <f>1000*'Planetary Data'!C11*(('Scale Model'!$C$6)/('Planetary Data'!$G$5))</f>
        <v>89.15948275862068</v>
      </c>
      <c r="G12" s="26">
        <f>3600*('Planetary Data'!F11*1000000)/'Scale Model'!$C$7</f>
        <v>13.887931034482758</v>
      </c>
      <c r="H12" s="25">
        <f>$C$6/('Planetary Data'!$G$5/'Planetary Data'!G11)</f>
        <v>0.1939655172413793</v>
      </c>
    </row>
    <row r="13" spans="5:8" ht="12">
      <c r="E13" s="16" t="s">
        <v>4</v>
      </c>
      <c r="F13" s="15">
        <f>1000*'Planetary Data'!C12*(('Scale Model'!$C$6)/('Planetary Data'!$G$5))</f>
        <v>167.73706896551724</v>
      </c>
      <c r="G13" s="26">
        <f>3600*('Planetary Data'!F12*1000000)/'Scale Model'!$C$7</f>
        <v>10.163793103448276</v>
      </c>
      <c r="H13" s="25">
        <f>$C$6/('Planetary Data'!$G$5/'Planetary Data'!G12)</f>
        <v>30.81551724137931</v>
      </c>
    </row>
    <row r="14" spans="5:8" ht="12">
      <c r="E14" s="16" t="s">
        <v>5</v>
      </c>
      <c r="F14" s="15">
        <f>1000*'Planetary Data'!C13*(('Scale Model'!$C$6)/('Planetary Data'!$G$5))</f>
        <v>307.5431034482759</v>
      </c>
      <c r="G14" s="26">
        <f>3600*('Planetary Data'!F13*1000000)/'Scale Model'!$C$7</f>
        <v>7.448275862068965</v>
      </c>
      <c r="H14" s="25">
        <f>$C$6/('Planetary Data'!$G$5/'Planetary Data'!G13)</f>
        <v>25.97758620689655</v>
      </c>
    </row>
    <row r="15" spans="5:8" ht="12">
      <c r="E15" s="16" t="s">
        <v>6</v>
      </c>
      <c r="F15" s="15">
        <f>1000*'Planetary Data'!C14*(('Scale Model'!$C$6)/('Planetary Data'!$G$5))</f>
        <v>618.75</v>
      </c>
      <c r="G15" s="26">
        <f>3600*('Planetary Data'!F14*1000000)/'Scale Model'!$C$7</f>
        <v>5.275862068965517</v>
      </c>
      <c r="H15" s="25">
        <f>$C$6/('Planetary Data'!$G$5/'Planetary Data'!G14)</f>
        <v>11.016810344827586</v>
      </c>
    </row>
    <row r="16" spans="5:8" ht="12">
      <c r="E16" s="16" t="s">
        <v>7</v>
      </c>
      <c r="F16" s="15">
        <f>1000*'Planetary Data'!C15*(('Scale Model'!$C$6)/('Planetary Data'!$G$5))</f>
        <v>969.2025862068965</v>
      </c>
      <c r="G16" s="26">
        <f>3600*('Planetary Data'!F15*1000000)/'Scale Model'!$C$7</f>
        <v>4.189655172413793</v>
      </c>
      <c r="H16" s="25">
        <f>$C$6/('Planetary Data'!$G$5/'Planetary Data'!G15)</f>
        <v>10.674137931034481</v>
      </c>
    </row>
    <row r="17" spans="5:8" ht="12">
      <c r="E17" s="16" t="s">
        <v>8</v>
      </c>
      <c r="F17" s="15">
        <f>1000*'Planetary Data'!C16*(('Scale Model'!$C$6)/('Planetary Data'!$G$5))</f>
        <v>1274.4612068965516</v>
      </c>
      <c r="G17" s="26">
        <f>3600*('Planetary Data'!F16*1000000)/'Scale Model'!$C$7</f>
        <v>3.646551724137931</v>
      </c>
      <c r="H17" s="25">
        <f>$C$6/('Planetary Data'!$G$5/'Planetary Data'!G16)</f>
        <v>0.49568965517241376</v>
      </c>
    </row>
    <row r="18" spans="5:8" ht="12.75" thickBot="1">
      <c r="E18" s="27" t="s">
        <v>37</v>
      </c>
      <c r="F18" s="17">
        <f>1000*'Planetary Data'!C17*(('Scale Model'!$C$6)/('Planetary Data'!$G$5))</f>
        <v>9217198.275862068</v>
      </c>
      <c r="G18" s="28" t="s">
        <v>16</v>
      </c>
      <c r="H18" s="29">
        <f>H6</f>
        <v>300</v>
      </c>
    </row>
  </sheetData>
  <sheetProtection sheet="1" objects="1" scenarios="1"/>
  <mergeCells count="3">
    <mergeCell ref="E3:H3"/>
    <mergeCell ref="B3:C3"/>
    <mergeCell ref="B5:C5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RowColHeaders="0" workbookViewId="0" topLeftCell="A1">
      <selection activeCell="O1" sqref="O1"/>
    </sheetView>
  </sheetViews>
  <sheetFormatPr defaultColWidth="11.421875" defaultRowHeight="12.75"/>
  <cols>
    <col min="1" max="1" width="6.8515625" style="0" customWidth="1"/>
    <col min="2" max="2" width="17.8515625" style="0" customWidth="1"/>
    <col min="3" max="3" width="18.00390625" style="0" customWidth="1"/>
    <col min="4" max="4" width="12.00390625" style="0" customWidth="1"/>
    <col min="5" max="6" width="14.7109375" style="0" customWidth="1"/>
    <col min="7" max="7" width="9.28125" style="0" customWidth="1"/>
    <col min="8" max="8" width="11.140625" style="0" bestFit="1" customWidth="1"/>
    <col min="9" max="9" width="10.140625" style="0" bestFit="1" customWidth="1"/>
    <col min="10" max="10" width="11.8515625" style="0" customWidth="1"/>
    <col min="11" max="11" width="13.00390625" style="0" bestFit="1" customWidth="1"/>
    <col min="12" max="14" width="12.421875" style="0" customWidth="1"/>
    <col min="15" max="15" width="18.28125" style="0" customWidth="1"/>
    <col min="16" max="16384" width="8.8515625" style="0" customWidth="1"/>
  </cols>
  <sheetData>
    <row r="2" spans="2:15" ht="27.75">
      <c r="B2" s="72" t="s">
        <v>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8.75" thickBot="1">
      <c r="B3" s="74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1" customFormat="1" ht="22.5" thickBot="1">
      <c r="A4" s="30"/>
      <c r="B4" s="13" t="s">
        <v>14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18</v>
      </c>
      <c r="H4" s="12" t="s">
        <v>19</v>
      </c>
      <c r="I4" s="12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29</v>
      </c>
      <c r="O4" s="13" t="s">
        <v>14</v>
      </c>
    </row>
    <row r="5" spans="1:15" s="2" customFormat="1" ht="12">
      <c r="A5" s="38">
        <v>1</v>
      </c>
      <c r="B5" s="46" t="s">
        <v>50</v>
      </c>
      <c r="C5" s="47" t="s">
        <v>16</v>
      </c>
      <c r="D5" s="47" t="s">
        <v>16</v>
      </c>
      <c r="E5" s="47" t="s">
        <v>17</v>
      </c>
      <c r="F5" s="47" t="s">
        <v>16</v>
      </c>
      <c r="G5" s="48">
        <v>1392000</v>
      </c>
      <c r="H5" s="48">
        <v>199000000</v>
      </c>
      <c r="I5" s="48">
        <v>1410</v>
      </c>
      <c r="J5" s="49">
        <v>273.92</v>
      </c>
      <c r="K5" s="49">
        <v>617.5</v>
      </c>
      <c r="L5" s="50" t="s">
        <v>16</v>
      </c>
      <c r="M5" s="50" t="s">
        <v>16</v>
      </c>
      <c r="N5" s="50">
        <v>5600</v>
      </c>
      <c r="O5" s="46" t="s">
        <v>50</v>
      </c>
    </row>
    <row r="6" spans="1:15" ht="12">
      <c r="A6" s="39">
        <v>2</v>
      </c>
      <c r="B6" s="51" t="s">
        <v>0</v>
      </c>
      <c r="C6" s="52">
        <v>57.9</v>
      </c>
      <c r="D6" s="52">
        <v>0.2408</v>
      </c>
      <c r="E6" s="52">
        <v>58.65</v>
      </c>
      <c r="F6" s="53">
        <v>47.9</v>
      </c>
      <c r="G6" s="54">
        <v>4878</v>
      </c>
      <c r="H6" s="55">
        <v>33.03</v>
      </c>
      <c r="I6" s="54">
        <v>5430</v>
      </c>
      <c r="J6" s="52">
        <v>3.8259000000000003</v>
      </c>
      <c r="K6" s="52">
        <v>4.3</v>
      </c>
      <c r="L6" s="56">
        <v>-170</v>
      </c>
      <c r="M6" s="56">
        <v>350</v>
      </c>
      <c r="N6" s="56">
        <v>260</v>
      </c>
      <c r="O6" s="51" t="s">
        <v>0</v>
      </c>
    </row>
    <row r="7" spans="1:15" ht="12">
      <c r="A7" s="38">
        <v>3</v>
      </c>
      <c r="B7" s="51" t="s">
        <v>1</v>
      </c>
      <c r="C7" s="52">
        <v>108.2</v>
      </c>
      <c r="D7" s="52">
        <v>0.6152</v>
      </c>
      <c r="E7" s="52">
        <v>-243.01</v>
      </c>
      <c r="F7" s="53">
        <v>35</v>
      </c>
      <c r="G7" s="54">
        <v>12102</v>
      </c>
      <c r="H7" s="54">
        <v>487</v>
      </c>
      <c r="I7" s="54">
        <v>5250</v>
      </c>
      <c r="J7" s="52">
        <v>8.632800000000001</v>
      </c>
      <c r="K7" s="52">
        <v>10.4</v>
      </c>
      <c r="L7" s="56">
        <v>480</v>
      </c>
      <c r="M7" s="56">
        <v>480</v>
      </c>
      <c r="N7" s="56">
        <v>480</v>
      </c>
      <c r="O7" s="51" t="s">
        <v>1</v>
      </c>
    </row>
    <row r="8" spans="1:15" ht="12">
      <c r="A8" s="39">
        <v>4</v>
      </c>
      <c r="B8" s="51" t="s">
        <v>2</v>
      </c>
      <c r="C8" s="52">
        <v>149.6</v>
      </c>
      <c r="D8" s="52">
        <v>1</v>
      </c>
      <c r="E8" s="52">
        <v>0.997</v>
      </c>
      <c r="F8" s="53">
        <v>29.8</v>
      </c>
      <c r="G8" s="54">
        <v>12756</v>
      </c>
      <c r="H8" s="54">
        <v>597.6</v>
      </c>
      <c r="I8" s="54">
        <v>5520</v>
      </c>
      <c r="J8" s="52">
        <v>9.81</v>
      </c>
      <c r="K8" s="52">
        <v>11.2</v>
      </c>
      <c r="L8" s="56">
        <v>-50</v>
      </c>
      <c r="M8" s="56">
        <v>40</v>
      </c>
      <c r="N8" s="56">
        <v>20</v>
      </c>
      <c r="O8" s="51" t="s">
        <v>2</v>
      </c>
    </row>
    <row r="9" spans="1:15" ht="12">
      <c r="A9" s="38">
        <v>5</v>
      </c>
      <c r="B9" s="51" t="s">
        <v>48</v>
      </c>
      <c r="C9" s="52">
        <v>149.6</v>
      </c>
      <c r="D9" s="52">
        <v>1</v>
      </c>
      <c r="E9" s="52">
        <v>27.32</v>
      </c>
      <c r="F9" s="57" t="s">
        <v>16</v>
      </c>
      <c r="G9" s="54">
        <v>3476</v>
      </c>
      <c r="H9" s="54">
        <v>7.349</v>
      </c>
      <c r="I9" s="54">
        <v>3340</v>
      </c>
      <c r="J9" s="52">
        <v>1.63</v>
      </c>
      <c r="K9" s="52">
        <v>2.38</v>
      </c>
      <c r="L9" s="56">
        <v>-180</v>
      </c>
      <c r="M9" s="56">
        <v>130</v>
      </c>
      <c r="N9" s="56">
        <v>-25</v>
      </c>
      <c r="O9" s="51" t="s">
        <v>48</v>
      </c>
    </row>
    <row r="10" spans="1:15" ht="12">
      <c r="A10" s="39">
        <v>6</v>
      </c>
      <c r="B10" s="51" t="s">
        <v>3</v>
      </c>
      <c r="C10" s="52">
        <v>227.9</v>
      </c>
      <c r="D10" s="52">
        <v>1.8809</v>
      </c>
      <c r="E10" s="52">
        <v>1.026</v>
      </c>
      <c r="F10" s="53">
        <v>24.1</v>
      </c>
      <c r="G10" s="54">
        <v>6786</v>
      </c>
      <c r="H10" s="54">
        <v>64.2</v>
      </c>
      <c r="I10" s="54">
        <v>3950</v>
      </c>
      <c r="J10" s="52">
        <v>3.7278000000000002</v>
      </c>
      <c r="K10" s="52">
        <v>5</v>
      </c>
      <c r="L10" s="56">
        <v>-140</v>
      </c>
      <c r="M10" s="56">
        <v>20</v>
      </c>
      <c r="N10" s="56">
        <v>-60</v>
      </c>
      <c r="O10" s="51" t="s">
        <v>3</v>
      </c>
    </row>
    <row r="11" spans="1:15" ht="12">
      <c r="A11" s="38">
        <v>7</v>
      </c>
      <c r="B11" s="51" t="s">
        <v>49</v>
      </c>
      <c r="C11" s="52">
        <v>413.7</v>
      </c>
      <c r="D11" s="52">
        <v>4.603</v>
      </c>
      <c r="E11" s="33" t="s">
        <v>21</v>
      </c>
      <c r="F11" s="53">
        <v>17.9</v>
      </c>
      <c r="G11" s="54">
        <v>900</v>
      </c>
      <c r="H11" s="57" t="s">
        <v>16</v>
      </c>
      <c r="I11" s="58" t="s">
        <v>16</v>
      </c>
      <c r="J11" s="58" t="s">
        <v>16</v>
      </c>
      <c r="K11" s="58" t="s">
        <v>16</v>
      </c>
      <c r="L11" s="58" t="s">
        <v>16</v>
      </c>
      <c r="M11" s="58" t="s">
        <v>16</v>
      </c>
      <c r="N11" s="58" t="s">
        <v>16</v>
      </c>
      <c r="O11" s="51" t="s">
        <v>49</v>
      </c>
    </row>
    <row r="12" spans="1:15" ht="12">
      <c r="A12" s="39">
        <v>8</v>
      </c>
      <c r="B12" s="51" t="s">
        <v>4</v>
      </c>
      <c r="C12" s="52">
        <v>778.3</v>
      </c>
      <c r="D12" s="52">
        <v>11.862</v>
      </c>
      <c r="E12" s="52">
        <v>0.41</v>
      </c>
      <c r="F12" s="53">
        <v>13.1</v>
      </c>
      <c r="G12" s="54">
        <v>142984</v>
      </c>
      <c r="H12" s="54">
        <v>190000</v>
      </c>
      <c r="I12" s="54">
        <v>1330</v>
      </c>
      <c r="J12" s="52">
        <v>22.9554</v>
      </c>
      <c r="K12" s="52">
        <v>59.6</v>
      </c>
      <c r="L12" s="56">
        <v>-110</v>
      </c>
      <c r="M12" s="56">
        <v>-110</v>
      </c>
      <c r="N12" s="56">
        <v>-110</v>
      </c>
      <c r="O12" s="51" t="s">
        <v>4</v>
      </c>
    </row>
    <row r="13" spans="1:15" ht="12">
      <c r="A13" s="38">
        <v>9</v>
      </c>
      <c r="B13" s="51" t="s">
        <v>5</v>
      </c>
      <c r="C13" s="52">
        <v>1427</v>
      </c>
      <c r="D13" s="52">
        <v>29.458</v>
      </c>
      <c r="E13" s="52">
        <v>0.426</v>
      </c>
      <c r="F13" s="53">
        <v>9.6</v>
      </c>
      <c r="G13" s="54">
        <v>120536</v>
      </c>
      <c r="H13" s="54">
        <v>56900</v>
      </c>
      <c r="I13" s="54">
        <v>690</v>
      </c>
      <c r="J13" s="52">
        <v>9.1233</v>
      </c>
      <c r="K13" s="52">
        <v>35.5</v>
      </c>
      <c r="L13" s="56">
        <v>-180</v>
      </c>
      <c r="M13" s="56">
        <v>-180</v>
      </c>
      <c r="N13" s="56">
        <v>-180</v>
      </c>
      <c r="O13" s="51" t="s">
        <v>5</v>
      </c>
    </row>
    <row r="14" spans="1:15" ht="12">
      <c r="A14" s="39">
        <v>10</v>
      </c>
      <c r="B14" s="51" t="s">
        <v>6</v>
      </c>
      <c r="C14" s="52">
        <v>2871</v>
      </c>
      <c r="D14" s="52">
        <v>84.01</v>
      </c>
      <c r="E14" s="52">
        <v>-0.746</v>
      </c>
      <c r="F14" s="53">
        <v>6.8</v>
      </c>
      <c r="G14" s="54">
        <v>51118</v>
      </c>
      <c r="H14" s="54">
        <v>8680</v>
      </c>
      <c r="I14" s="54">
        <v>1290</v>
      </c>
      <c r="J14" s="52">
        <v>7.749900000000001</v>
      </c>
      <c r="K14" s="52">
        <v>21.3</v>
      </c>
      <c r="L14" s="56">
        <v>-216</v>
      </c>
      <c r="M14" s="56">
        <v>-216</v>
      </c>
      <c r="N14" s="56">
        <v>-216</v>
      </c>
      <c r="O14" s="51" t="s">
        <v>6</v>
      </c>
    </row>
    <row r="15" spans="1:15" ht="12">
      <c r="A15" s="38">
        <v>11</v>
      </c>
      <c r="B15" s="51" t="s">
        <v>7</v>
      </c>
      <c r="C15" s="52">
        <v>4497.1</v>
      </c>
      <c r="D15" s="52">
        <v>164.79</v>
      </c>
      <c r="E15" s="52">
        <v>0.8</v>
      </c>
      <c r="F15" s="53">
        <v>5.4</v>
      </c>
      <c r="G15" s="54">
        <v>49528</v>
      </c>
      <c r="H15" s="54">
        <v>10200</v>
      </c>
      <c r="I15" s="54">
        <v>1640</v>
      </c>
      <c r="J15" s="52">
        <v>10.987200000000001</v>
      </c>
      <c r="K15" s="52">
        <v>23.3</v>
      </c>
      <c r="L15" s="56">
        <v>-216</v>
      </c>
      <c r="M15" s="56">
        <v>-216</v>
      </c>
      <c r="N15" s="56">
        <v>-216</v>
      </c>
      <c r="O15" s="51" t="s">
        <v>7</v>
      </c>
    </row>
    <row r="16" spans="1:15" ht="12.75" thickBot="1">
      <c r="A16" s="39">
        <v>12</v>
      </c>
      <c r="B16" s="59" t="s">
        <v>8</v>
      </c>
      <c r="C16" s="60">
        <v>5913.5</v>
      </c>
      <c r="D16" s="60">
        <v>248.54</v>
      </c>
      <c r="E16" s="60">
        <v>-6.387</v>
      </c>
      <c r="F16" s="61">
        <v>4.7</v>
      </c>
      <c r="G16" s="62">
        <v>2300</v>
      </c>
      <c r="H16" s="62">
        <v>1.29</v>
      </c>
      <c r="I16" s="62">
        <v>2030</v>
      </c>
      <c r="J16" s="60">
        <v>0.3924</v>
      </c>
      <c r="K16" s="60">
        <v>1.1</v>
      </c>
      <c r="L16" s="63">
        <v>-223</v>
      </c>
      <c r="M16" s="63">
        <v>-223</v>
      </c>
      <c r="N16" s="63">
        <v>-223</v>
      </c>
      <c r="O16" s="59" t="s">
        <v>8</v>
      </c>
    </row>
    <row r="17" spans="2:14" ht="12" hidden="1">
      <c r="B17" s="4" t="s">
        <v>36</v>
      </c>
      <c r="C17" s="6">
        <f>9946000000000000*4.3/1000000000</f>
        <v>42767800</v>
      </c>
      <c r="D17" s="6"/>
      <c r="E17" s="6"/>
      <c r="F17" s="7"/>
      <c r="G17" s="5"/>
      <c r="H17" s="5"/>
      <c r="I17" s="5"/>
      <c r="J17" s="6"/>
      <c r="K17" s="6"/>
      <c r="L17" s="8"/>
      <c r="M17" s="8"/>
      <c r="N17" s="8"/>
    </row>
    <row r="32" ht="12">
      <c r="I32" s="3"/>
    </row>
    <row r="33" ht="12">
      <c r="I33" s="3"/>
    </row>
  </sheetData>
  <mergeCells count="2">
    <mergeCell ref="B2:O2"/>
    <mergeCell ref="B3:O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Norfolk</dc:creator>
  <cp:keywords/>
  <dc:description/>
  <cp:lastModifiedBy>Norman Herr</cp:lastModifiedBy>
  <dcterms:created xsi:type="dcterms:W3CDTF">2000-01-24T23:16:51Z</dcterms:created>
  <dcterms:modified xsi:type="dcterms:W3CDTF">2003-11-26T13:40:48Z</dcterms:modified>
  <cp:category/>
  <cp:version/>
  <cp:contentType/>
  <cp:contentStatus/>
</cp:coreProperties>
</file>